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https://nolhga.sharepoint.com/sites/financial/InsolvencyData/insolv report/insolv report/indus report/2024/"/>
    </mc:Choice>
  </mc:AlternateContent>
  <xr:revisionPtr revIDLastSave="5" documentId="8_{479D58A8-2F77-489C-9043-9D79B57339ED}" xr6:coauthVersionLast="47" xr6:coauthVersionMax="47" xr10:uidLastSave="{AF473E66-2920-4070-8931-397FC604FD96}"/>
  <bookViews>
    <workbookView xWindow="-108" yWindow="-108" windowWidth="30936" windowHeight="16776" firstSheet="96" activeTab="100" xr2:uid="{00000000-000D-0000-FFFF-FFFF00000000}"/>
  </bookViews>
  <sheets>
    <sheet name="Alabama Life" sheetId="1" r:id="rId1"/>
    <sheet name="American Chambers" sheetId="2" r:id="rId2"/>
    <sheet name="American Community" sheetId="3" r:id="rId3"/>
    <sheet name="American Educators" sheetId="4" r:id="rId4"/>
    <sheet name="American Integrity" sheetId="5" r:id="rId5"/>
    <sheet name="Amer Life Asr" sheetId="6" r:id="rId6"/>
    <sheet name="American Medical" sheetId="7" r:id="rId7"/>
    <sheet name="American Network" sheetId="8" r:id="rId8"/>
    <sheet name="Amer Std Life Acc" sheetId="9" r:id="rId9"/>
    <sheet name="AmerWstrn" sheetId="10" r:id="rId10"/>
    <sheet name="AMS Life" sheetId="11" r:id="rId11"/>
    <sheet name="Andrew Jackson" sheetId="12" r:id="rId12"/>
    <sheet name="Bankers Commercial" sheetId="13" r:id="rId13"/>
    <sheet name="Bankers Life" sheetId="14" r:id="rId14"/>
    <sheet name="Benicorp" sheetId="15" r:id="rId15"/>
    <sheet name="Booker T Washington" sheetId="16" r:id="rId16"/>
    <sheet name="Centennial" sheetId="17" r:id="rId17"/>
    <sheet name="Coastal States" sheetId="18" r:id="rId18"/>
    <sheet name="CO Bankers" sheetId="19" r:id="rId19"/>
    <sheet name="Colorado Health" sheetId="20" r:id="rId20"/>
    <sheet name="Compass (dbs Meritus)" sheetId="21" r:id="rId21"/>
    <sheet name="Confed Life &amp; Annty (CLIAC)" sheetId="22" r:id="rId22"/>
    <sheet name="Confed Life (CLIC)" sheetId="23" r:id="rId23"/>
    <sheet name="Consolidated National" sheetId="24" r:id="rId24"/>
    <sheet name="Consumers Choice" sheetId="25" r:id="rId25"/>
    <sheet name="Consumers Mutual" sheetId="26" r:id="rId26"/>
    <sheet name="Consumers United" sheetId="27" r:id="rId27"/>
    <sheet name="CoOportunity" sheetId="28" r:id="rId28"/>
    <sheet name="Coordinated Hlth" sheetId="29" r:id="rId29"/>
    <sheet name="Corporate Life" sheetId="30" r:id="rId30"/>
    <sheet name="Diamond Benefits" sheetId="31" r:id="rId31"/>
    <sheet name="EBL Life" sheetId="32" r:id="rId32"/>
    <sheet name="Executive Life" sheetId="33" r:id="rId33"/>
    <sheet name="ELNY" sheetId="34" r:id="rId34"/>
    <sheet name="Family Guaranty" sheetId="35" r:id="rId35"/>
    <sheet name="Farmers &amp; Ranchers" sheetId="36" r:id="rId36"/>
    <sheet name="Fidelity Bankers" sheetId="37" r:id="rId37"/>
    <sheet name="Fidelity Mutual" sheetId="38" r:id="rId38"/>
    <sheet name="First Capital" sheetId="39" r:id="rId39"/>
    <sheet name="First Natl" sheetId="40" r:id="rId40"/>
    <sheet name="First Natl (Thrnr)" sheetId="41" r:id="rId41"/>
    <sheet name="Franklin American" sheetId="42" r:id="rId42"/>
    <sheet name="Franklin Protective" sheetId="43" r:id="rId43"/>
    <sheet name="Freelancers CO-OP" sheetId="44" r:id="rId44"/>
    <sheet name="Freestone" sheetId="45" state="hidden" r:id="rId45"/>
    <sheet name="George Washington" sheetId="46" r:id="rId46"/>
    <sheet name="Golden State" sheetId="47" r:id="rId47"/>
    <sheet name="Guarantee Security" sheetId="48" r:id="rId48"/>
    <sheet name="HealthyCT" sheetId="49" r:id="rId49"/>
    <sheet name="Imerica" sheetId="50" r:id="rId50"/>
    <sheet name="Inter-American" sheetId="51" r:id="rId51"/>
    <sheet name="International Fin" sheetId="52" r:id="rId52"/>
    <sheet name="Investment Life of America" sheetId="53" r:id="rId53"/>
    <sheet name="Investors Equity" sheetId="54" r:id="rId54"/>
    <sheet name="Kentucky Central" sheetId="55" r:id="rId55"/>
    <sheet name="Land of Lincoln" sheetId="56" r:id="rId56"/>
    <sheet name="Legion" sheetId="57" r:id="rId57"/>
    <sheet name="Life Health America" sheetId="58" r:id="rId58"/>
    <sheet name="Lincoln Memorial" sheetId="59" r:id="rId59"/>
    <sheet name="London Pac" sheetId="60" r:id="rId60"/>
    <sheet name="Lumbermens" sheetId="61" r:id="rId61"/>
    <sheet name="Medical Savings" sheetId="62" r:id="rId62"/>
    <sheet name="Memorial Service" sheetId="63" r:id="rId63"/>
    <sheet name="Midcontinent" sheetId="64" r:id="rId64"/>
    <sheet name="Midwest Life" sheetId="65" r:id="rId65"/>
    <sheet name="Monarch Life" sheetId="66" r:id="rId66"/>
    <sheet name="Mutual Benefit" sheetId="67" r:id="rId67"/>
    <sheet name="Mutual Security" sheetId="68" r:id="rId68"/>
    <sheet name="National Affiliated" sheetId="69" r:id="rId69"/>
    <sheet name="Natl American" sheetId="70" r:id="rId70"/>
    <sheet name="National Heritage" sheetId="71" r:id="rId71"/>
    <sheet name="National States" sheetId="72" r:id="rId72"/>
    <sheet name="New Jersey Life" sheetId="73" r:id="rId73"/>
    <sheet name="North Carolina Mutual" sheetId="74" r:id="rId74"/>
    <sheet name="NNIC" sheetId="75" r:id="rId75"/>
    <sheet name="Old Colony Life" sheetId="76" r:id="rId76"/>
    <sheet name="Old Faithful" sheetId="77" r:id="rId77"/>
    <sheet name="Pacific Standard" sheetId="78" r:id="rId78"/>
    <sheet name="Pavonia Life" sheetId="79" r:id="rId79"/>
    <sheet name="Pen  Treaty" sheetId="80" r:id="rId80"/>
    <sheet name="Red Rock" sheetId="81" r:id="rId81"/>
    <sheet name="Reliance" sheetId="82" r:id="rId82"/>
    <sheet name="SeeChange" sheetId="83" r:id="rId83"/>
    <sheet name="Senior American" sheetId="84" r:id="rId84"/>
    <sheet name="Settlers" sheetId="85" r:id="rId85"/>
    <sheet name="Shenandoah" sheetId="86" r:id="rId86"/>
    <sheet name="Southland National Life" sheetId="87" r:id="rId87"/>
    <sheet name="Standard Life IN" sheetId="88" r:id="rId88"/>
    <sheet name="States General" sheetId="89" r:id="rId89"/>
    <sheet name="Statesman" sheetId="90" r:id="rId90"/>
    <sheet name="Summit National" sheetId="91" r:id="rId91"/>
    <sheet name="Supreme" sheetId="92" r:id="rId92"/>
    <sheet name="Time" sheetId="93" r:id="rId93"/>
    <sheet name="Underwriters" sheetId="94" r:id="rId94"/>
    <sheet name="Unison" sheetId="95" r:id="rId95"/>
    <sheet name="United Republic" sheetId="96" r:id="rId96"/>
    <sheet name="Universal Health Care" sheetId="97" r:id="rId97"/>
    <sheet name="Universal Life" sheetId="98" r:id="rId98"/>
    <sheet name="Universe" sheetId="99" r:id="rId99"/>
    <sheet name="Villanova" sheetId="100" r:id="rId100"/>
    <sheet name="Summary" sheetId="101" r:id="rId101"/>
    <sheet name="Pre-Liquidation Summary" sheetId="102" r:id="rId102"/>
    <sheet name="Open Summary" sheetId="103" r:id="rId103"/>
    <sheet name="Closed Summary" sheetId="104" r:id="rId104"/>
    <sheet name="Estate Closed Summary" sheetId="105" r:id="rId105"/>
    <sheet name="Released from Oversight Summary" sheetId="106" r:id="rId106"/>
    <sheet name="Total Summary" sheetId="107" r:id="rId107"/>
    <sheet name="Assessable Premiums" sheetId="108" r:id="rId108"/>
  </sheets>
  <externalReferences>
    <externalReference r:id="rId109"/>
    <externalReference r:id="rId110"/>
  </externalReferences>
  <definedNames>
    <definedName name="ADD_FINANCIAL" localSheetId="0">'Alabama Life'!$J$10:$J$16</definedName>
    <definedName name="ADD_FINANCIAL" localSheetId="5">'Amer Life Asr'!$J$10:$J$16</definedName>
    <definedName name="ADD_FINANCIAL" localSheetId="8">'Amer Std Life Acc'!$J$10:$J$16</definedName>
    <definedName name="ADD_FINANCIAL" localSheetId="1">'American Chambers'!$J$10:$J$16</definedName>
    <definedName name="ADD_FINANCIAL" localSheetId="2">'American Community'!$J$10:$J$16</definedName>
    <definedName name="ADD_FINANCIAL" localSheetId="3">'American Educators'!$J$10:$J$16</definedName>
    <definedName name="ADD_FINANCIAL" localSheetId="4">'American Integrity'!$J$10:$J$16</definedName>
    <definedName name="ADD_FINANCIAL" localSheetId="6">'American Medical'!$J$10:$J$16</definedName>
    <definedName name="ADD_FINANCIAL" localSheetId="7">'American Network'!$J$10:$J$16</definedName>
    <definedName name="ADD_FINANCIAL" localSheetId="9">AmerWstrn!$J$10:$J$16</definedName>
    <definedName name="ADD_FINANCIAL" localSheetId="10">'AMS Life'!$J$10:$J$16</definedName>
    <definedName name="ADD_FINANCIAL" localSheetId="11">'Andrew Jackson'!$J$10:$J$16</definedName>
    <definedName name="ADD_FINANCIAL" localSheetId="12">'Bankers Commercial'!$J$10:$J$16</definedName>
    <definedName name="ADD_FINANCIAL" localSheetId="13">'Bankers Life'!$J$10:$J$16</definedName>
    <definedName name="ADD_FINANCIAL" localSheetId="14">Benicorp!$J$10:$J$16</definedName>
    <definedName name="ADD_FINANCIAL" localSheetId="15">'Booker T Washington'!$J$10:$J$16</definedName>
    <definedName name="ADD_FINANCIAL" localSheetId="16">Centennial!$J$10:$J$16</definedName>
    <definedName name="ADD_FINANCIAL" localSheetId="18">'CO Bankers'!$J$10:$J$16</definedName>
    <definedName name="ADD_FINANCIAL" localSheetId="17">'Coastal States'!$J$10:$J$16</definedName>
    <definedName name="ADD_FINANCIAL" localSheetId="19">'Colorado Health'!$J$10:$J$16</definedName>
    <definedName name="ADD_FINANCIAL" localSheetId="20">'Compass (dbs Meritus)'!$J$10:$J$16</definedName>
    <definedName name="ADD_FINANCIAL" localSheetId="21">'Confed Life &amp; Annty (CLIAC)'!$J$10:$J$16</definedName>
    <definedName name="ADD_FINANCIAL" localSheetId="22">'Confed Life (CLIC)'!$J$10:$J$16</definedName>
    <definedName name="ADD_FINANCIAL" localSheetId="23">'Consolidated National'!$J$10:$J$16</definedName>
    <definedName name="ADD_FINANCIAL" localSheetId="24">'Consumers Choice'!$J$10:$J$16</definedName>
    <definedName name="ADD_FINANCIAL" localSheetId="25">'Consumers Mutual'!$J$10:$J$16</definedName>
    <definedName name="ADD_FINANCIAL" localSheetId="26">'Consumers United'!$J$10:$J$16</definedName>
    <definedName name="ADD_FINANCIAL" localSheetId="27">CoOportunity!$J$10:$J$16</definedName>
    <definedName name="ADD_FINANCIAL" localSheetId="28">'Coordinated Hlth'!$J$10:$J$16</definedName>
    <definedName name="ADD_FINANCIAL" localSheetId="29">'Corporate Life'!$J$10:$J$16</definedName>
    <definedName name="ADD_FINANCIAL" localSheetId="30">'Diamond Benefits'!$J$10:$J$16</definedName>
    <definedName name="ADD_FINANCIAL" localSheetId="31">'EBL Life'!$J$10:$J$16</definedName>
    <definedName name="ADD_FINANCIAL" localSheetId="33">ELNY!$J$10:$J$16</definedName>
    <definedName name="ADD_FINANCIAL" localSheetId="32">'Executive Life'!$J$10:$J$16</definedName>
    <definedName name="ADD_FINANCIAL" localSheetId="34">'Family Guaranty'!$J$10:$J$16</definedName>
    <definedName name="ADD_FINANCIAL" localSheetId="35">'Farmers &amp; Ranchers'!$J$10:$J$16</definedName>
    <definedName name="ADD_FINANCIAL" localSheetId="36">'Fidelity Bankers'!$J$10:$J$16</definedName>
    <definedName name="ADD_FINANCIAL" localSheetId="37">'Fidelity Mutual'!$J$10:$J$16</definedName>
    <definedName name="ADD_FINANCIAL" localSheetId="38">'First Capital'!$J$10:$J$16</definedName>
    <definedName name="ADD_FINANCIAL" localSheetId="39">'First Natl'!$J$10:$J$16</definedName>
    <definedName name="ADD_FINANCIAL" localSheetId="40">'First Natl (Thrnr)'!$J$10:$J$16</definedName>
    <definedName name="ADD_FINANCIAL" localSheetId="41">'Franklin American'!$J$10:$J$16</definedName>
    <definedName name="ADD_FINANCIAL" localSheetId="42">'Franklin Protective'!$J$10:$J$16</definedName>
    <definedName name="ADD_FINANCIAL" localSheetId="43">'Freelancers CO-OP'!$J$10:$J$16</definedName>
    <definedName name="ADD_FINANCIAL" localSheetId="44">Freestone!$J$10:$J$16</definedName>
    <definedName name="ADD_FINANCIAL" localSheetId="45">'George Washington'!$J$10:$J$16</definedName>
    <definedName name="ADD_FINANCIAL" localSheetId="46">'Golden State'!$J$10:$J$16</definedName>
    <definedName name="ADD_FINANCIAL" localSheetId="47">'Guarantee Security'!$J$10:$J$16</definedName>
    <definedName name="ADD_FINANCIAL" localSheetId="48">HealthyCT!$J$10:$J$16</definedName>
    <definedName name="ADD_FINANCIAL" localSheetId="49">Imerica!$J$10:$J$16</definedName>
    <definedName name="ADD_FINANCIAL" localSheetId="50">'Inter-American'!$J$10:$J$16</definedName>
    <definedName name="ADD_FINANCIAL" localSheetId="51">'International Fin'!$J$10:$J$16</definedName>
    <definedName name="ADD_FINANCIAL" localSheetId="52">'Investment Life of America'!$J$10:$J$16</definedName>
    <definedName name="ADD_FINANCIAL" localSheetId="53">'Investors Equity'!$J$10:$J$16</definedName>
    <definedName name="ADD_FINANCIAL" localSheetId="54">'Kentucky Central'!$J$10:$J$16</definedName>
    <definedName name="ADD_FINANCIAL" localSheetId="55">'Land of Lincoln'!$J$10:$J$16</definedName>
    <definedName name="ADD_FINANCIAL" localSheetId="56">Legion!$J$10:$J$16</definedName>
    <definedName name="ADD_FINANCIAL" localSheetId="57">'Life Health America'!$J$10:$J$16</definedName>
    <definedName name="ADD_FINANCIAL" localSheetId="58">'Lincoln Memorial'!$J$10:$J$16</definedName>
    <definedName name="ADD_FINANCIAL" localSheetId="59">'London Pac'!$J$10:$J$16</definedName>
    <definedName name="ADD_FINANCIAL" localSheetId="60">Lumbermens!$J$10:$J$16</definedName>
    <definedName name="ADD_FINANCIAL" localSheetId="61">'Medical Savings'!$J$10:$J$16</definedName>
    <definedName name="ADD_FINANCIAL" localSheetId="62">'Memorial Service'!$J$10:$J$16</definedName>
    <definedName name="ADD_FINANCIAL" localSheetId="63">Midcontinent!$J$10:$J$16</definedName>
    <definedName name="ADD_FINANCIAL" localSheetId="64">'Midwest Life'!$J$10:$J$16</definedName>
    <definedName name="ADD_FINANCIAL" localSheetId="65">'Monarch Life'!$J$10:$J$16</definedName>
    <definedName name="ADD_FINANCIAL" localSheetId="66">'Mutual Benefit'!$J$10:$J$16</definedName>
    <definedName name="ADD_FINANCIAL" localSheetId="67">'Mutual Security'!$J$10:$J$16</definedName>
    <definedName name="ADD_FINANCIAL" localSheetId="68">'National Affiliated'!$J$10:$J$16</definedName>
    <definedName name="ADD_FINANCIAL" localSheetId="70">'National Heritage'!$J$10:$J$16</definedName>
    <definedName name="ADD_FINANCIAL" localSheetId="71">'National States'!$J$10:$J$16</definedName>
    <definedName name="ADD_FINANCIAL" localSheetId="69">'Natl American'!$J$10:$J$16</definedName>
    <definedName name="ADD_FINANCIAL" localSheetId="72">'New Jersey Life'!$J$10:$J$16</definedName>
    <definedName name="ADD_FINANCIAL" localSheetId="74">NNIC!$J$10:$J$16</definedName>
    <definedName name="ADD_FINANCIAL" localSheetId="73">'North Carolina Mutual'!$J$10:$J$16</definedName>
    <definedName name="ADD_FINANCIAL" localSheetId="75">'Old Colony Life'!$J$10:$J$16</definedName>
    <definedName name="ADD_FINANCIAL" localSheetId="76">'Old Faithful'!$J$10:$J$16</definedName>
    <definedName name="ADD_FINANCIAL" localSheetId="77">'Pacific Standard'!$J$10:$J$16</definedName>
    <definedName name="ADD_FINANCIAL" localSheetId="78">'Pavonia Life'!$J$10:$J$16</definedName>
    <definedName name="ADD_FINANCIAL" localSheetId="79">'Pen  Treaty'!$J$10:$J$16</definedName>
    <definedName name="ADD_FINANCIAL" localSheetId="80">'Red Rock'!$J$10:$J$16</definedName>
    <definedName name="ADD_FINANCIAL" localSheetId="81">Reliance!$J$10:$J$16</definedName>
    <definedName name="ADD_FINANCIAL" localSheetId="82">SeeChange!$J$10:$J$16</definedName>
    <definedName name="ADD_FINANCIAL" localSheetId="83">'Senior American'!$J$10:$J$16</definedName>
    <definedName name="ADD_FINANCIAL" localSheetId="84">Settlers!$J$10:$J$16</definedName>
    <definedName name="ADD_FINANCIAL" localSheetId="85">Shenandoah!$J$10:$J$16</definedName>
    <definedName name="ADD_FINANCIAL" localSheetId="86">'Southland National Life'!$J$10:$J$16</definedName>
    <definedName name="ADD_FINANCIAL" localSheetId="87">'Standard Life IN'!$J$10:$J$16</definedName>
    <definedName name="ADD_FINANCIAL" localSheetId="88">'States General'!$J$10:$J$16</definedName>
    <definedName name="ADD_FINANCIAL" localSheetId="89">Statesman!$J$10:$J$16</definedName>
    <definedName name="ADD_FINANCIAL" localSheetId="90">'Summit National'!$J$10:$J$16</definedName>
    <definedName name="ADD_FINANCIAL" localSheetId="91">Supreme!$J$10:$J$16</definedName>
    <definedName name="ADD_FINANCIAL" localSheetId="92">Time!$J$10:$J$16</definedName>
    <definedName name="ADD_FINANCIAL" localSheetId="93">Underwriters!$J$10:$J$16</definedName>
    <definedName name="ADD_FINANCIAL" localSheetId="94">Unison!$J$10:$J$16</definedName>
    <definedName name="ADD_FINANCIAL" localSheetId="95">'United Republic'!$J$10:$J$16</definedName>
    <definedName name="ADD_FINANCIAL" localSheetId="96">'Universal Health Care'!$J$10:$J$16</definedName>
    <definedName name="ADD_FINANCIAL" localSheetId="97">'Universal Life'!$J$10:$J$16</definedName>
    <definedName name="ADD_FINANCIAL" localSheetId="98">Universe!$J$10:$J$16</definedName>
    <definedName name="ADD_FINANCIAL" localSheetId="99">Villanova!$J$10:$J$16</definedName>
    <definedName name="AK_FINANCIAL" localSheetId="0">'Alabama Life'!$B$7:$F$7</definedName>
    <definedName name="AK_FINANCIAL" localSheetId="5">'Amer Life Asr'!$B$7:$F$7</definedName>
    <definedName name="AK_FINANCIAL" localSheetId="8">'Amer Std Life Acc'!$B$7:$F$7</definedName>
    <definedName name="AK_FINANCIAL" localSheetId="1">'American Chambers'!$B$7:$F$7</definedName>
    <definedName name="AK_FINANCIAL" localSheetId="2">'American Community'!$B$7:$F$7</definedName>
    <definedName name="AK_FINANCIAL" localSheetId="3">'American Educators'!$B$7:$F$7</definedName>
    <definedName name="AK_FINANCIAL" localSheetId="4">'American Integrity'!$B$7:$F$7</definedName>
    <definedName name="AK_FINANCIAL" localSheetId="6">'American Medical'!$B$7:$F$7</definedName>
    <definedName name="AK_FINANCIAL" localSheetId="7">'American Network'!$B$7:$F$7</definedName>
    <definedName name="AK_FINANCIAL" localSheetId="9">AmerWstrn!$B$7:$F$7</definedName>
    <definedName name="AK_FINANCIAL" localSheetId="10">'AMS Life'!$B$7:$F$7</definedName>
    <definedName name="AK_FINANCIAL" localSheetId="11">'Andrew Jackson'!$B$7:$F$7</definedName>
    <definedName name="AK_FINANCIAL" localSheetId="12">'Bankers Commercial'!$B$7:$F$7</definedName>
    <definedName name="AK_FINANCIAL" localSheetId="13">'Bankers Life'!$B$7:$F$7</definedName>
    <definedName name="AK_FINANCIAL" localSheetId="14">Benicorp!$B$7:$F$7</definedName>
    <definedName name="AK_FINANCIAL" localSheetId="15">'Booker T Washington'!$B$7:$F$7</definedName>
    <definedName name="AK_FINANCIAL" localSheetId="16">Centennial!$B$7:$F$7</definedName>
    <definedName name="AK_FINANCIAL" localSheetId="18">'CO Bankers'!$B$7:$F$7</definedName>
    <definedName name="AK_FINANCIAL" localSheetId="17">'Coastal States'!$B$7:$F$7</definedName>
    <definedName name="AK_FINANCIAL" localSheetId="19">'Colorado Health'!$B$7:$F$7</definedName>
    <definedName name="AK_FINANCIAL" localSheetId="20">'Compass (dbs Meritus)'!$B$7:$F$7</definedName>
    <definedName name="AK_FINANCIAL" localSheetId="21">'Confed Life &amp; Annty (CLIAC)'!$B$7:$F$7</definedName>
    <definedName name="AK_FINANCIAL" localSheetId="22">'Confed Life (CLIC)'!$B$7:$F$7</definedName>
    <definedName name="AK_FINANCIAL" localSheetId="23">'Consolidated National'!$B$7:$F$7</definedName>
    <definedName name="AK_FINANCIAL" localSheetId="24">'Consumers Choice'!$B$7:$F$7</definedName>
    <definedName name="AK_FINANCIAL" localSheetId="25">'Consumers Mutual'!$B$7:$F$7</definedName>
    <definedName name="AK_FINANCIAL" localSheetId="26">'Consumers United'!$B$7:$F$7</definedName>
    <definedName name="AK_FINANCIAL" localSheetId="27">CoOportunity!$B$7:$F$7</definedName>
    <definedName name="AK_FINANCIAL" localSheetId="28">'Coordinated Hlth'!$B$7:$F$7</definedName>
    <definedName name="AK_FINANCIAL" localSheetId="29">'Corporate Life'!$B$7:$F$7</definedName>
    <definedName name="AK_FINANCIAL" localSheetId="30">'Diamond Benefits'!$B$7:$F$7</definedName>
    <definedName name="AK_FINANCIAL" localSheetId="31">'EBL Life'!$B$7:$F$7</definedName>
    <definedName name="AK_FINANCIAL" localSheetId="33">ELNY!$B$7:$F$7</definedName>
    <definedName name="AK_FINANCIAL" localSheetId="32">'Executive Life'!$B$7:$F$7</definedName>
    <definedName name="AK_FINANCIAL" localSheetId="34">'Family Guaranty'!$B$7:$F$7</definedName>
    <definedName name="AK_FINANCIAL" localSheetId="35">'Farmers &amp; Ranchers'!$B$7:$F$7</definedName>
    <definedName name="AK_FINANCIAL" localSheetId="36">'Fidelity Bankers'!$B$7:$F$7</definedName>
    <definedName name="AK_FINANCIAL" localSheetId="37">'Fidelity Mutual'!$B$7:$F$7</definedName>
    <definedName name="AK_FINANCIAL" localSheetId="38">'First Capital'!$B$7:$F$7</definedName>
    <definedName name="AK_FINANCIAL" localSheetId="39">'First Natl'!$B$7:$F$7</definedName>
    <definedName name="AK_FINANCIAL" localSheetId="40">'First Natl (Thrnr)'!$B$7:$F$7</definedName>
    <definedName name="AK_FINANCIAL" localSheetId="41">'Franklin American'!$B$7:$F$7</definedName>
    <definedName name="AK_FINANCIAL" localSheetId="42">'Franklin Protective'!$B$7:$F$7</definedName>
    <definedName name="AK_FINANCIAL" localSheetId="43">'Freelancers CO-OP'!$B$7:$F$7</definedName>
    <definedName name="AK_FINANCIAL" localSheetId="44">Freestone!$B$7:$F$7</definedName>
    <definedName name="AK_FINANCIAL" localSheetId="45">'George Washington'!$B$7:$F$7</definedName>
    <definedName name="AK_FINANCIAL" localSheetId="46">'Golden State'!$B$7:$F$7</definedName>
    <definedName name="AK_FINANCIAL" localSheetId="47">'Guarantee Security'!$B$7:$F$7</definedName>
    <definedName name="AK_FINANCIAL" localSheetId="48">HealthyCT!$B$7:$F$7</definedName>
    <definedName name="AK_FINANCIAL" localSheetId="49">Imerica!$B$7:$F$7</definedName>
    <definedName name="AK_FINANCIAL" localSheetId="50">'Inter-American'!$B$7:$F$7</definedName>
    <definedName name="AK_FINANCIAL" localSheetId="51">'International Fin'!$B$7:$F$7</definedName>
    <definedName name="AK_FINANCIAL" localSheetId="52">'Investment Life of America'!$B$7:$F$7</definedName>
    <definedName name="AK_FINANCIAL" localSheetId="53">'Investors Equity'!$B$7:$F$7</definedName>
    <definedName name="AK_FINANCIAL" localSheetId="54">'Kentucky Central'!$B$7:$F$7</definedName>
    <definedName name="AK_FINANCIAL" localSheetId="55">'Land of Lincoln'!$B$7:$F$7</definedName>
    <definedName name="AK_FINANCIAL" localSheetId="56">Legion!$B$7:$F$7</definedName>
    <definedName name="AK_FINANCIAL" localSheetId="57">'Life Health America'!$B$7:$F$7</definedName>
    <definedName name="AK_FINANCIAL" localSheetId="58">'Lincoln Memorial'!$B$7:$F$7</definedName>
    <definedName name="AK_FINANCIAL" localSheetId="59">'London Pac'!$B$7:$F$7</definedName>
    <definedName name="AK_FINANCIAL" localSheetId="60">Lumbermens!$B$7:$F$7</definedName>
    <definedName name="AK_FINANCIAL" localSheetId="61">'Medical Savings'!$B$7:$F$7</definedName>
    <definedName name="AK_FINANCIAL" localSheetId="62">'Memorial Service'!$B$7:$F$7</definedName>
    <definedName name="AK_FINANCIAL" localSheetId="63">Midcontinent!$B$7:$F$7</definedName>
    <definedName name="AK_FINANCIAL" localSheetId="64">'Midwest Life'!$B$7:$F$7</definedName>
    <definedName name="AK_FINANCIAL" localSheetId="65">'Monarch Life'!$B$7:$F$7</definedName>
    <definedName name="AK_FINANCIAL" localSheetId="66">'Mutual Benefit'!$B$7:$F$7</definedName>
    <definedName name="AK_FINANCIAL" localSheetId="67">'Mutual Security'!$B$7:$F$7</definedName>
    <definedName name="AK_FINANCIAL" localSheetId="68">'National Affiliated'!$B$7:$F$7</definedName>
    <definedName name="AK_FINANCIAL" localSheetId="70">'National Heritage'!$B$7:$F$7</definedName>
    <definedName name="AK_FINANCIAL" localSheetId="71">'National States'!$B$7:$F$7</definedName>
    <definedName name="AK_FINANCIAL" localSheetId="69">'Natl American'!$B$7:$F$7</definedName>
    <definedName name="AK_FINANCIAL" localSheetId="72">'New Jersey Life'!$B$7:$F$7</definedName>
    <definedName name="AK_FINANCIAL" localSheetId="74">NNIC!$B$7:$F$7</definedName>
    <definedName name="AK_FINANCIAL" localSheetId="73">'North Carolina Mutual'!$B$7:$F$7</definedName>
    <definedName name="AK_FINANCIAL" localSheetId="75">'Old Colony Life'!$B$7:$F$7</definedName>
    <definedName name="AK_FINANCIAL" localSheetId="76">'Old Faithful'!$B$7:$F$7</definedName>
    <definedName name="AK_FINANCIAL" localSheetId="77">'Pacific Standard'!$B$7:$F$7</definedName>
    <definedName name="AK_FINANCIAL" localSheetId="78">'Pavonia Life'!$B$7:$F$7</definedName>
    <definedName name="AK_FINANCIAL" localSheetId="79">'Pen  Treaty'!$B$7:$F$7</definedName>
    <definedName name="AK_FINANCIAL" localSheetId="80">'Red Rock'!$B$7:$F$7</definedName>
    <definedName name="AK_FINANCIAL" localSheetId="81">Reliance!$B$7:$F$7</definedName>
    <definedName name="AK_FINANCIAL" localSheetId="82">SeeChange!$B$7:$F$7</definedName>
    <definedName name="AK_FINANCIAL" localSheetId="83">'Senior American'!$B$7:$F$7</definedName>
    <definedName name="AK_FINANCIAL" localSheetId="84">Settlers!$B$7:$F$7</definedName>
    <definedName name="AK_FINANCIAL" localSheetId="85">Shenandoah!$B$7:$F$7</definedName>
    <definedName name="AK_FINANCIAL" localSheetId="86">'Southland National Life'!$B$7:$F$7</definedName>
    <definedName name="AK_FINANCIAL" localSheetId="87">'Standard Life IN'!$B$7:$F$7</definedName>
    <definedName name="AK_FINANCIAL" localSheetId="88">'States General'!$B$7:$F$7</definedName>
    <definedName name="AK_FINANCIAL" localSheetId="89">Statesman!$B$7:$F$7</definedName>
    <definedName name="AK_FINANCIAL" localSheetId="90">'Summit National'!$B$7:$F$7</definedName>
    <definedName name="AK_FINANCIAL" localSheetId="91">Supreme!$B$7:$F$7</definedName>
    <definedName name="AK_FINANCIAL" localSheetId="92">Time!$B$7:$F$7</definedName>
    <definedName name="AK_FINANCIAL" localSheetId="106">'Total Summary'!$B$7:$F$7</definedName>
    <definedName name="AK_FINANCIAL" localSheetId="93">Underwriters!$B$7:$F$7</definedName>
    <definedName name="AK_FINANCIAL" localSheetId="94">Unison!$B$7:$F$7</definedName>
    <definedName name="AK_FINANCIAL" localSheetId="95">'United Republic'!$B$7:$F$7</definedName>
    <definedName name="AK_FINANCIAL" localSheetId="96">'Universal Health Care'!$B$7:$F$7</definedName>
    <definedName name="AK_FINANCIAL" localSheetId="97">'Universal Life'!$B$7:$F$7</definedName>
    <definedName name="AK_FINANCIAL" localSheetId="98">Universe!$B$7:$F$7</definedName>
    <definedName name="AK_FINANCIAL" localSheetId="99">Villanova!$B$7:$F$7</definedName>
    <definedName name="AL_FINANCIAL" localSheetId="0">'Alabama Life'!$B$6:$F$6</definedName>
    <definedName name="AL_FINANCIAL" localSheetId="5">'Amer Life Asr'!$B$6:$F$6</definedName>
    <definedName name="AL_FINANCIAL" localSheetId="8">'Amer Std Life Acc'!$B$6:$F$6</definedName>
    <definedName name="AL_FINANCIAL" localSheetId="1">'American Chambers'!$B$6:$F$6</definedName>
    <definedName name="AL_FINANCIAL" localSheetId="2">'American Community'!$B$6:$F$6</definedName>
    <definedName name="AL_FINANCIAL" localSheetId="3">'American Educators'!$B$6:$F$6</definedName>
    <definedName name="AL_FINANCIAL" localSheetId="4">'American Integrity'!$B$6:$F$6</definedName>
    <definedName name="AL_FINANCIAL" localSheetId="6">'American Medical'!$B$6:$F$6</definedName>
    <definedName name="AL_FINANCIAL" localSheetId="7">'American Network'!$B$6:$F$6</definedName>
    <definedName name="AL_FINANCIAL" localSheetId="9">AmerWstrn!$B$6:$F$6</definedName>
    <definedName name="AL_FINANCIAL" localSheetId="10">'AMS Life'!$B$6:$F$6</definedName>
    <definedName name="AL_FINANCIAL" localSheetId="11">'Andrew Jackson'!$B$6:$F$6</definedName>
    <definedName name="AL_FINANCIAL" localSheetId="12">'Bankers Commercial'!$B$6:$F$6</definedName>
    <definedName name="AL_FINANCIAL" localSheetId="13">'Bankers Life'!$B$6:$F$6</definedName>
    <definedName name="AL_FINANCIAL" localSheetId="14">Benicorp!$B$6:$F$6</definedName>
    <definedName name="AL_FINANCIAL" localSheetId="15">'Booker T Washington'!$B$6:$F$6</definedName>
    <definedName name="AL_FINANCIAL" localSheetId="16">Centennial!$B$6:$F$6</definedName>
    <definedName name="AL_FINANCIAL" localSheetId="18">'CO Bankers'!$B$6:$F$6</definedName>
    <definedName name="AL_FINANCIAL" localSheetId="17">'Coastal States'!$B$6:$F$6</definedName>
    <definedName name="AL_FINANCIAL" localSheetId="19">'Colorado Health'!$B$6:$F$6</definedName>
    <definedName name="AL_FINANCIAL" localSheetId="20">'Compass (dbs Meritus)'!$B$6:$F$6</definedName>
    <definedName name="AL_FINANCIAL" localSheetId="21">'Confed Life &amp; Annty (CLIAC)'!$B$6:$F$6</definedName>
    <definedName name="AL_FINANCIAL" localSheetId="22">'Confed Life (CLIC)'!$B$6:$F$6</definedName>
    <definedName name="AL_FINANCIAL" localSheetId="23">'Consolidated National'!$B$6:$F$6</definedName>
    <definedName name="AL_FINANCIAL" localSheetId="24">'Consumers Choice'!$B$6:$F$6</definedName>
    <definedName name="AL_FINANCIAL" localSheetId="25">'Consumers Mutual'!$B$6:$F$6</definedName>
    <definedName name="AL_FINANCIAL" localSheetId="26">'Consumers United'!$B$6:$F$6</definedName>
    <definedName name="AL_FINANCIAL" localSheetId="27">CoOportunity!$B$6:$F$6</definedName>
    <definedName name="AL_FINANCIAL" localSheetId="28">'Coordinated Hlth'!$B$6:$F$6</definedName>
    <definedName name="AL_FINANCIAL" localSheetId="29">'Corporate Life'!$B$6:$F$6</definedName>
    <definedName name="AL_FINANCIAL" localSheetId="30">'Diamond Benefits'!$B$6:$F$6</definedName>
    <definedName name="AL_FINANCIAL" localSheetId="31">'EBL Life'!$B$6:$F$6</definedName>
    <definedName name="AL_FINANCIAL" localSheetId="33">ELNY!$B$6:$F$6</definedName>
    <definedName name="AL_FINANCIAL" localSheetId="32">'Executive Life'!$B$6:$F$6</definedName>
    <definedName name="AL_FINANCIAL" localSheetId="34">'Family Guaranty'!$B$6:$F$6</definedName>
    <definedName name="AL_FINANCIAL" localSheetId="35">'Farmers &amp; Ranchers'!$B$6:$F$6</definedName>
    <definedName name="AL_FINANCIAL" localSheetId="36">'Fidelity Bankers'!$B$6:$F$6</definedName>
    <definedName name="AL_FINANCIAL" localSheetId="37">'Fidelity Mutual'!$B$6:$F$6</definedName>
    <definedName name="AL_FINANCIAL" localSheetId="38">'First Capital'!$B$6:$F$6</definedName>
    <definedName name="AL_FINANCIAL" localSheetId="39">'First Natl'!$B$6:$F$6</definedName>
    <definedName name="AL_FINANCIAL" localSheetId="40">'First Natl (Thrnr)'!$B$6:$F$6</definedName>
    <definedName name="AL_FINANCIAL" localSheetId="41">'Franklin American'!$B$6:$F$6</definedName>
    <definedName name="AL_FINANCIAL" localSheetId="42">'Franklin Protective'!$B$6:$F$6</definedName>
    <definedName name="AL_FINANCIAL" localSheetId="43">'Freelancers CO-OP'!$B$6:$F$6</definedName>
    <definedName name="AL_FINANCIAL" localSheetId="44">Freestone!$B$6:$F$6</definedName>
    <definedName name="AL_FINANCIAL" localSheetId="45">'George Washington'!$B$6:$F$6</definedName>
    <definedName name="AL_FINANCIAL" localSheetId="46">'Golden State'!$B$6:$F$6</definedName>
    <definedName name="AL_FINANCIAL" localSheetId="47">'Guarantee Security'!$B$6:$F$6</definedName>
    <definedName name="AL_FINANCIAL" localSheetId="48">HealthyCT!$B$6:$F$6</definedName>
    <definedName name="AL_FINANCIAL" localSheetId="49">Imerica!$B$6:$F$6</definedName>
    <definedName name="AL_FINANCIAL" localSheetId="50">'Inter-American'!$B$6:$F$6</definedName>
    <definedName name="AL_FINANCIAL" localSheetId="51">'International Fin'!$B$6:$F$6</definedName>
    <definedName name="AL_FINANCIAL" localSheetId="52">'Investment Life of America'!$B$6:$F$6</definedName>
    <definedName name="AL_FINANCIAL" localSheetId="53">'Investors Equity'!$B$6:$F$6</definedName>
    <definedName name="AL_FINANCIAL" localSheetId="54">'Kentucky Central'!$B$6:$F$6</definedName>
    <definedName name="AL_FINANCIAL" localSheetId="55">'Land of Lincoln'!$B$6:$F$6</definedName>
    <definedName name="AL_FINANCIAL" localSheetId="56">Legion!$B$6:$F$6</definedName>
    <definedName name="AL_FINANCIAL" localSheetId="57">'Life Health America'!$B$6:$F$6</definedName>
    <definedName name="AL_FINANCIAL" localSheetId="58">'Lincoln Memorial'!$B$6:$F$6</definedName>
    <definedName name="AL_FINANCIAL" localSheetId="59">'London Pac'!$B$6:$F$6</definedName>
    <definedName name="AL_FINANCIAL" localSheetId="60">Lumbermens!$B$6:$F$6</definedName>
    <definedName name="AL_FINANCIAL" localSheetId="61">'Medical Savings'!$B$6:$F$6</definedName>
    <definedName name="AL_FINANCIAL" localSheetId="62">'Memorial Service'!$B$6:$F$6</definedName>
    <definedName name="AL_FINANCIAL" localSheetId="63">Midcontinent!$B$6:$F$6</definedName>
    <definedName name="AL_FINANCIAL" localSheetId="64">'Midwest Life'!$B$6:$F$6</definedName>
    <definedName name="AL_FINANCIAL" localSheetId="65">'Monarch Life'!$B$6:$F$6</definedName>
    <definedName name="AL_FINANCIAL" localSheetId="66">'Mutual Benefit'!$B$6:$F$6</definedName>
    <definedName name="AL_FINANCIAL" localSheetId="67">'Mutual Security'!$B$6:$F$6</definedName>
    <definedName name="AL_FINANCIAL" localSheetId="68">'National Affiliated'!$B$6:$F$6</definedName>
    <definedName name="AL_FINANCIAL" localSheetId="70">'National Heritage'!$B$6:$F$6</definedName>
    <definedName name="AL_FINANCIAL" localSheetId="71">'National States'!$B$6:$F$6</definedName>
    <definedName name="AL_FINANCIAL" localSheetId="69">'Natl American'!$B$6:$F$6</definedName>
    <definedName name="AL_FINANCIAL" localSheetId="72">'New Jersey Life'!$B$6:$F$6</definedName>
    <definedName name="AL_FINANCIAL" localSheetId="74">NNIC!$B$6:$F$6</definedName>
    <definedName name="AL_FINANCIAL" localSheetId="73">'North Carolina Mutual'!$B$6:$F$6</definedName>
    <definedName name="AL_FINANCIAL" localSheetId="75">'Old Colony Life'!$B$6:$F$6</definedName>
    <definedName name="AL_FINANCIAL" localSheetId="76">'Old Faithful'!$B$6:$F$6</definedName>
    <definedName name="AL_FINANCIAL" localSheetId="77">'Pacific Standard'!$B$6:$F$6</definedName>
    <definedName name="AL_FINANCIAL" localSheetId="78">'Pavonia Life'!$B$6:$F$6</definedName>
    <definedName name="AL_FINANCIAL" localSheetId="79">'Pen  Treaty'!$B$6:$F$6</definedName>
    <definedName name="AL_FINANCIAL" localSheetId="80">'Red Rock'!$B$6:$F$6</definedName>
    <definedName name="AL_FINANCIAL" localSheetId="81">Reliance!$B$6:$F$6</definedName>
    <definedName name="AL_FINANCIAL" localSheetId="82">SeeChange!$B$6:$F$6</definedName>
    <definedName name="AL_FINANCIAL" localSheetId="83">'Senior American'!$B$6:$F$6</definedName>
    <definedName name="AL_FINANCIAL" localSheetId="84">Settlers!$B$6:$F$6</definedName>
    <definedName name="AL_FINANCIAL" localSheetId="85">Shenandoah!$B$6:$F$6</definedName>
    <definedName name="AL_FINANCIAL" localSheetId="86">'Southland National Life'!$B$6:$F$6</definedName>
    <definedName name="AL_FINANCIAL" localSheetId="87">'Standard Life IN'!$B$6:$F$6</definedName>
    <definedName name="AL_FINANCIAL" localSheetId="88">'States General'!$B$6:$F$6</definedName>
    <definedName name="AL_FINANCIAL" localSheetId="89">Statesman!$B$6:$F$6</definedName>
    <definedName name="AL_FINANCIAL" localSheetId="90">'Summit National'!$B$6:$F$6</definedName>
    <definedName name="AL_FINANCIAL" localSheetId="91">Supreme!$B$6:$F$6</definedName>
    <definedName name="AL_FINANCIAL" localSheetId="92">Time!$B$6:$F$6</definedName>
    <definedName name="AL_FINANCIAL" localSheetId="106">'Total Summary'!$B$6:$F$6</definedName>
    <definedName name="AL_FINANCIAL" localSheetId="93">Underwriters!$B$6:$F$6</definedName>
    <definedName name="AL_FINANCIAL" localSheetId="94">Unison!$B$6:$F$6</definedName>
    <definedName name="AL_FINANCIAL" localSheetId="95">'United Republic'!$B$6:$F$6</definedName>
    <definedName name="AL_FINANCIAL" localSheetId="96">'Universal Health Care'!$B$6:$F$6</definedName>
    <definedName name="AL_FINANCIAL" localSheetId="97">'Universal Life'!$B$6:$F$6</definedName>
    <definedName name="AL_FINANCIAL" localSheetId="98">Universe!$B$6:$F$6</definedName>
    <definedName name="AL_FINANCIAL" localSheetId="99">Villanova!$B$6:$F$6</definedName>
    <definedName name="ALL_BLOCKS" localSheetId="0">'Alabama Life'!$G$6:$G$59</definedName>
    <definedName name="ALL_BLOCKS" localSheetId="5">'Amer Life Asr'!$G$6:$G$59</definedName>
    <definedName name="ALL_BLOCKS" localSheetId="8">'Amer Std Life Acc'!$G$6:$G$59</definedName>
    <definedName name="ALL_BLOCKS" localSheetId="1">'American Chambers'!$G$6:$G$59</definedName>
    <definedName name="ALL_BLOCKS" localSheetId="2">'American Community'!$G$6:$G$59</definedName>
    <definedName name="ALL_BLOCKS" localSheetId="3">'American Educators'!$G$6:$G$59</definedName>
    <definedName name="ALL_BLOCKS" localSheetId="4">'American Integrity'!$G$6:$G$59</definedName>
    <definedName name="ALL_BLOCKS" localSheetId="6">'American Medical'!$G$6:$G$59</definedName>
    <definedName name="ALL_BLOCKS" localSheetId="7">'American Network'!$G$6:$G$59</definedName>
    <definedName name="ALL_BLOCKS" localSheetId="9">AmerWstrn!$G$6:$G$59</definedName>
    <definedName name="ALL_BLOCKS" localSheetId="10">'AMS Life'!$G$6:$G$59</definedName>
    <definedName name="ALL_BLOCKS" localSheetId="11">'Andrew Jackson'!$G$6:$G$59</definedName>
    <definedName name="ALL_BLOCKS" localSheetId="12">'Bankers Commercial'!$G$6:$G$59</definedName>
    <definedName name="ALL_BLOCKS" localSheetId="13">'Bankers Life'!$G$6:$G$59</definedName>
    <definedName name="ALL_BLOCKS" localSheetId="14">Benicorp!$G$6:$G$59</definedName>
    <definedName name="ALL_BLOCKS" localSheetId="15">'Booker T Washington'!$G$6:$G$59</definedName>
    <definedName name="ALL_BLOCKS" localSheetId="16">Centennial!$G$6:$G$59</definedName>
    <definedName name="ALL_BLOCKS" localSheetId="18">'CO Bankers'!$G$6:$G$59</definedName>
    <definedName name="ALL_BLOCKS" localSheetId="17">'Coastal States'!$G$6:$G$59</definedName>
    <definedName name="ALL_BLOCKS" localSheetId="19">'Colorado Health'!$G$6:$G$59</definedName>
    <definedName name="ALL_BLOCKS" localSheetId="20">'Compass (dbs Meritus)'!$G$6:$G$59</definedName>
    <definedName name="ALL_BLOCKS" localSheetId="21">'Confed Life &amp; Annty (CLIAC)'!$G$6:$G$59</definedName>
    <definedName name="ALL_BLOCKS" localSheetId="22">'Confed Life (CLIC)'!$G$6:$G$59</definedName>
    <definedName name="ALL_BLOCKS" localSheetId="23">'Consolidated National'!$G$6:$G$59</definedName>
    <definedName name="ALL_BLOCKS" localSheetId="24">'Consumers Choice'!$G$6:$G$59</definedName>
    <definedName name="ALL_BLOCKS" localSheetId="25">'Consumers Mutual'!$G$6:$G$59</definedName>
    <definedName name="ALL_BLOCKS" localSheetId="26">'Consumers United'!$G$6:$G$59</definedName>
    <definedName name="ALL_BLOCKS" localSheetId="27">CoOportunity!$G$6:$G$59</definedName>
    <definedName name="ALL_BLOCKS" localSheetId="28">'Coordinated Hlth'!$G$6:$G$59</definedName>
    <definedName name="ALL_BLOCKS" localSheetId="29">'Corporate Life'!$G$6:$G$59</definedName>
    <definedName name="ALL_BLOCKS" localSheetId="30">'Diamond Benefits'!$G$6:$G$59</definedName>
    <definedName name="ALL_BLOCKS" localSheetId="31">'EBL Life'!$G$6:$G$59</definedName>
    <definedName name="ALL_BLOCKS" localSheetId="33">ELNY!$G$6:$G$59</definedName>
    <definedName name="ALL_BLOCKS" localSheetId="32">'Executive Life'!$G$6:$G$59</definedName>
    <definedName name="ALL_BLOCKS" localSheetId="34">'Family Guaranty'!$G$6:$G$59</definedName>
    <definedName name="ALL_BLOCKS" localSheetId="35">'Farmers &amp; Ranchers'!$G$6:$G$59</definedName>
    <definedName name="ALL_BLOCKS" localSheetId="36">'Fidelity Bankers'!$G$6:$G$59</definedName>
    <definedName name="ALL_BLOCKS" localSheetId="37">'Fidelity Mutual'!$G$6:$G$59</definedName>
    <definedName name="ALL_BLOCKS" localSheetId="38">'First Capital'!$G$6:$G$59</definedName>
    <definedName name="ALL_BLOCKS" localSheetId="39">'First Natl'!$G$6:$G$59</definedName>
    <definedName name="ALL_BLOCKS" localSheetId="40">'First Natl (Thrnr)'!$G$6:$G$59</definedName>
    <definedName name="ALL_BLOCKS" localSheetId="41">'Franklin American'!$G$6:$G$59</definedName>
    <definedName name="ALL_BLOCKS" localSheetId="42">'Franklin Protective'!$G$6:$G$59</definedName>
    <definedName name="ALL_BLOCKS" localSheetId="43">'Freelancers CO-OP'!$G$6:$G$59</definedName>
    <definedName name="ALL_BLOCKS" localSheetId="44">Freestone!$G$6:$G$59</definedName>
    <definedName name="ALL_BLOCKS" localSheetId="45">'George Washington'!$G$6:$G$59</definedName>
    <definedName name="ALL_BLOCKS" localSheetId="46">'Golden State'!$G$6:$G$59</definedName>
    <definedName name="ALL_BLOCKS" localSheetId="47">'Guarantee Security'!$G$6:$G$59</definedName>
    <definedName name="ALL_BLOCKS" localSheetId="48">HealthyCT!$G$6:$G$59</definedName>
    <definedName name="ALL_BLOCKS" localSheetId="49">Imerica!$G$6:$G$59</definedName>
    <definedName name="ALL_BLOCKS" localSheetId="50">'Inter-American'!$G$6:$G$59</definedName>
    <definedName name="ALL_BLOCKS" localSheetId="51">'International Fin'!$G$6:$G$59</definedName>
    <definedName name="ALL_BLOCKS" localSheetId="52">'Investment Life of America'!$G$6:$G$59</definedName>
    <definedName name="ALL_BLOCKS" localSheetId="53">'Investors Equity'!$G$6:$G$59</definedName>
    <definedName name="ALL_BLOCKS" localSheetId="54">'Kentucky Central'!$G$6:$G$59</definedName>
    <definedName name="ALL_BLOCKS" localSheetId="55">'Land of Lincoln'!$G$6:$G$59</definedName>
    <definedName name="ALL_BLOCKS" localSheetId="56">Legion!$G$6:$G$59</definedName>
    <definedName name="ALL_BLOCKS" localSheetId="57">'Life Health America'!$G$6:$G$59</definedName>
    <definedName name="ALL_BLOCKS" localSheetId="58">'Lincoln Memorial'!$G$6:$G$59</definedName>
    <definedName name="ALL_BLOCKS" localSheetId="59">'London Pac'!$G$6:$G$59</definedName>
    <definedName name="ALL_BLOCKS" localSheetId="60">Lumbermens!$G$6:$G$59</definedName>
    <definedName name="ALL_BLOCKS" localSheetId="61">'Medical Savings'!$G$6:$G$59</definedName>
    <definedName name="ALL_BLOCKS" localSheetId="62">'Memorial Service'!$G$6:$G$59</definedName>
    <definedName name="ALL_BLOCKS" localSheetId="63">Midcontinent!$G$6:$G$59</definedName>
    <definedName name="ALL_BLOCKS" localSheetId="64">'Midwest Life'!$G$6:$G$59</definedName>
    <definedName name="ALL_BLOCKS" localSheetId="65">'Monarch Life'!$G$6:$G$59</definedName>
    <definedName name="ALL_BLOCKS" localSheetId="66">'Mutual Benefit'!$G$6:$G$59</definedName>
    <definedName name="ALL_BLOCKS" localSheetId="67">'Mutual Security'!$G$6:$G$59</definedName>
    <definedName name="ALL_BLOCKS" localSheetId="68">'National Affiliated'!$G$6:$G$59</definedName>
    <definedName name="ALL_BLOCKS" localSheetId="70">'National Heritage'!$G$6:$G$59</definedName>
    <definedName name="ALL_BLOCKS" localSheetId="71">'National States'!$G$6:$G$59</definedName>
    <definedName name="ALL_BLOCKS" localSheetId="69">'Natl American'!$G$6:$G$59</definedName>
    <definedName name="ALL_BLOCKS" localSheetId="72">'New Jersey Life'!$G$6:$G$59</definedName>
    <definedName name="ALL_BLOCKS" localSheetId="74">NNIC!$G$6:$G$59</definedName>
    <definedName name="ALL_BLOCKS" localSheetId="73">'North Carolina Mutual'!$G$6:$G$59</definedName>
    <definedName name="ALL_BLOCKS" localSheetId="75">'Old Colony Life'!$G$6:$G$59</definedName>
    <definedName name="ALL_BLOCKS" localSheetId="76">'Old Faithful'!$G$6:$G$59</definedName>
    <definedName name="ALL_BLOCKS" localSheetId="77">'Pacific Standard'!$G$6:$G$59</definedName>
    <definedName name="ALL_BLOCKS" localSheetId="78">'Pavonia Life'!$G$6:$G$59</definedName>
    <definedName name="ALL_BLOCKS" localSheetId="79">'Pen  Treaty'!$G$6:$G$59</definedName>
    <definedName name="ALL_BLOCKS" localSheetId="80">'Red Rock'!$G$6:$G$59</definedName>
    <definedName name="ALL_BLOCKS" localSheetId="81">Reliance!$G$6:$G$59</definedName>
    <definedName name="ALL_BLOCKS" localSheetId="82">SeeChange!$G$6:$G$59</definedName>
    <definedName name="ALL_BLOCKS" localSheetId="83">'Senior American'!$G$6:$G$59</definedName>
    <definedName name="ALL_BLOCKS" localSheetId="84">Settlers!$G$6:$G$59</definedName>
    <definedName name="ALL_BLOCKS" localSheetId="85">Shenandoah!$G$6:$G$59</definedName>
    <definedName name="ALL_BLOCKS" localSheetId="86">'Southland National Life'!$G$6:$G$59</definedName>
    <definedName name="ALL_BLOCKS" localSheetId="87">'Standard Life IN'!$G$6:$G$59</definedName>
    <definedName name="ALL_BLOCKS" localSheetId="88">'States General'!$G$6:$G$59</definedName>
    <definedName name="ALL_BLOCKS" localSheetId="89">Statesman!$G$6:$G$59</definedName>
    <definedName name="ALL_BLOCKS" localSheetId="90">'Summit National'!$G$6:$G$59</definedName>
    <definedName name="ALL_BLOCKS" localSheetId="91">Supreme!$G$6:$G$59</definedName>
    <definedName name="ALL_BLOCKS" localSheetId="92">Time!$G$6:$G$59</definedName>
    <definedName name="ALL_BLOCKS" localSheetId="106">'Total Summary'!$G$6:$G$59</definedName>
    <definedName name="ALL_BLOCKS" localSheetId="93">Underwriters!$G$6:$G$59</definedName>
    <definedName name="ALL_BLOCKS" localSheetId="94">Unison!$G$6:$G$59</definedName>
    <definedName name="ALL_BLOCKS" localSheetId="95">'United Republic'!$G$6:$G$59</definedName>
    <definedName name="ALL_BLOCKS" localSheetId="96">'Universal Health Care'!$G$6:$G$59</definedName>
    <definedName name="ALL_BLOCKS" localSheetId="97">'Universal Life'!$G$6:$G$59</definedName>
    <definedName name="ALL_BLOCKS" localSheetId="98">Universe!$G$6:$G$59</definedName>
    <definedName name="ALL_BLOCKS" localSheetId="99">Villanova!$G$6:$G$59</definedName>
    <definedName name="ALLOC_CALLED" localSheetId="0">'Alabama Life'!$O$6:$O$58</definedName>
    <definedName name="ALLOC_CALLED" localSheetId="5">'Amer Life Asr'!$O$6:$O$58</definedName>
    <definedName name="ALLOC_CALLED" localSheetId="8">'Amer Std Life Acc'!$O$6:$O$58</definedName>
    <definedName name="ALLOC_CALLED" localSheetId="1">'American Chambers'!$O$6:$O$58</definedName>
    <definedName name="ALLOC_CALLED" localSheetId="2">'American Community'!$O$6:$O$58</definedName>
    <definedName name="ALLOC_CALLED" localSheetId="3">'American Educators'!$O$6:$O$58</definedName>
    <definedName name="ALLOC_CALLED" localSheetId="4">'American Integrity'!$O$6:$O$58</definedName>
    <definedName name="ALLOC_CALLED" localSheetId="6">'American Medical'!$O$6:$O$58</definedName>
    <definedName name="ALLOC_CALLED" localSheetId="7">'American Network'!$O$6:$O$58</definedName>
    <definedName name="ALLOC_CALLED" localSheetId="9">AmerWstrn!$O$6:$O$58</definedName>
    <definedName name="ALLOC_CALLED" localSheetId="10">'AMS Life'!$O$6:$O$58</definedName>
    <definedName name="ALLOC_CALLED" localSheetId="11">'Andrew Jackson'!$O$6:$O$58</definedName>
    <definedName name="ALLOC_CALLED" localSheetId="12">'Bankers Commercial'!$O$6:$O$58</definedName>
    <definedName name="ALLOC_CALLED" localSheetId="13">'Bankers Life'!$O$6:$O$58</definedName>
    <definedName name="ALLOC_CALLED" localSheetId="14">Benicorp!$O$6:$O$58</definedName>
    <definedName name="ALLOC_CALLED" localSheetId="15">'Booker T Washington'!$O$6:$O$58</definedName>
    <definedName name="ALLOC_CALLED" localSheetId="16">Centennial!$O$6:$O$58</definedName>
    <definedName name="ALLOC_CALLED" localSheetId="18">'CO Bankers'!$O$6:$O$58</definedName>
    <definedName name="ALLOC_CALLED" localSheetId="17">'Coastal States'!$O$6:$O$58</definedName>
    <definedName name="ALLOC_CALLED" localSheetId="19">'Colorado Health'!$O$6:$O$58</definedName>
    <definedName name="ALLOC_CALLED" localSheetId="20">'Compass (dbs Meritus)'!$O$6:$O$58</definedName>
    <definedName name="ALLOC_CALLED" localSheetId="21">'Confed Life &amp; Annty (CLIAC)'!$O$6:$O$58</definedName>
    <definedName name="ALLOC_CALLED" localSheetId="22">'Confed Life (CLIC)'!$O$6:$O$58</definedName>
    <definedName name="ALLOC_CALLED" localSheetId="23">'Consolidated National'!$O$6:$O$58</definedName>
    <definedName name="ALLOC_CALLED" localSheetId="24">'Consumers Choice'!$O$6:$O$58</definedName>
    <definedName name="ALLOC_CALLED" localSheetId="25">'Consumers Mutual'!$O$6:$O$58</definedName>
    <definedName name="ALLOC_CALLED" localSheetId="26">'Consumers United'!$O$6:$O$58</definedName>
    <definedName name="ALLOC_CALLED" localSheetId="27">CoOportunity!$O$6:$O$58</definedName>
    <definedName name="ALLOC_CALLED" localSheetId="28">'Coordinated Hlth'!$O$6:$O$58</definedName>
    <definedName name="ALLOC_CALLED" localSheetId="29">'Corporate Life'!$O$6:$O$58</definedName>
    <definedName name="ALLOC_CALLED" localSheetId="30">'Diamond Benefits'!$O$6:$O$58</definedName>
    <definedName name="ALLOC_CALLED" localSheetId="31">'EBL Life'!$O$6:$O$58</definedName>
    <definedName name="ALLOC_CALLED" localSheetId="33">ELNY!$O$6:$O$58</definedName>
    <definedName name="ALLOC_CALLED" localSheetId="32">'Executive Life'!$O$6:$O$58</definedName>
    <definedName name="ALLOC_CALLED" localSheetId="34">'Family Guaranty'!$O$6:$O$58</definedName>
    <definedName name="ALLOC_CALLED" localSheetId="35">'Farmers &amp; Ranchers'!$O$6:$O$58</definedName>
    <definedName name="ALLOC_CALLED" localSheetId="36">'Fidelity Bankers'!$O$6:$O$58</definedName>
    <definedName name="ALLOC_CALLED" localSheetId="37">'Fidelity Mutual'!$O$6:$O$58</definedName>
    <definedName name="ALLOC_CALLED" localSheetId="38">'First Capital'!$O$6:$O$58</definedName>
    <definedName name="ALLOC_CALLED" localSheetId="39">'First Natl'!$O$6:$O$58</definedName>
    <definedName name="ALLOC_CALLED" localSheetId="40">'First Natl (Thrnr)'!$O$6:$O$58</definedName>
    <definedName name="ALLOC_CALLED" localSheetId="41">'Franklin American'!$O$6:$O$58</definedName>
    <definedName name="ALLOC_CALLED" localSheetId="42">'Franklin Protective'!$O$6:$O$58</definedName>
    <definedName name="ALLOC_CALLED" localSheetId="43">'Freelancers CO-OP'!$O$6:$O$58</definedName>
    <definedName name="ALLOC_CALLED" localSheetId="44">Freestone!$O$6:$O$58</definedName>
    <definedName name="ALLOC_CALLED" localSheetId="45">'George Washington'!$O$6:$O$58</definedName>
    <definedName name="ALLOC_CALLED" localSheetId="46">'Golden State'!$O$6:$O$58</definedName>
    <definedName name="ALLOC_CALLED" localSheetId="47">'Guarantee Security'!$O$6:$O$58</definedName>
    <definedName name="ALLOC_CALLED" localSheetId="48">HealthyCT!$O$6:$O$58</definedName>
    <definedName name="ALLOC_CALLED" localSheetId="49">Imerica!$O$6:$O$58</definedName>
    <definedName name="ALLOC_CALLED" localSheetId="50">'Inter-American'!$O$6:$O$58</definedName>
    <definedName name="ALLOC_CALLED" localSheetId="51">'International Fin'!$O$6:$O$58</definedName>
    <definedName name="ALLOC_CALLED" localSheetId="52">'Investment Life of America'!$O$6:$O$58</definedName>
    <definedName name="ALLOC_CALLED" localSheetId="53">'Investors Equity'!$O$6:$O$58</definedName>
    <definedName name="ALLOC_CALLED" localSheetId="54">'Kentucky Central'!$O$6:$O$58</definedName>
    <definedName name="ALLOC_CALLED" localSheetId="55">'Land of Lincoln'!$O$6:$O$58</definedName>
    <definedName name="ALLOC_CALLED" localSheetId="56">Legion!$O$6:$O$58</definedName>
    <definedName name="ALLOC_CALLED" localSheetId="57">'Life Health America'!$O$6:$O$58</definedName>
    <definedName name="ALLOC_CALLED" localSheetId="58">'Lincoln Memorial'!$O$6:$O$58</definedName>
    <definedName name="ALLOC_CALLED" localSheetId="59">'London Pac'!$O$6:$O$58</definedName>
    <definedName name="ALLOC_CALLED" localSheetId="60">Lumbermens!$O$6:$O$58</definedName>
    <definedName name="ALLOC_CALLED" localSheetId="61">'Medical Savings'!$O$6:$O$58</definedName>
    <definedName name="ALLOC_CALLED" localSheetId="62">'Memorial Service'!$O$6:$O$58</definedName>
    <definedName name="ALLOC_CALLED" localSheetId="63">Midcontinent!$O$6:$O$58</definedName>
    <definedName name="ALLOC_CALLED" localSheetId="64">'Midwest Life'!$O$6:$O$58</definedName>
    <definedName name="ALLOC_CALLED" localSheetId="65">'Monarch Life'!$O$6:$O$58</definedName>
    <definedName name="ALLOC_CALLED" localSheetId="66">'Mutual Benefit'!$O$6:$O$58</definedName>
    <definedName name="ALLOC_CALLED" localSheetId="67">'Mutual Security'!$O$6:$O$58</definedName>
    <definedName name="ALLOC_CALLED" localSheetId="68">'National Affiliated'!$O$6:$O$58</definedName>
    <definedName name="ALLOC_CALLED" localSheetId="70">'National Heritage'!$O$6:$O$58</definedName>
    <definedName name="ALLOC_CALLED" localSheetId="71">'National States'!$O$6:$O$58</definedName>
    <definedName name="ALLOC_CALLED" localSheetId="69">'Natl American'!$O$6:$O$58</definedName>
    <definedName name="ALLOC_CALLED" localSheetId="72">'New Jersey Life'!$O$6:$O$58</definedName>
    <definedName name="ALLOC_CALLED" localSheetId="74">NNIC!$O$6:$O$58</definedName>
    <definedName name="ALLOC_CALLED" localSheetId="73">'North Carolina Mutual'!$O$6:$O$58</definedName>
    <definedName name="ALLOC_CALLED" localSheetId="75">'Old Colony Life'!$O$6:$O$58</definedName>
    <definedName name="ALLOC_CALLED" localSheetId="76">'Old Faithful'!$O$6:$O$58</definedName>
    <definedName name="ALLOC_CALLED" localSheetId="77">'Pacific Standard'!$O$6:$O$58</definedName>
    <definedName name="ALLOC_CALLED" localSheetId="78">'Pavonia Life'!$O$6:$O$58</definedName>
    <definedName name="ALLOC_CALLED" localSheetId="79">'Pen  Treaty'!$O$6:$O$58</definedName>
    <definedName name="ALLOC_CALLED" localSheetId="80">'Red Rock'!$O$6:$O$58</definedName>
    <definedName name="ALLOC_CALLED" localSheetId="81">Reliance!$O$6:$O$58</definedName>
    <definedName name="ALLOC_CALLED" localSheetId="82">SeeChange!$O$6:$O$58</definedName>
    <definedName name="ALLOC_CALLED" localSheetId="83">'Senior American'!$O$6:$O$58</definedName>
    <definedName name="ALLOC_CALLED" localSheetId="84">Settlers!$O$6:$O$58</definedName>
    <definedName name="ALLOC_CALLED" localSheetId="85">Shenandoah!$O$6:$O$58</definedName>
    <definedName name="ALLOC_CALLED" localSheetId="86">'Southland National Life'!$O$6:$O$58</definedName>
    <definedName name="ALLOC_CALLED" localSheetId="87">'Standard Life IN'!$O$6:$O$58</definedName>
    <definedName name="ALLOC_CALLED" localSheetId="88">'States General'!$O$6:$O$58</definedName>
    <definedName name="ALLOC_CALLED" localSheetId="89">Statesman!$O$6:$O$58</definedName>
    <definedName name="ALLOC_CALLED" localSheetId="90">'Summit National'!$O$6:$O$58</definedName>
    <definedName name="ALLOC_CALLED" localSheetId="91">Supreme!$O$6:$O$58</definedName>
    <definedName name="ALLOC_CALLED" localSheetId="92">Time!$O$6:$O$58</definedName>
    <definedName name="ALLOC_CALLED" localSheetId="106">'Total Summary'!$L$6:$L$59</definedName>
    <definedName name="ALLOC_CALLED" localSheetId="93">Underwriters!$O$6:$O$58</definedName>
    <definedName name="ALLOC_CALLED" localSheetId="94">Unison!$O$6:$O$58</definedName>
    <definedName name="ALLOC_CALLED" localSheetId="95">'United Republic'!$O$6:$O$58</definedName>
    <definedName name="ALLOC_CALLED" localSheetId="96">'Universal Health Care'!$O$6:$O$58</definedName>
    <definedName name="ALLOC_CALLED" localSheetId="97">'Universal Life'!$O$6:$O$58</definedName>
    <definedName name="ALLOC_CALLED" localSheetId="98">Universe!$O$6:$O$58</definedName>
    <definedName name="ALLOC_CALLED" localSheetId="99">Villanova!$O$6:$O$58</definedName>
    <definedName name="ALLOC_REFUNDED" localSheetId="0">'Alabama Life'!$P$6:$P$58</definedName>
    <definedName name="ALLOC_REFUNDED" localSheetId="5">'Amer Life Asr'!$P$6:$P$58</definedName>
    <definedName name="ALLOC_REFUNDED" localSheetId="8">'Amer Std Life Acc'!$P$6:$P$58</definedName>
    <definedName name="ALLOC_REFUNDED" localSheetId="1">'American Chambers'!$P$6:$P$58</definedName>
    <definedName name="ALLOC_REFUNDED" localSheetId="2">'American Community'!$P$6:$P$58</definedName>
    <definedName name="ALLOC_REFUNDED" localSheetId="3">'American Educators'!$P$6:$P$58</definedName>
    <definedName name="ALLOC_REFUNDED" localSheetId="4">'American Integrity'!$P$6:$P$58</definedName>
    <definedName name="ALLOC_REFUNDED" localSheetId="6">'American Medical'!$P$6:$P$58</definedName>
    <definedName name="ALLOC_REFUNDED" localSheetId="7">'American Network'!$P$6:$P$58</definedName>
    <definedName name="ALLOC_REFUNDED" localSheetId="9">AmerWstrn!$P$6:$P$58</definedName>
    <definedName name="ALLOC_REFUNDED" localSheetId="10">'AMS Life'!$P$6:$P$58</definedName>
    <definedName name="ALLOC_REFUNDED" localSheetId="11">'Andrew Jackson'!$P$6:$P$58</definedName>
    <definedName name="ALLOC_REFUNDED" localSheetId="12">'Bankers Commercial'!$P$6:$P$58</definedName>
    <definedName name="ALLOC_REFUNDED" localSheetId="13">'Bankers Life'!$P$6:$P$58</definedName>
    <definedName name="ALLOC_REFUNDED" localSheetId="14">Benicorp!$P$6:$P$58</definedName>
    <definedName name="ALLOC_REFUNDED" localSheetId="15">'Booker T Washington'!$P$6:$P$58</definedName>
    <definedName name="ALLOC_REFUNDED" localSheetId="16">Centennial!$P$6:$P$58</definedName>
    <definedName name="ALLOC_REFUNDED" localSheetId="18">'CO Bankers'!$P$6:$P$58</definedName>
    <definedName name="ALLOC_REFUNDED" localSheetId="17">'Coastal States'!$P$6:$P$58</definedName>
    <definedName name="ALLOC_REFUNDED" localSheetId="19">'Colorado Health'!$P$6:$P$58</definedName>
    <definedName name="ALLOC_REFUNDED" localSheetId="20">'Compass (dbs Meritus)'!$P$6:$P$58</definedName>
    <definedName name="ALLOC_REFUNDED" localSheetId="21">'Confed Life &amp; Annty (CLIAC)'!$P$6:$P$58</definedName>
    <definedName name="ALLOC_REFUNDED" localSheetId="22">'Confed Life (CLIC)'!$P$6:$P$58</definedName>
    <definedName name="ALLOC_REFUNDED" localSheetId="23">'Consolidated National'!$P$6:$P$58</definedName>
    <definedName name="ALLOC_REFUNDED" localSheetId="24">'Consumers Choice'!$P$6:$P$58</definedName>
    <definedName name="ALLOC_REFUNDED" localSheetId="25">'Consumers Mutual'!$P$6:$P$58</definedName>
    <definedName name="ALLOC_REFUNDED" localSheetId="26">'Consumers United'!$P$6:$P$58</definedName>
    <definedName name="ALLOC_REFUNDED" localSheetId="27">CoOportunity!$P$6:$P$58</definedName>
    <definedName name="ALLOC_REFUNDED" localSheetId="28">'Coordinated Hlth'!$P$6:$P$58</definedName>
    <definedName name="ALLOC_REFUNDED" localSheetId="29">'Corporate Life'!$P$6:$P$58</definedName>
    <definedName name="ALLOC_REFUNDED" localSheetId="30">'Diamond Benefits'!$P$6:$P$58</definedName>
    <definedName name="ALLOC_REFUNDED" localSheetId="31">'EBL Life'!$P$6:$P$58</definedName>
    <definedName name="ALLOC_REFUNDED" localSheetId="33">ELNY!$P$6:$P$58</definedName>
    <definedName name="ALLOC_REFUNDED" localSheetId="32">'Executive Life'!$P$6:$P$58</definedName>
    <definedName name="ALLOC_REFUNDED" localSheetId="34">'Family Guaranty'!$P$6:$P$58</definedName>
    <definedName name="ALLOC_REFUNDED" localSheetId="35">'Farmers &amp; Ranchers'!$P$6:$P$58</definedName>
    <definedName name="ALLOC_REFUNDED" localSheetId="36">'Fidelity Bankers'!$P$6:$P$58</definedName>
    <definedName name="ALLOC_REFUNDED" localSheetId="37">'Fidelity Mutual'!$P$6:$P$58</definedName>
    <definedName name="ALLOC_REFUNDED" localSheetId="38">'First Capital'!$P$6:$P$58</definedName>
    <definedName name="ALLOC_REFUNDED" localSheetId="39">'First Natl'!$P$6:$P$58</definedName>
    <definedName name="ALLOC_REFUNDED" localSheetId="40">'First Natl (Thrnr)'!$P$6:$P$58</definedName>
    <definedName name="ALLOC_REFUNDED" localSheetId="41">'Franklin American'!$P$6:$P$58</definedName>
    <definedName name="ALLOC_REFUNDED" localSheetId="42">'Franklin Protective'!$P$6:$P$58</definedName>
    <definedName name="ALLOC_REFUNDED" localSheetId="43">'Freelancers CO-OP'!$P$6:$P$58</definedName>
    <definedName name="ALLOC_REFUNDED" localSheetId="44">Freestone!$P$6:$P$58</definedName>
    <definedName name="ALLOC_REFUNDED" localSheetId="45">'George Washington'!$P$6:$P$58</definedName>
    <definedName name="ALLOC_REFUNDED" localSheetId="46">'Golden State'!$P$6:$P$58</definedName>
    <definedName name="ALLOC_REFUNDED" localSheetId="47">'Guarantee Security'!$P$6:$P$58</definedName>
    <definedName name="ALLOC_REFUNDED" localSheetId="48">HealthyCT!$P$6:$P$58</definedName>
    <definedName name="ALLOC_REFUNDED" localSheetId="49">Imerica!$P$6:$P$58</definedName>
    <definedName name="ALLOC_REFUNDED" localSheetId="50">'Inter-American'!$P$6:$P$58</definedName>
    <definedName name="ALLOC_REFUNDED" localSheetId="51">'International Fin'!$P$6:$P$58</definedName>
    <definedName name="ALLOC_REFUNDED" localSheetId="52">'Investment Life of America'!$P$6:$P$58</definedName>
    <definedName name="ALLOC_REFUNDED" localSheetId="53">'Investors Equity'!$P$6:$P$58</definedName>
    <definedName name="ALLOC_REFUNDED" localSheetId="54">'Kentucky Central'!$P$6:$P$58</definedName>
    <definedName name="ALLOC_REFUNDED" localSheetId="55">'Land of Lincoln'!$P$6:$P$58</definedName>
    <definedName name="ALLOC_REFUNDED" localSheetId="56">Legion!$P$6:$P$58</definedName>
    <definedName name="ALLOC_REFUNDED" localSheetId="57">'Life Health America'!$P$6:$P$58</definedName>
    <definedName name="ALLOC_REFUNDED" localSheetId="58">'Lincoln Memorial'!$P$6:$P$58</definedName>
    <definedName name="ALLOC_REFUNDED" localSheetId="59">'London Pac'!$P$6:$P$58</definedName>
    <definedName name="ALLOC_REFUNDED" localSheetId="60">Lumbermens!$P$6:$P$58</definedName>
    <definedName name="ALLOC_REFUNDED" localSheetId="61">'Medical Savings'!$P$6:$P$58</definedName>
    <definedName name="ALLOC_REFUNDED" localSheetId="62">'Memorial Service'!$P$6:$P$58</definedName>
    <definedName name="ALLOC_REFUNDED" localSheetId="63">Midcontinent!$P$6:$P$58</definedName>
    <definedName name="ALLOC_REFUNDED" localSheetId="64">'Midwest Life'!$P$6:$P$58</definedName>
    <definedName name="ALLOC_REFUNDED" localSheetId="65">'Monarch Life'!$P$6:$P$58</definedName>
    <definedName name="ALLOC_REFUNDED" localSheetId="66">'Mutual Benefit'!$P$6:$P$58</definedName>
    <definedName name="ALLOC_REFUNDED" localSheetId="67">'Mutual Security'!$P$6:$P$58</definedName>
    <definedName name="ALLOC_REFUNDED" localSheetId="68">'National Affiliated'!$P$6:$P$58</definedName>
    <definedName name="ALLOC_REFUNDED" localSheetId="70">'National Heritage'!$P$6:$P$58</definedName>
    <definedName name="ALLOC_REFUNDED" localSheetId="71">'National States'!$P$6:$P$58</definedName>
    <definedName name="ALLOC_REFUNDED" localSheetId="69">'Natl American'!$P$6:$P$58</definedName>
    <definedName name="ALLOC_REFUNDED" localSheetId="72">'New Jersey Life'!$P$6:$P$58</definedName>
    <definedName name="ALLOC_REFUNDED" localSheetId="74">NNIC!$P$6:$P$58</definedName>
    <definedName name="ALLOC_REFUNDED" localSheetId="73">'North Carolina Mutual'!$P$6:$P$58</definedName>
    <definedName name="ALLOC_REFUNDED" localSheetId="75">'Old Colony Life'!$P$6:$P$58</definedName>
    <definedName name="ALLOC_REFUNDED" localSheetId="76">'Old Faithful'!$P$6:$P$58</definedName>
    <definedName name="ALLOC_REFUNDED" localSheetId="77">'Pacific Standard'!$P$6:$P$58</definedName>
    <definedName name="ALLOC_REFUNDED" localSheetId="78">'Pavonia Life'!$P$6:$P$58</definedName>
    <definedName name="ALLOC_REFUNDED" localSheetId="79">'Pen  Treaty'!$P$6:$P$58</definedName>
    <definedName name="ALLOC_REFUNDED" localSheetId="80">'Red Rock'!$P$6:$P$58</definedName>
    <definedName name="ALLOC_REFUNDED" localSheetId="81">Reliance!$P$6:$P$58</definedName>
    <definedName name="ALLOC_REFUNDED" localSheetId="82">SeeChange!$P$6:$P$58</definedName>
    <definedName name="ALLOC_REFUNDED" localSheetId="83">'Senior American'!$P$6:$P$58</definedName>
    <definedName name="ALLOC_REFUNDED" localSheetId="84">Settlers!$P$6:$P$58</definedName>
    <definedName name="ALLOC_REFUNDED" localSheetId="85">Shenandoah!$P$6:$P$58</definedName>
    <definedName name="ALLOC_REFUNDED" localSheetId="86">'Southland National Life'!$P$6:$P$58</definedName>
    <definedName name="ALLOC_REFUNDED" localSheetId="87">'Standard Life IN'!$P$6:$P$58</definedName>
    <definedName name="ALLOC_REFUNDED" localSheetId="88">'States General'!$P$6:$P$58</definedName>
    <definedName name="ALLOC_REFUNDED" localSheetId="89">Statesman!$P$6:$P$58</definedName>
    <definedName name="ALLOC_REFUNDED" localSheetId="90">'Summit National'!$P$6:$P$58</definedName>
    <definedName name="ALLOC_REFUNDED" localSheetId="91">Supreme!$P$6:$P$58</definedName>
    <definedName name="ALLOC_REFUNDED" localSheetId="92">Time!$P$6:$P$58</definedName>
    <definedName name="ALLOC_REFUNDED" localSheetId="106">'Total Summary'!$M$6:$M$59</definedName>
    <definedName name="ALLOC_REFUNDED" localSheetId="93">Underwriters!$P$6:$P$58</definedName>
    <definedName name="ALLOC_REFUNDED" localSheetId="94">Unison!$P$6:$P$58</definedName>
    <definedName name="ALLOC_REFUNDED" localSheetId="95">'United Republic'!$P$6:$P$58</definedName>
    <definedName name="ALLOC_REFUNDED" localSheetId="96">'Universal Health Care'!$P$6:$P$58</definedName>
    <definedName name="ALLOC_REFUNDED" localSheetId="97">'Universal Life'!$P$6:$P$58</definedName>
    <definedName name="ALLOC_REFUNDED" localSheetId="98">Universe!$P$6:$P$58</definedName>
    <definedName name="ALLOC_REFUNDED" localSheetId="99">Villanova!$P$6:$P$58</definedName>
    <definedName name="ALLOCATED" localSheetId="0">'Alabama Life'!$C$6:$C$59</definedName>
    <definedName name="ALLOCATED" localSheetId="5">'Amer Life Asr'!$C$6:$C$59</definedName>
    <definedName name="ALLOCATED" localSheetId="8">'Amer Std Life Acc'!$C$6:$C$59</definedName>
    <definedName name="ALLOCATED" localSheetId="1">'American Chambers'!$C$6:$C$59</definedName>
    <definedName name="ALLOCATED" localSheetId="2">'American Community'!$C$6:$C$59</definedName>
    <definedName name="ALLOCATED" localSheetId="3">'American Educators'!$C$6:$C$59</definedName>
    <definedName name="ALLOCATED" localSheetId="4">'American Integrity'!$C$6:$C$59</definedName>
    <definedName name="ALLOCATED" localSheetId="6">'American Medical'!$C$6:$C$59</definedName>
    <definedName name="ALLOCATED" localSheetId="7">'American Network'!$C$6:$C$59</definedName>
    <definedName name="ALLOCATED" localSheetId="9">AmerWstrn!$C$6:$C$59</definedName>
    <definedName name="ALLOCATED" localSheetId="10">'AMS Life'!$C$6:$C$59</definedName>
    <definedName name="ALLOCATED" localSheetId="11">'Andrew Jackson'!$C$6:$C$59</definedName>
    <definedName name="ALLOCATED" localSheetId="12">'Bankers Commercial'!$C$6:$C$59</definedName>
    <definedName name="ALLOCATED" localSheetId="13">'Bankers Life'!$C$6:$C$59</definedName>
    <definedName name="ALLOCATED" localSheetId="14">Benicorp!$C$6:$C$59</definedName>
    <definedName name="ALLOCATED" localSheetId="15">'Booker T Washington'!$C$6:$C$59</definedName>
    <definedName name="ALLOCATED" localSheetId="16">Centennial!$C$6:$C$59</definedName>
    <definedName name="ALLOCATED" localSheetId="103">'Closed Summary'!$C$6:$C$58</definedName>
    <definedName name="ALLOCATED" localSheetId="18">'CO Bankers'!$C$6:$C$59</definedName>
    <definedName name="ALLOCATED" localSheetId="17">'Coastal States'!$C$6:$C$59</definedName>
    <definedName name="ALLOCATED" localSheetId="19">'Colorado Health'!$C$6:$C$59</definedName>
    <definedName name="ALLOCATED" localSheetId="20">'Compass (dbs Meritus)'!$C$6:$C$59</definedName>
    <definedName name="ALLOCATED" localSheetId="21">'Confed Life &amp; Annty (CLIAC)'!$C$6:$C$59</definedName>
    <definedName name="ALLOCATED" localSheetId="22">'Confed Life (CLIC)'!$C$6:$C$59</definedName>
    <definedName name="ALLOCATED" localSheetId="23">'Consolidated National'!$C$6:$C$59</definedName>
    <definedName name="ALLOCATED" localSheetId="24">'Consumers Choice'!$C$6:$C$59</definedName>
    <definedName name="ALLOCATED" localSheetId="25">'Consumers Mutual'!$C$6:$C$59</definedName>
    <definedName name="ALLOCATED" localSheetId="26">'Consumers United'!$C$6:$C$59</definedName>
    <definedName name="ALLOCATED" localSheetId="27">CoOportunity!$C$6:$C$59</definedName>
    <definedName name="ALLOCATED" localSheetId="28">'Coordinated Hlth'!$C$6:$C$59</definedName>
    <definedName name="ALLOCATED" localSheetId="29">'Corporate Life'!$C$6:$C$59</definedName>
    <definedName name="ALLOCATED" localSheetId="30">'Diamond Benefits'!$C$6:$C$59</definedName>
    <definedName name="ALLOCATED" localSheetId="31">'EBL Life'!$C$6:$C$59</definedName>
    <definedName name="ALLOCATED" localSheetId="33">ELNY!$C$6:$C$59</definedName>
    <definedName name="ALLOCATED" localSheetId="104">'Estate Closed Summary'!$C$6:$C$58</definedName>
    <definedName name="ALLOCATED" localSheetId="32">'Executive Life'!$C$6:$C$59</definedName>
    <definedName name="ALLOCATED" localSheetId="34">'Family Guaranty'!$C$6:$C$59</definedName>
    <definedName name="ALLOCATED" localSheetId="35">'Farmers &amp; Ranchers'!$C$6:$C$59</definedName>
    <definedName name="ALLOCATED" localSheetId="36">'Fidelity Bankers'!$C$6:$C$59</definedName>
    <definedName name="ALLOCATED" localSheetId="37">'Fidelity Mutual'!$C$6:$C$59</definedName>
    <definedName name="ALLOCATED" localSheetId="38">'First Capital'!$C$6:$C$59</definedName>
    <definedName name="ALLOCATED" localSheetId="39">'First Natl'!$C$6:$C$59</definedName>
    <definedName name="ALLOCATED" localSheetId="40">'First Natl (Thrnr)'!$C$6:$C$59</definedName>
    <definedName name="ALLOCATED" localSheetId="41">'Franklin American'!$C$6:$C$59</definedName>
    <definedName name="ALLOCATED" localSheetId="42">'Franklin Protective'!$C$6:$C$59</definedName>
    <definedName name="ALLOCATED" localSheetId="43">'Freelancers CO-OP'!$C$6:$C$59</definedName>
    <definedName name="ALLOCATED" localSheetId="44">Freestone!$C$6:$C$59</definedName>
    <definedName name="ALLOCATED" localSheetId="45">'George Washington'!$C$6:$C$59</definedName>
    <definedName name="ALLOCATED" localSheetId="46">'Golden State'!$C$6:$C$59</definedName>
    <definedName name="ALLOCATED" localSheetId="47">'Guarantee Security'!$C$6:$C$59</definedName>
    <definedName name="ALLOCATED" localSheetId="48">HealthyCT!$C$6:$C$59</definedName>
    <definedName name="ALLOCATED" localSheetId="49">Imerica!$C$6:$C$59</definedName>
    <definedName name="ALLOCATED" localSheetId="50">'Inter-American'!$C$6:$C$59</definedName>
    <definedName name="ALLOCATED" localSheetId="51">'International Fin'!$C$6:$C$59</definedName>
    <definedName name="ALLOCATED" localSheetId="52">'Investment Life of America'!$C$6:$C$59</definedName>
    <definedName name="ALLOCATED" localSheetId="53">'Investors Equity'!$C$6:$C$59</definedName>
    <definedName name="ALLOCATED" localSheetId="54">'Kentucky Central'!$C$6:$C$59</definedName>
    <definedName name="ALLOCATED" localSheetId="55">'Land of Lincoln'!$C$6:$C$59</definedName>
    <definedName name="ALLOCATED" localSheetId="56">Legion!$C$6:$C$59</definedName>
    <definedName name="ALLOCATED" localSheetId="57">'Life Health America'!$C$6:$C$59</definedName>
    <definedName name="ALLOCATED" localSheetId="58">'Lincoln Memorial'!$C$6:$C$59</definedName>
    <definedName name="ALLOCATED" localSheetId="59">'London Pac'!$C$6:$C$59</definedName>
    <definedName name="ALLOCATED" localSheetId="60">Lumbermens!$C$6:$C$59</definedName>
    <definedName name="ALLOCATED" localSheetId="61">'Medical Savings'!$C$6:$C$59</definedName>
    <definedName name="ALLOCATED" localSheetId="62">'Memorial Service'!$C$6:$C$59</definedName>
    <definedName name="ALLOCATED" localSheetId="63">Midcontinent!$C$6:$C$59</definedName>
    <definedName name="ALLOCATED" localSheetId="64">'Midwest Life'!$C$6:$C$59</definedName>
    <definedName name="ALLOCATED" localSheetId="65">'Monarch Life'!$C$6:$C$59</definedName>
    <definedName name="ALLOCATED" localSheetId="66">'Mutual Benefit'!$C$6:$C$59</definedName>
    <definedName name="ALLOCATED" localSheetId="67">'Mutual Security'!$C$6:$C$59</definedName>
    <definedName name="ALLOCATED" localSheetId="68">'National Affiliated'!$C$6:$C$59</definedName>
    <definedName name="ALLOCATED" localSheetId="70">'National Heritage'!$C$6:$C$59</definedName>
    <definedName name="ALLOCATED" localSheetId="71">'National States'!$C$6:$C$59</definedName>
    <definedName name="ALLOCATED" localSheetId="69">'Natl American'!$C$6:$C$59</definedName>
    <definedName name="ALLOCATED" localSheetId="72">'New Jersey Life'!$C$6:$C$59</definedName>
    <definedName name="ALLOCATED" localSheetId="74">NNIC!$C$6:$C$59</definedName>
    <definedName name="ALLOCATED" localSheetId="73">'North Carolina Mutual'!$C$6:$C$59</definedName>
    <definedName name="ALLOCATED" localSheetId="75">'Old Colony Life'!$C$6:$C$59</definedName>
    <definedName name="ALLOCATED" localSheetId="76">'Old Faithful'!$C$6:$C$59</definedName>
    <definedName name="ALLOCATED" localSheetId="102">'Open Summary'!$C$6:$C$58</definedName>
    <definedName name="ALLOCATED" localSheetId="77">'Pacific Standard'!$C$6:$C$59</definedName>
    <definedName name="ALLOCATED" localSheetId="78">'Pavonia Life'!$C$6:$C$59</definedName>
    <definedName name="ALLOCATED" localSheetId="79">'Pen  Treaty'!$C$6:$C$59</definedName>
    <definedName name="ALLOCATED" localSheetId="101">'Pre-Liquidation Summary'!$C$6:$C$58</definedName>
    <definedName name="ALLOCATED" localSheetId="80">'Red Rock'!$C$6:$C$59</definedName>
    <definedName name="ALLOCATED" localSheetId="105">'Released from Oversight Summary'!$C$6:$C$58</definedName>
    <definedName name="ALLOCATED" localSheetId="81">Reliance!$C$6:$C$59</definedName>
    <definedName name="ALLOCATED" localSheetId="82">SeeChange!$C$6:$C$59</definedName>
    <definedName name="ALLOCATED" localSheetId="83">'Senior American'!$C$6:$C$59</definedName>
    <definedName name="ALLOCATED" localSheetId="84">Settlers!$C$6:$C$59</definedName>
    <definedName name="ALLOCATED" localSheetId="85">Shenandoah!$C$6:$C$59</definedName>
    <definedName name="ALLOCATED" localSheetId="86">'Southland National Life'!$C$6:$C$59</definedName>
    <definedName name="ALLOCATED" localSheetId="87">'Standard Life IN'!$C$6:$C$59</definedName>
    <definedName name="ALLOCATED" localSheetId="88">'States General'!$C$6:$C$59</definedName>
    <definedName name="ALLOCATED" localSheetId="89">Statesman!$C$6:$C$59</definedName>
    <definedName name="ALLOCATED" localSheetId="90">'Summit National'!$C$6:$C$59</definedName>
    <definedName name="ALLOCATED" localSheetId="91">Supreme!$C$6:$C$59</definedName>
    <definedName name="ALLOCATED" localSheetId="92">Time!$C$6:$C$59</definedName>
    <definedName name="ALLOCATED" localSheetId="106">'Total Summary'!$C$6:$C$59</definedName>
    <definedName name="ALLOCATED" localSheetId="93">Underwriters!$C$6:$C$59</definedName>
    <definedName name="ALLOCATED" localSheetId="94">Unison!$C$6:$C$59</definedName>
    <definedName name="ALLOCATED" localSheetId="95">'United Republic'!$C$6:$C$59</definedName>
    <definedName name="ALLOCATED" localSheetId="96">'Universal Health Care'!$C$6:$C$59</definedName>
    <definedName name="ALLOCATED" localSheetId="97">'Universal Life'!$C$6:$C$59</definedName>
    <definedName name="ALLOCATED" localSheetId="98">Universe!$C$6:$C$59</definedName>
    <definedName name="ALLOCATED" localSheetId="99">Villanova!$C$6:$C$59</definedName>
    <definedName name="AR_FINANCIAL" localSheetId="0">'Alabama Life'!$B$9:$F$9</definedName>
    <definedName name="AR_FINANCIAL" localSheetId="5">'Amer Life Asr'!$B$9:$F$9</definedName>
    <definedName name="AR_FINANCIAL" localSheetId="8">'Amer Std Life Acc'!$B$9:$F$9</definedName>
    <definedName name="AR_FINANCIAL" localSheetId="1">'American Chambers'!$B$9:$F$9</definedName>
    <definedName name="AR_FINANCIAL" localSheetId="2">'American Community'!$B$9:$F$9</definedName>
    <definedName name="AR_FINANCIAL" localSheetId="3">'American Educators'!$B$9:$F$9</definedName>
    <definedName name="AR_FINANCIAL" localSheetId="4">'American Integrity'!$B$9:$F$9</definedName>
    <definedName name="AR_FINANCIAL" localSheetId="6">'American Medical'!$B$9:$F$9</definedName>
    <definedName name="AR_FINANCIAL" localSheetId="7">'American Network'!$B$9:$F$9</definedName>
    <definedName name="AR_FINANCIAL" localSheetId="9">AmerWstrn!$B$9:$F$9</definedName>
    <definedName name="AR_FINANCIAL" localSheetId="10">'AMS Life'!$B$9:$F$9</definedName>
    <definedName name="AR_FINANCIAL" localSheetId="11">'Andrew Jackson'!$B$9:$F$9</definedName>
    <definedName name="AR_FINANCIAL" localSheetId="12">'Bankers Commercial'!$B$9:$F$9</definedName>
    <definedName name="AR_FINANCIAL" localSheetId="13">'Bankers Life'!$B$9:$F$9</definedName>
    <definedName name="AR_FINANCIAL" localSheetId="14">Benicorp!$B$9:$F$9</definedName>
    <definedName name="AR_FINANCIAL" localSheetId="15">'Booker T Washington'!$B$9:$F$9</definedName>
    <definedName name="AR_FINANCIAL" localSheetId="16">Centennial!$B$9:$F$9</definedName>
    <definedName name="AR_FINANCIAL" localSheetId="18">'CO Bankers'!$B$9:$F$9</definedName>
    <definedName name="AR_FINANCIAL" localSheetId="17">'Coastal States'!$B$9:$F$9</definedName>
    <definedName name="AR_FINANCIAL" localSheetId="19">'Colorado Health'!$B$9:$F$9</definedName>
    <definedName name="AR_FINANCIAL" localSheetId="20">'Compass (dbs Meritus)'!$B$9:$F$9</definedName>
    <definedName name="AR_FINANCIAL" localSheetId="21">'Confed Life &amp; Annty (CLIAC)'!$B$9:$F$9</definedName>
    <definedName name="AR_FINANCIAL" localSheetId="22">'Confed Life (CLIC)'!$B$9:$F$9</definedName>
    <definedName name="AR_FINANCIAL" localSheetId="23">'Consolidated National'!$B$9:$F$9</definedName>
    <definedName name="AR_FINANCIAL" localSheetId="24">'Consumers Choice'!$B$9:$F$9</definedName>
    <definedName name="AR_FINANCIAL" localSheetId="25">'Consumers Mutual'!$B$9:$F$9</definedName>
    <definedName name="AR_FINANCIAL" localSheetId="26">'Consumers United'!$B$9:$F$9</definedName>
    <definedName name="AR_FINANCIAL" localSheetId="27">CoOportunity!$B$9:$F$9</definedName>
    <definedName name="AR_FINANCIAL" localSheetId="28">'Coordinated Hlth'!$B$9:$F$9</definedName>
    <definedName name="AR_FINANCIAL" localSheetId="29">'Corporate Life'!$B$9:$F$9</definedName>
    <definedName name="AR_FINANCIAL" localSheetId="30">'Diamond Benefits'!$B$9:$F$9</definedName>
    <definedName name="AR_FINANCIAL" localSheetId="31">'EBL Life'!$B$9:$F$9</definedName>
    <definedName name="AR_FINANCIAL" localSheetId="33">ELNY!$B$9:$F$9</definedName>
    <definedName name="AR_FINANCIAL" localSheetId="32">'Executive Life'!$B$9:$F$9</definedName>
    <definedName name="AR_FINANCIAL" localSheetId="34">'Family Guaranty'!$B$9:$F$9</definedName>
    <definedName name="AR_FINANCIAL" localSheetId="35">'Farmers &amp; Ranchers'!$B$9:$F$9</definedName>
    <definedName name="AR_FINANCIAL" localSheetId="36">'Fidelity Bankers'!$B$9:$F$9</definedName>
    <definedName name="AR_FINANCIAL" localSheetId="37">'Fidelity Mutual'!$B$9:$F$9</definedName>
    <definedName name="AR_FINANCIAL" localSheetId="38">'First Capital'!$B$9:$F$9</definedName>
    <definedName name="AR_FINANCIAL" localSheetId="39">'First Natl'!$B$9:$F$9</definedName>
    <definedName name="AR_FINANCIAL" localSheetId="40">'First Natl (Thrnr)'!$B$9:$F$9</definedName>
    <definedName name="AR_FINANCIAL" localSheetId="41">'Franklin American'!$B$9:$F$9</definedName>
    <definedName name="AR_FINANCIAL" localSheetId="42">'Franklin Protective'!$B$9:$F$9</definedName>
    <definedName name="AR_FINANCIAL" localSheetId="43">'Freelancers CO-OP'!$B$9:$F$9</definedName>
    <definedName name="AR_FINANCIAL" localSheetId="44">Freestone!$B$9:$F$9</definedName>
    <definedName name="AR_FINANCIAL" localSheetId="45">'George Washington'!$B$9:$F$9</definedName>
    <definedName name="AR_FINANCIAL" localSheetId="46">'Golden State'!$B$9:$F$9</definedName>
    <definedName name="AR_FINANCIAL" localSheetId="47">'Guarantee Security'!$B$9:$F$9</definedName>
    <definedName name="AR_FINANCIAL" localSheetId="48">HealthyCT!$B$9:$F$9</definedName>
    <definedName name="AR_FINANCIAL" localSheetId="49">Imerica!$B$9:$F$9</definedName>
    <definedName name="AR_FINANCIAL" localSheetId="50">'Inter-American'!$B$9:$F$9</definedName>
    <definedName name="AR_FINANCIAL" localSheetId="51">'International Fin'!$B$9:$F$9</definedName>
    <definedName name="AR_FINANCIAL" localSheetId="52">'Investment Life of America'!$B$9:$F$9</definedName>
    <definedName name="AR_FINANCIAL" localSheetId="53">'Investors Equity'!$B$9:$F$9</definedName>
    <definedName name="AR_FINANCIAL" localSheetId="54">'Kentucky Central'!$B$9:$F$9</definedName>
    <definedName name="AR_FINANCIAL" localSheetId="55">'Land of Lincoln'!$B$9:$F$9</definedName>
    <definedName name="AR_FINANCIAL" localSheetId="56">Legion!$B$9:$F$9</definedName>
    <definedName name="AR_FINANCIAL" localSheetId="57">'Life Health America'!$B$9:$F$9</definedName>
    <definedName name="AR_FINANCIAL" localSheetId="58">'Lincoln Memorial'!$B$9:$F$9</definedName>
    <definedName name="AR_FINANCIAL" localSheetId="59">'London Pac'!$B$9:$F$9</definedName>
    <definedName name="AR_FINANCIAL" localSheetId="60">Lumbermens!$B$9:$F$9</definedName>
    <definedName name="AR_FINANCIAL" localSheetId="61">'Medical Savings'!$B$9:$F$9</definedName>
    <definedName name="AR_FINANCIAL" localSheetId="62">'Memorial Service'!$B$9:$F$9</definedName>
    <definedName name="AR_FINANCIAL" localSheetId="63">Midcontinent!$B$9:$F$9</definedName>
    <definedName name="AR_FINANCIAL" localSheetId="64">'Midwest Life'!$B$9:$F$9</definedName>
    <definedName name="AR_FINANCIAL" localSheetId="65">'Monarch Life'!$B$9:$F$9</definedName>
    <definedName name="AR_FINANCIAL" localSheetId="66">'Mutual Benefit'!$B$9:$F$9</definedName>
    <definedName name="AR_FINANCIAL" localSheetId="67">'Mutual Security'!$B$9:$F$9</definedName>
    <definedName name="AR_FINANCIAL" localSheetId="68">'National Affiliated'!$B$9:$F$9</definedName>
    <definedName name="AR_FINANCIAL" localSheetId="70">'National Heritage'!$B$9:$F$9</definedName>
    <definedName name="AR_FINANCIAL" localSheetId="71">'National States'!$B$9:$F$9</definedName>
    <definedName name="AR_FINANCIAL" localSheetId="69">'Natl American'!$B$9:$F$9</definedName>
    <definedName name="AR_FINANCIAL" localSheetId="72">'New Jersey Life'!$B$9:$F$9</definedName>
    <definedName name="AR_FINANCIAL" localSheetId="74">NNIC!$B$9:$F$9</definedName>
    <definedName name="AR_FINANCIAL" localSheetId="73">'North Carolina Mutual'!$B$9:$F$9</definedName>
    <definedName name="AR_FINANCIAL" localSheetId="75">'Old Colony Life'!$B$9:$F$9</definedName>
    <definedName name="AR_FINANCIAL" localSheetId="76">'Old Faithful'!$B$9:$F$9</definedName>
    <definedName name="AR_FINANCIAL" localSheetId="77">'Pacific Standard'!$B$9:$F$9</definedName>
    <definedName name="AR_FINANCIAL" localSheetId="78">'Pavonia Life'!$B$9:$F$9</definedName>
    <definedName name="AR_FINANCIAL" localSheetId="79">'Pen  Treaty'!$B$9:$F$9</definedName>
    <definedName name="AR_FINANCIAL" localSheetId="80">'Red Rock'!$B$9:$F$9</definedName>
    <definedName name="AR_FINANCIAL" localSheetId="81">Reliance!$B$9:$F$9</definedName>
    <definedName name="AR_FINANCIAL" localSheetId="82">SeeChange!$B$9:$F$9</definedName>
    <definedName name="AR_FINANCIAL" localSheetId="83">'Senior American'!$B$9:$F$9</definedName>
    <definedName name="AR_FINANCIAL" localSheetId="84">Settlers!$B$9:$F$9</definedName>
    <definedName name="AR_FINANCIAL" localSheetId="85">Shenandoah!$B$9:$F$9</definedName>
    <definedName name="AR_FINANCIAL" localSheetId="86">'Southland National Life'!$B$9:$F$9</definedName>
    <definedName name="AR_FINANCIAL" localSheetId="87">'Standard Life IN'!$B$9:$F$9</definedName>
    <definedName name="AR_FINANCIAL" localSheetId="88">'States General'!$B$9:$F$9</definedName>
    <definedName name="AR_FINANCIAL" localSheetId="89">Statesman!$B$9:$F$9</definedName>
    <definedName name="AR_FINANCIAL" localSheetId="90">'Summit National'!$B$9:$F$9</definedName>
    <definedName name="AR_FINANCIAL" localSheetId="91">Supreme!$B$9:$F$9</definedName>
    <definedName name="AR_FINANCIAL" localSheetId="92">Time!$B$9:$F$9</definedName>
    <definedName name="AR_FINANCIAL" localSheetId="106">'Total Summary'!$B$9:$F$9</definedName>
    <definedName name="AR_FINANCIAL" localSheetId="93">Underwriters!$B$9:$F$9</definedName>
    <definedName name="AR_FINANCIAL" localSheetId="94">Unison!$B$9:$F$9</definedName>
    <definedName name="AR_FINANCIAL" localSheetId="95">'United Republic'!$B$9:$F$9</definedName>
    <definedName name="AR_FINANCIAL" localSheetId="96">'Universal Health Care'!$B$9:$F$9</definedName>
    <definedName name="AR_FINANCIAL" localSheetId="97">'Universal Life'!$B$9:$F$9</definedName>
    <definedName name="AR_FINANCIAL" localSheetId="98">Universe!$B$9:$F$9</definedName>
    <definedName name="AR_FINANCIAL" localSheetId="99">Villanova!$B$9:$F$9</definedName>
    <definedName name="AZ_FINANCIAL" localSheetId="0">'Alabama Life'!$B$8:$F$8</definedName>
    <definedName name="AZ_FINANCIAL" localSheetId="5">'Amer Life Asr'!$B$8:$F$8</definedName>
    <definedName name="AZ_FINANCIAL" localSheetId="8">'Amer Std Life Acc'!$B$8:$F$8</definedName>
    <definedName name="AZ_FINANCIAL" localSheetId="1">'American Chambers'!$B$8:$F$8</definedName>
    <definedName name="AZ_FINANCIAL" localSheetId="2">'American Community'!$B$8:$F$8</definedName>
    <definedName name="AZ_FINANCIAL" localSheetId="3">'American Educators'!$B$8:$F$8</definedName>
    <definedName name="AZ_FINANCIAL" localSheetId="4">'American Integrity'!$B$8:$F$8</definedName>
    <definedName name="AZ_FINANCIAL" localSheetId="6">'American Medical'!$B$8:$F$8</definedName>
    <definedName name="AZ_FINANCIAL" localSheetId="7">'American Network'!$B$8:$F$8</definedName>
    <definedName name="AZ_FINANCIAL" localSheetId="9">AmerWstrn!$B$8:$F$8</definedName>
    <definedName name="AZ_FINANCIAL" localSheetId="10">'AMS Life'!$B$8:$F$8</definedName>
    <definedName name="AZ_FINANCIAL" localSheetId="11">'Andrew Jackson'!$B$8:$F$8</definedName>
    <definedName name="AZ_FINANCIAL" localSheetId="12">'Bankers Commercial'!$B$8:$F$8</definedName>
    <definedName name="AZ_FINANCIAL" localSheetId="13">'Bankers Life'!$B$8:$F$8</definedName>
    <definedName name="AZ_FINANCIAL" localSheetId="14">Benicorp!$B$8:$F$8</definedName>
    <definedName name="AZ_FINANCIAL" localSheetId="15">'Booker T Washington'!$B$8:$F$8</definedName>
    <definedName name="AZ_FINANCIAL" localSheetId="16">Centennial!$B$8:$F$8</definedName>
    <definedName name="AZ_FINANCIAL" localSheetId="18">'CO Bankers'!$B$8:$F$8</definedName>
    <definedName name="AZ_FINANCIAL" localSheetId="17">'Coastal States'!$B$8:$F$8</definedName>
    <definedName name="AZ_FINANCIAL" localSheetId="19">'Colorado Health'!$B$8:$F$8</definedName>
    <definedName name="AZ_FINANCIAL" localSheetId="20">'Compass (dbs Meritus)'!$B$8:$F$8</definedName>
    <definedName name="AZ_FINANCIAL" localSheetId="21">'Confed Life &amp; Annty (CLIAC)'!$B$8:$F$8</definedName>
    <definedName name="AZ_FINANCIAL" localSheetId="22">'Confed Life (CLIC)'!$B$8:$F$8</definedName>
    <definedName name="AZ_FINANCIAL" localSheetId="23">'Consolidated National'!$B$8:$F$8</definedName>
    <definedName name="AZ_FINANCIAL" localSheetId="24">'Consumers Choice'!$B$8:$F$8</definedName>
    <definedName name="AZ_FINANCIAL" localSheetId="25">'Consumers Mutual'!$B$8:$F$8</definedName>
    <definedName name="AZ_FINANCIAL" localSheetId="26">'Consumers United'!$B$8:$F$8</definedName>
    <definedName name="AZ_FINANCIAL" localSheetId="27">CoOportunity!$B$8:$F$8</definedName>
    <definedName name="AZ_FINANCIAL" localSheetId="28">'Coordinated Hlth'!$B$8:$F$8</definedName>
    <definedName name="AZ_FINANCIAL" localSheetId="29">'Corporate Life'!$B$8:$F$8</definedName>
    <definedName name="AZ_FINANCIAL" localSheetId="30">'Diamond Benefits'!$B$8:$F$8</definedName>
    <definedName name="AZ_FINANCIAL" localSheetId="31">'EBL Life'!$B$8:$F$8</definedName>
    <definedName name="AZ_FINANCIAL" localSheetId="33">ELNY!$B$8:$F$8</definedName>
    <definedName name="AZ_FINANCIAL" localSheetId="32">'Executive Life'!$B$8:$F$8</definedName>
    <definedName name="AZ_FINANCIAL" localSheetId="34">'Family Guaranty'!$B$8:$F$8</definedName>
    <definedName name="AZ_FINANCIAL" localSheetId="35">'Farmers &amp; Ranchers'!$B$8:$F$8</definedName>
    <definedName name="AZ_FINANCIAL" localSheetId="36">'Fidelity Bankers'!$B$8:$F$8</definedName>
    <definedName name="AZ_FINANCIAL" localSheetId="37">'Fidelity Mutual'!$B$8:$F$8</definedName>
    <definedName name="AZ_FINANCIAL" localSheetId="38">'First Capital'!$B$8:$F$8</definedName>
    <definedName name="AZ_FINANCIAL" localSheetId="39">'First Natl'!$B$8:$F$8</definedName>
    <definedName name="AZ_FINANCIAL" localSheetId="40">'First Natl (Thrnr)'!$B$8:$F$8</definedName>
    <definedName name="AZ_FINANCIAL" localSheetId="41">'Franklin American'!$B$8:$F$8</definedName>
    <definedName name="AZ_FINANCIAL" localSheetId="42">'Franklin Protective'!$B$8:$F$8</definedName>
    <definedName name="AZ_FINANCIAL" localSheetId="43">'Freelancers CO-OP'!$B$8:$F$8</definedName>
    <definedName name="AZ_FINANCIAL" localSheetId="44">Freestone!$B$8:$F$8</definedName>
    <definedName name="AZ_FINANCIAL" localSheetId="45">'George Washington'!$B$8:$F$8</definedName>
    <definedName name="AZ_FINANCIAL" localSheetId="46">'Golden State'!$B$8:$F$8</definedName>
    <definedName name="AZ_FINANCIAL" localSheetId="47">'Guarantee Security'!$B$8:$F$8</definedName>
    <definedName name="AZ_FINANCIAL" localSheetId="48">HealthyCT!$B$8:$F$8</definedName>
    <definedName name="AZ_FINANCIAL" localSheetId="49">Imerica!$B$8:$F$8</definedName>
    <definedName name="AZ_FINANCIAL" localSheetId="50">'Inter-American'!$B$8:$F$8</definedName>
    <definedName name="AZ_FINANCIAL" localSheetId="51">'International Fin'!$B$8:$F$8</definedName>
    <definedName name="AZ_FINANCIAL" localSheetId="52">'Investment Life of America'!$B$8:$F$8</definedName>
    <definedName name="AZ_FINANCIAL" localSheetId="53">'Investors Equity'!$B$8:$F$8</definedName>
    <definedName name="AZ_FINANCIAL" localSheetId="54">'Kentucky Central'!$B$8:$F$8</definedName>
    <definedName name="AZ_FINANCIAL" localSheetId="55">'Land of Lincoln'!$B$8:$F$8</definedName>
    <definedName name="AZ_FINANCIAL" localSheetId="56">Legion!$B$8:$F$8</definedName>
    <definedName name="AZ_FINANCIAL" localSheetId="57">'Life Health America'!$B$8:$F$8</definedName>
    <definedName name="AZ_FINANCIAL" localSheetId="58">'Lincoln Memorial'!$B$8:$F$8</definedName>
    <definedName name="AZ_FINANCIAL" localSheetId="59">'London Pac'!$B$8:$F$8</definedName>
    <definedName name="AZ_FINANCIAL" localSheetId="60">Lumbermens!$B$8:$F$8</definedName>
    <definedName name="AZ_FINANCIAL" localSheetId="61">'Medical Savings'!$B$8:$F$8</definedName>
    <definedName name="AZ_FINANCIAL" localSheetId="62">'Memorial Service'!$B$8:$F$8</definedName>
    <definedName name="AZ_FINANCIAL" localSheetId="63">Midcontinent!$B$8:$F$8</definedName>
    <definedName name="AZ_FINANCIAL" localSheetId="64">'Midwest Life'!$B$8:$F$8</definedName>
    <definedName name="AZ_FINANCIAL" localSheetId="65">'Monarch Life'!$B$8:$F$8</definedName>
    <definedName name="AZ_FINANCIAL" localSheetId="66">'Mutual Benefit'!$B$8:$F$8</definedName>
    <definedName name="AZ_FINANCIAL" localSheetId="67">'Mutual Security'!$B$8:$F$8</definedName>
    <definedName name="AZ_FINANCIAL" localSheetId="68">'National Affiliated'!$B$8:$F$8</definedName>
    <definedName name="AZ_FINANCIAL" localSheetId="70">'National Heritage'!$B$8:$F$8</definedName>
    <definedName name="AZ_FINANCIAL" localSheetId="71">'National States'!$B$8:$F$8</definedName>
    <definedName name="AZ_FINANCIAL" localSheetId="69">'Natl American'!$B$8:$F$8</definedName>
    <definedName name="AZ_FINANCIAL" localSheetId="72">'New Jersey Life'!$B$8:$F$8</definedName>
    <definedName name="AZ_FINANCIAL" localSheetId="74">NNIC!$B$8:$F$8</definedName>
    <definedName name="AZ_FINANCIAL" localSheetId="73">'North Carolina Mutual'!$B$8:$F$8</definedName>
    <definedName name="AZ_FINANCIAL" localSheetId="75">'Old Colony Life'!$B$8:$F$8</definedName>
    <definedName name="AZ_FINANCIAL" localSheetId="76">'Old Faithful'!$B$8:$F$8</definedName>
    <definedName name="AZ_FINANCIAL" localSheetId="77">'Pacific Standard'!$B$8:$F$8</definedName>
    <definedName name="AZ_FINANCIAL" localSheetId="78">'Pavonia Life'!$B$8:$F$8</definedName>
    <definedName name="AZ_FINANCIAL" localSheetId="79">'Pen  Treaty'!$B$8:$F$8</definedName>
    <definedName name="AZ_FINANCIAL" localSheetId="80">'Red Rock'!$B$8:$F$8</definedName>
    <definedName name="AZ_FINANCIAL" localSheetId="81">Reliance!$B$8:$F$8</definedName>
    <definedName name="AZ_FINANCIAL" localSheetId="82">SeeChange!$B$8:$F$8</definedName>
    <definedName name="AZ_FINANCIAL" localSheetId="83">'Senior American'!$B$8:$F$8</definedName>
    <definedName name="AZ_FINANCIAL" localSheetId="84">Settlers!$B$8:$F$8</definedName>
    <definedName name="AZ_FINANCIAL" localSheetId="85">Shenandoah!$B$8:$F$8</definedName>
    <definedName name="AZ_FINANCIAL" localSheetId="86">'Southland National Life'!$B$8:$F$8</definedName>
    <definedName name="AZ_FINANCIAL" localSheetId="87">'Standard Life IN'!$B$8:$F$8</definedName>
    <definedName name="AZ_FINANCIAL" localSheetId="88">'States General'!$B$8:$F$8</definedName>
    <definedName name="AZ_FINANCIAL" localSheetId="89">Statesman!$B$8:$F$8</definedName>
    <definedName name="AZ_FINANCIAL" localSheetId="90">'Summit National'!$B$8:$F$8</definedName>
    <definedName name="AZ_FINANCIAL" localSheetId="91">Supreme!$B$8:$F$8</definedName>
    <definedName name="AZ_FINANCIAL" localSheetId="92">Time!$B$8:$F$8</definedName>
    <definedName name="AZ_FINANCIAL" localSheetId="106">'Total Summary'!$B$8:$F$8</definedName>
    <definedName name="AZ_FINANCIAL" localSheetId="93">Underwriters!$B$8:$F$8</definedName>
    <definedName name="AZ_FINANCIAL" localSheetId="94">Unison!$B$8:$F$8</definedName>
    <definedName name="AZ_FINANCIAL" localSheetId="95">'United Republic'!$B$8:$F$8</definedName>
    <definedName name="AZ_FINANCIAL" localSheetId="96">'Universal Health Care'!$B$8:$F$8</definedName>
    <definedName name="AZ_FINANCIAL" localSheetId="97">'Universal Life'!$B$8:$F$8</definedName>
    <definedName name="AZ_FINANCIAL" localSheetId="98">Universe!$B$8:$F$8</definedName>
    <definedName name="AZ_FINANCIAL" localSheetId="99">Villanova!$B$8:$F$8</definedName>
    <definedName name="CA_FINANCIAL" localSheetId="0">'Alabama Life'!$B$10:$F$10</definedName>
    <definedName name="CA_FINANCIAL" localSheetId="5">'Amer Life Asr'!$B$10:$F$10</definedName>
    <definedName name="CA_FINANCIAL" localSheetId="8">'Amer Std Life Acc'!$B$10:$F$10</definedName>
    <definedName name="CA_FINANCIAL" localSheetId="1">'American Chambers'!$B$10:$F$10</definedName>
    <definedName name="CA_FINANCIAL" localSheetId="2">'American Community'!$B$10:$F$10</definedName>
    <definedName name="CA_FINANCIAL" localSheetId="3">'American Educators'!$B$10:$F$10</definedName>
    <definedName name="CA_FINANCIAL" localSheetId="4">'American Integrity'!$B$10:$F$10</definedName>
    <definedName name="CA_FINANCIAL" localSheetId="6">'American Medical'!$B$10:$F$10</definedName>
    <definedName name="CA_FINANCIAL" localSheetId="7">'American Network'!$B$10:$F$10</definedName>
    <definedName name="CA_FINANCIAL" localSheetId="9">AmerWstrn!$B$10:$F$10</definedName>
    <definedName name="CA_FINANCIAL" localSheetId="10">'AMS Life'!$B$10:$F$10</definedName>
    <definedName name="CA_FINANCIAL" localSheetId="11">'Andrew Jackson'!$B$10:$F$10</definedName>
    <definedName name="CA_FINANCIAL" localSheetId="12">'Bankers Commercial'!$B$10:$F$10</definedName>
    <definedName name="CA_FINANCIAL" localSheetId="13">'Bankers Life'!$B$10:$F$10</definedName>
    <definedName name="CA_FINANCIAL" localSheetId="14">Benicorp!$B$10:$F$10</definedName>
    <definedName name="CA_FINANCIAL" localSheetId="15">'Booker T Washington'!$B$10:$F$10</definedName>
    <definedName name="CA_FINANCIAL" localSheetId="16">Centennial!$B$10:$F$10</definedName>
    <definedName name="CA_FINANCIAL" localSheetId="18">'CO Bankers'!$B$10:$F$10</definedName>
    <definedName name="CA_FINANCIAL" localSheetId="17">'Coastal States'!$B$10:$F$10</definedName>
    <definedName name="CA_FINANCIAL" localSheetId="19">'Colorado Health'!$B$10:$F$10</definedName>
    <definedName name="CA_FINANCIAL" localSheetId="20">'Compass (dbs Meritus)'!$B$10:$F$10</definedName>
    <definedName name="CA_FINANCIAL" localSheetId="21">'Confed Life &amp; Annty (CLIAC)'!$B$10:$F$10</definedName>
    <definedName name="CA_FINANCIAL" localSheetId="22">'Confed Life (CLIC)'!$B$10:$F$10</definedName>
    <definedName name="CA_FINANCIAL" localSheetId="23">'Consolidated National'!$B$10:$F$10</definedName>
    <definedName name="CA_FINANCIAL" localSheetId="24">'Consumers Choice'!$B$10:$F$10</definedName>
    <definedName name="CA_FINANCIAL" localSheetId="25">'Consumers Mutual'!$B$10:$F$10</definedName>
    <definedName name="CA_FINANCIAL" localSheetId="26">'Consumers United'!$B$10:$F$10</definedName>
    <definedName name="CA_FINANCIAL" localSheetId="27">CoOportunity!$B$10:$F$10</definedName>
    <definedName name="CA_FINANCIAL" localSheetId="28">'Coordinated Hlth'!$B$10:$F$10</definedName>
    <definedName name="CA_FINANCIAL" localSheetId="29">'Corporate Life'!$B$10:$F$10</definedName>
    <definedName name="CA_FINANCIAL" localSheetId="30">'Diamond Benefits'!$B$10:$F$10</definedName>
    <definedName name="CA_FINANCIAL" localSheetId="31">'EBL Life'!$B$10:$F$10</definedName>
    <definedName name="CA_FINANCIAL" localSheetId="33">ELNY!$B$10:$F$10</definedName>
    <definedName name="CA_FINANCIAL" localSheetId="32">'Executive Life'!$B$10:$F$10</definedName>
    <definedName name="CA_FINANCIAL" localSheetId="34">'Family Guaranty'!$B$10:$F$10</definedName>
    <definedName name="CA_FINANCIAL" localSheetId="35">'Farmers &amp; Ranchers'!$B$10:$F$10</definedName>
    <definedName name="CA_FINANCIAL" localSheetId="36">'Fidelity Bankers'!$B$10:$F$10</definedName>
    <definedName name="CA_FINANCIAL" localSheetId="37">'Fidelity Mutual'!$B$10:$F$10</definedName>
    <definedName name="CA_FINANCIAL" localSheetId="38">'First Capital'!$B$10:$F$10</definedName>
    <definedName name="CA_FINANCIAL" localSheetId="39">'First Natl'!$B$10:$F$10</definedName>
    <definedName name="CA_FINANCIAL" localSheetId="40">'First Natl (Thrnr)'!$B$10:$F$10</definedName>
    <definedName name="CA_FINANCIAL" localSheetId="41">'Franklin American'!$B$10:$F$10</definedName>
    <definedName name="CA_FINANCIAL" localSheetId="42">'Franklin Protective'!$B$10:$F$10</definedName>
    <definedName name="CA_FINANCIAL" localSheetId="43">'Freelancers CO-OP'!$B$10:$F$10</definedName>
    <definedName name="CA_FINANCIAL" localSheetId="44">Freestone!$B$10:$F$10</definedName>
    <definedName name="CA_FINANCIAL" localSheetId="45">'George Washington'!$B$10:$F$10</definedName>
    <definedName name="CA_FINANCIAL" localSheetId="46">'Golden State'!$B$10:$F$10</definedName>
    <definedName name="CA_FINANCIAL" localSheetId="47">'Guarantee Security'!$B$10:$F$10</definedName>
    <definedName name="CA_FINANCIAL" localSheetId="48">HealthyCT!$B$10:$F$10</definedName>
    <definedName name="CA_FINANCIAL" localSheetId="49">Imerica!$B$10:$F$10</definedName>
    <definedName name="CA_FINANCIAL" localSheetId="50">'Inter-American'!$B$10:$F$10</definedName>
    <definedName name="CA_FINANCIAL" localSheetId="51">'International Fin'!$B$10:$F$10</definedName>
    <definedName name="CA_FINANCIAL" localSheetId="52">'Investment Life of America'!$B$10:$F$10</definedName>
    <definedName name="CA_FINANCIAL" localSheetId="53">'Investors Equity'!$B$10:$F$10</definedName>
    <definedName name="CA_FINANCIAL" localSheetId="54">'Kentucky Central'!$B$10:$F$10</definedName>
    <definedName name="CA_FINANCIAL" localSheetId="55">'Land of Lincoln'!$B$10:$F$10</definedName>
    <definedName name="CA_FINANCIAL" localSheetId="56">Legion!$B$10:$F$10</definedName>
    <definedName name="CA_FINANCIAL" localSheetId="57">'Life Health America'!$B$10:$F$10</definedName>
    <definedName name="CA_FINANCIAL" localSheetId="58">'Lincoln Memorial'!$B$10:$F$10</definedName>
    <definedName name="CA_FINANCIAL" localSheetId="59">'London Pac'!$B$10:$F$10</definedName>
    <definedName name="CA_FINANCIAL" localSheetId="60">Lumbermens!$B$10:$F$10</definedName>
    <definedName name="CA_FINANCIAL" localSheetId="61">'Medical Savings'!$B$10:$F$10</definedName>
    <definedName name="CA_FINANCIAL" localSheetId="62">'Memorial Service'!$B$10:$F$10</definedName>
    <definedName name="CA_FINANCIAL" localSheetId="63">Midcontinent!$B$10:$F$10</definedName>
    <definedName name="CA_FINANCIAL" localSheetId="64">'Midwest Life'!$B$10:$F$10</definedName>
    <definedName name="CA_FINANCIAL" localSheetId="65">'Monarch Life'!$B$10:$F$10</definedName>
    <definedName name="CA_FINANCIAL" localSheetId="66">'Mutual Benefit'!$B$10:$F$10</definedName>
    <definedName name="CA_FINANCIAL" localSheetId="67">'Mutual Security'!$B$10:$F$10</definedName>
    <definedName name="CA_FINANCIAL" localSheetId="68">'National Affiliated'!$B$10:$F$10</definedName>
    <definedName name="CA_FINANCIAL" localSheetId="70">'National Heritage'!$B$10:$F$10</definedName>
    <definedName name="CA_FINANCIAL" localSheetId="71">'National States'!$B$10:$F$10</definedName>
    <definedName name="CA_FINANCIAL" localSheetId="69">'Natl American'!$B$10:$F$10</definedName>
    <definedName name="CA_FINANCIAL" localSheetId="72">'New Jersey Life'!$B$10:$F$10</definedName>
    <definedName name="CA_FINANCIAL" localSheetId="74">NNIC!$B$10:$F$10</definedName>
    <definedName name="CA_FINANCIAL" localSheetId="73">'North Carolina Mutual'!$B$10:$F$10</definedName>
    <definedName name="CA_FINANCIAL" localSheetId="75">'Old Colony Life'!$B$10:$F$10</definedName>
    <definedName name="CA_FINANCIAL" localSheetId="76">'Old Faithful'!$B$10:$F$10</definedName>
    <definedName name="CA_FINANCIAL" localSheetId="77">'Pacific Standard'!$B$10:$F$10</definedName>
    <definedName name="CA_FINANCIAL" localSheetId="78">'Pavonia Life'!$B$10:$F$10</definedName>
    <definedName name="CA_FINANCIAL" localSheetId="79">'Pen  Treaty'!$B$10:$F$10</definedName>
    <definedName name="CA_FINANCIAL" localSheetId="80">'Red Rock'!$B$10:$F$10</definedName>
    <definedName name="CA_FINANCIAL" localSheetId="81">Reliance!$B$10:$F$10</definedName>
    <definedName name="CA_FINANCIAL" localSheetId="82">SeeChange!$B$10:$F$10</definedName>
    <definedName name="CA_FINANCIAL" localSheetId="83">'Senior American'!$B$10:$F$10</definedName>
    <definedName name="CA_FINANCIAL" localSheetId="84">Settlers!$B$10:$F$10</definedName>
    <definedName name="CA_FINANCIAL" localSheetId="85">Shenandoah!$B$10:$F$10</definedName>
    <definedName name="CA_FINANCIAL" localSheetId="86">'Southland National Life'!$B$10:$F$10</definedName>
    <definedName name="CA_FINANCIAL" localSheetId="87">'Standard Life IN'!$B$10:$F$10</definedName>
    <definedName name="CA_FINANCIAL" localSheetId="88">'States General'!$B$10:$F$10</definedName>
    <definedName name="CA_FINANCIAL" localSheetId="89">Statesman!$B$10:$F$10</definedName>
    <definedName name="CA_FINANCIAL" localSheetId="90">'Summit National'!$B$10:$F$10</definedName>
    <definedName name="CA_FINANCIAL" localSheetId="91">Supreme!$B$10:$F$10</definedName>
    <definedName name="CA_FINANCIAL" localSheetId="92">Time!$B$10:$F$10</definedName>
    <definedName name="CA_FINANCIAL" localSheetId="106">'Total Summary'!$B$10:$F$10</definedName>
    <definedName name="CA_FINANCIAL" localSheetId="93">Underwriters!$B$10:$F$10</definedName>
    <definedName name="CA_FINANCIAL" localSheetId="94">Unison!$B$10:$F$10</definedName>
    <definedName name="CA_FINANCIAL" localSheetId="95">'United Republic'!$B$10:$F$10</definedName>
    <definedName name="CA_FINANCIAL" localSheetId="96">'Universal Health Care'!$B$10:$F$10</definedName>
    <definedName name="CA_FINANCIAL" localSheetId="97">'Universal Life'!$B$10:$F$10</definedName>
    <definedName name="CA_FINANCIAL" localSheetId="98">Universe!$B$10:$F$10</definedName>
    <definedName name="CA_FINANCIAL" localSheetId="99">Villanova!$B$10:$F$10</definedName>
    <definedName name="CL_ALLOC_CALLED" localSheetId="100">Summary!$U$31:$U$49</definedName>
    <definedName name="CL_ALLOC_REFUNDED" localSheetId="100">Summary!$V$31:$V$49</definedName>
    <definedName name="CL_ALLOCATED" localSheetId="100">Summary!$I$31:$I$49</definedName>
    <definedName name="CL_CHANGE" localSheetId="100">Summary!$O$31:$O$49</definedName>
    <definedName name="CL_HEALTH" localSheetId="100">Summary!$J$31:$J$49</definedName>
    <definedName name="CL_HEALTH_CALLED" localSheetId="100">Summary!$X$31:$X$49</definedName>
    <definedName name="CL_HEALTH_REFUNDED" localSheetId="100">Summary!$Y$31:$Y$49</definedName>
    <definedName name="CL_LIFE" localSheetId="100">Summary!$H$31:$H$49</definedName>
    <definedName name="CL_LIFE_CALLED" localSheetId="100">Summary!$R$31:$R$49</definedName>
    <definedName name="CL_LIFE_REFUNDED" localSheetId="100">Summary!$S$31:$S$49</definedName>
    <definedName name="CL_LTC" localSheetId="100">Summary!$L$31:$L$49</definedName>
    <definedName name="CL_RECON" localSheetId="100">Summary!#REF!</definedName>
    <definedName name="CL_TOTAL" localSheetId="100">Summary!$M$31:$M$49</definedName>
    <definedName name="CL_TOTAL_PREV" localSheetId="100">Summary!$N$31:$N$49</definedName>
    <definedName name="CL_UNALLOC_CALLED" localSheetId="100">Summary!$AA$31:$AA$49</definedName>
    <definedName name="CL_UNALLOC_REFUNDED" localSheetId="100">Summary!$AB$31:$AB$49</definedName>
    <definedName name="CL_UNALLOCATED" localSheetId="100">Summary!$K$31:$K$49</definedName>
    <definedName name="CO_FINANCIAL" localSheetId="0">'Alabama Life'!$B$11:$F$11</definedName>
    <definedName name="CO_FINANCIAL" localSheetId="5">'Amer Life Asr'!$B$11:$F$11</definedName>
    <definedName name="CO_FINANCIAL" localSheetId="8">'Amer Std Life Acc'!$B$11:$F$11</definedName>
    <definedName name="CO_FINANCIAL" localSheetId="1">'American Chambers'!$B$11:$F$11</definedName>
    <definedName name="CO_FINANCIAL" localSheetId="2">'American Community'!$B$11:$F$11</definedName>
    <definedName name="CO_FINANCIAL" localSheetId="3">'American Educators'!$B$11:$F$11</definedName>
    <definedName name="CO_FINANCIAL" localSheetId="4">'American Integrity'!$B$11:$F$11</definedName>
    <definedName name="CO_FINANCIAL" localSheetId="6">'American Medical'!$B$11:$F$11</definedName>
    <definedName name="CO_FINANCIAL" localSheetId="7">'American Network'!$B$11:$F$11</definedName>
    <definedName name="CO_FINANCIAL" localSheetId="9">AmerWstrn!$B$11:$F$11</definedName>
    <definedName name="CO_FINANCIAL" localSheetId="10">'AMS Life'!$B$11:$F$11</definedName>
    <definedName name="CO_FINANCIAL" localSheetId="11">'Andrew Jackson'!$B$11:$F$11</definedName>
    <definedName name="CO_FINANCIAL" localSheetId="12">'Bankers Commercial'!$B$11:$F$11</definedName>
    <definedName name="CO_FINANCIAL" localSheetId="13">'Bankers Life'!$B$11:$F$11</definedName>
    <definedName name="CO_FINANCIAL" localSheetId="14">Benicorp!$B$11:$F$11</definedName>
    <definedName name="CO_FINANCIAL" localSheetId="15">'Booker T Washington'!$B$11:$F$11</definedName>
    <definedName name="CO_FINANCIAL" localSheetId="16">Centennial!$B$11:$F$11</definedName>
    <definedName name="CO_FINANCIAL" localSheetId="18">'CO Bankers'!$B$11:$F$11</definedName>
    <definedName name="CO_FINANCIAL" localSheetId="17">'Coastal States'!$B$11:$F$11</definedName>
    <definedName name="CO_FINANCIAL" localSheetId="19">'Colorado Health'!$B$11:$F$11</definedName>
    <definedName name="CO_FINANCIAL" localSheetId="20">'Compass (dbs Meritus)'!$B$11:$F$11</definedName>
    <definedName name="CO_FINANCIAL" localSheetId="21">'Confed Life &amp; Annty (CLIAC)'!$B$11:$F$11</definedName>
    <definedName name="CO_FINANCIAL" localSheetId="22">'Confed Life (CLIC)'!$B$11:$F$11</definedName>
    <definedName name="CO_FINANCIAL" localSheetId="23">'Consolidated National'!$B$11:$F$11</definedName>
    <definedName name="CO_FINANCIAL" localSheetId="24">'Consumers Choice'!$B$11:$F$11</definedName>
    <definedName name="CO_FINANCIAL" localSheetId="25">'Consumers Mutual'!$B$11:$F$11</definedName>
    <definedName name="CO_FINANCIAL" localSheetId="26">'Consumers United'!$B$11:$F$11</definedName>
    <definedName name="CO_FINANCIAL" localSheetId="27">CoOportunity!$B$11:$F$11</definedName>
    <definedName name="CO_FINANCIAL" localSheetId="28">'Coordinated Hlth'!$B$11:$F$11</definedName>
    <definedName name="CO_FINANCIAL" localSheetId="29">'Corporate Life'!$B$11:$F$11</definedName>
    <definedName name="CO_FINANCIAL" localSheetId="30">'Diamond Benefits'!$B$11:$F$11</definedName>
    <definedName name="CO_FINANCIAL" localSheetId="31">'EBL Life'!$B$11:$F$11</definedName>
    <definedName name="CO_FINANCIAL" localSheetId="33">ELNY!$B$11:$F$11</definedName>
    <definedName name="CO_FINANCIAL" localSheetId="32">'Executive Life'!$B$11:$F$11</definedName>
    <definedName name="CO_FINANCIAL" localSheetId="34">'Family Guaranty'!$B$11:$F$11</definedName>
    <definedName name="CO_FINANCIAL" localSheetId="35">'Farmers &amp; Ranchers'!$B$11:$F$11</definedName>
    <definedName name="CO_FINANCIAL" localSheetId="36">'Fidelity Bankers'!$B$11:$F$11</definedName>
    <definedName name="CO_FINANCIAL" localSheetId="37">'Fidelity Mutual'!$B$11:$F$11</definedName>
    <definedName name="CO_FINANCIAL" localSheetId="38">'First Capital'!$B$11:$F$11</definedName>
    <definedName name="CO_FINANCIAL" localSheetId="39">'First Natl'!$B$11:$F$11</definedName>
    <definedName name="CO_FINANCIAL" localSheetId="40">'First Natl (Thrnr)'!$B$11:$F$11</definedName>
    <definedName name="CO_FINANCIAL" localSheetId="41">'Franklin American'!$B$11:$F$11</definedName>
    <definedName name="CO_FINANCIAL" localSheetId="42">'Franklin Protective'!$B$11:$F$11</definedName>
    <definedName name="CO_FINANCIAL" localSheetId="43">'Freelancers CO-OP'!$B$11:$F$11</definedName>
    <definedName name="CO_FINANCIAL" localSheetId="44">Freestone!$B$11:$F$11</definedName>
    <definedName name="CO_FINANCIAL" localSheetId="45">'George Washington'!$B$11:$F$11</definedName>
    <definedName name="CO_FINANCIAL" localSheetId="46">'Golden State'!$B$11:$F$11</definedName>
    <definedName name="CO_FINANCIAL" localSheetId="47">'Guarantee Security'!$B$11:$F$11</definedName>
    <definedName name="CO_FINANCIAL" localSheetId="48">HealthyCT!$B$11:$F$11</definedName>
    <definedName name="CO_FINANCIAL" localSheetId="49">Imerica!$B$11:$F$11</definedName>
    <definedName name="CO_FINANCIAL" localSheetId="50">'Inter-American'!$B$11:$F$11</definedName>
    <definedName name="CO_FINANCIAL" localSheetId="51">'International Fin'!$B$11:$F$11</definedName>
    <definedName name="CO_FINANCIAL" localSheetId="52">'Investment Life of America'!$B$11:$F$11</definedName>
    <definedName name="CO_FINANCIAL" localSheetId="53">'Investors Equity'!$B$11:$F$11</definedName>
    <definedName name="CO_FINANCIAL" localSheetId="54">'Kentucky Central'!$B$11:$F$11</definedName>
    <definedName name="CO_FINANCIAL" localSheetId="55">'Land of Lincoln'!$B$11:$F$11</definedName>
    <definedName name="CO_FINANCIAL" localSheetId="56">Legion!$B$11:$F$11</definedName>
    <definedName name="CO_FINANCIAL" localSheetId="57">'Life Health America'!$B$11:$F$11</definedName>
    <definedName name="CO_FINANCIAL" localSheetId="58">'Lincoln Memorial'!$B$11:$F$11</definedName>
    <definedName name="CO_FINANCIAL" localSheetId="59">'London Pac'!$B$11:$F$11</definedName>
    <definedName name="CO_FINANCIAL" localSheetId="60">Lumbermens!$B$11:$F$11</definedName>
    <definedName name="CO_FINANCIAL" localSheetId="61">'Medical Savings'!$B$11:$F$11</definedName>
    <definedName name="CO_FINANCIAL" localSheetId="62">'Memorial Service'!$B$11:$F$11</definedName>
    <definedName name="CO_FINANCIAL" localSheetId="63">Midcontinent!$B$11:$F$11</definedName>
    <definedName name="CO_FINANCIAL" localSheetId="64">'Midwest Life'!$B$11:$F$11</definedName>
    <definedName name="CO_FINANCIAL" localSheetId="65">'Monarch Life'!$B$11:$F$11</definedName>
    <definedName name="CO_FINANCIAL" localSheetId="66">'Mutual Benefit'!$B$11:$F$11</definedName>
    <definedName name="CO_FINANCIAL" localSheetId="67">'Mutual Security'!$B$11:$F$11</definedName>
    <definedName name="CO_FINANCIAL" localSheetId="68">'National Affiliated'!$B$11:$F$11</definedName>
    <definedName name="CO_FINANCIAL" localSheetId="70">'National Heritage'!$B$11:$F$11</definedName>
    <definedName name="CO_FINANCIAL" localSheetId="71">'National States'!$B$11:$F$11</definedName>
    <definedName name="CO_FINANCIAL" localSheetId="69">'Natl American'!$B$11:$F$11</definedName>
    <definedName name="CO_FINANCIAL" localSheetId="72">'New Jersey Life'!$B$11:$F$11</definedName>
    <definedName name="CO_FINANCIAL" localSheetId="74">NNIC!$B$11:$F$11</definedName>
    <definedName name="CO_FINANCIAL" localSheetId="73">'North Carolina Mutual'!$B$11:$F$11</definedName>
    <definedName name="CO_FINANCIAL" localSheetId="75">'Old Colony Life'!$B$11:$F$11</definedName>
    <definedName name="CO_FINANCIAL" localSheetId="76">'Old Faithful'!$B$11:$F$11</definedName>
    <definedName name="CO_FINANCIAL" localSheetId="77">'Pacific Standard'!$B$11:$F$11</definedName>
    <definedName name="CO_FINANCIAL" localSheetId="78">'Pavonia Life'!$B$11:$F$11</definedName>
    <definedName name="CO_FINANCIAL" localSheetId="79">'Pen  Treaty'!$B$11:$F$11</definedName>
    <definedName name="CO_FINANCIAL" localSheetId="80">'Red Rock'!$B$11:$F$11</definedName>
    <definedName name="CO_FINANCIAL" localSheetId="81">Reliance!$B$11:$F$11</definedName>
    <definedName name="CO_FINANCIAL" localSheetId="82">SeeChange!$B$11:$F$11</definedName>
    <definedName name="CO_FINANCIAL" localSheetId="83">'Senior American'!$B$11:$F$11</definedName>
    <definedName name="CO_FINANCIAL" localSheetId="84">Settlers!$B$11:$F$11</definedName>
    <definedName name="CO_FINANCIAL" localSheetId="85">Shenandoah!$B$11:$F$11</definedName>
    <definedName name="CO_FINANCIAL" localSheetId="86">'Southland National Life'!$B$11:$F$11</definedName>
    <definedName name="CO_FINANCIAL" localSheetId="87">'Standard Life IN'!$B$11:$F$11</definedName>
    <definedName name="CO_FINANCIAL" localSheetId="88">'States General'!$B$11:$F$11</definedName>
    <definedName name="CO_FINANCIAL" localSheetId="89">Statesman!$B$11:$F$11</definedName>
    <definedName name="CO_FINANCIAL" localSheetId="90">'Summit National'!$B$11:$F$11</definedName>
    <definedName name="CO_FINANCIAL" localSheetId="91">Supreme!$B$11:$F$11</definedName>
    <definedName name="CO_FINANCIAL" localSheetId="92">Time!$B$11:$F$11</definedName>
    <definedName name="CO_FINANCIAL" localSheetId="106">'Total Summary'!$B$11:$F$11</definedName>
    <definedName name="CO_FINANCIAL" localSheetId="93">Underwriters!$B$11:$F$11</definedName>
    <definedName name="CO_FINANCIAL" localSheetId="94">Unison!$B$11:$F$11</definedName>
    <definedName name="CO_FINANCIAL" localSheetId="95">'United Republic'!$B$11:$F$11</definedName>
    <definedName name="CO_FINANCIAL" localSheetId="96">'Universal Health Care'!$B$11:$F$11</definedName>
    <definedName name="CO_FINANCIAL" localSheetId="97">'Universal Life'!$B$11:$F$11</definedName>
    <definedName name="CO_FINANCIAL" localSheetId="98">Universe!$B$11:$F$11</definedName>
    <definedName name="CO_FINANCIAL" localSheetId="99">Villanova!$B$11:$F$11</definedName>
    <definedName name="CT_FINANCIAL" localSheetId="0">'Alabama Life'!$B$12:$F$12</definedName>
    <definedName name="CT_FINANCIAL" localSheetId="5">'Amer Life Asr'!$B$12:$F$12</definedName>
    <definedName name="CT_FINANCIAL" localSheetId="8">'Amer Std Life Acc'!$B$12:$F$12</definedName>
    <definedName name="CT_FINANCIAL" localSheetId="1">'American Chambers'!$B$12:$F$12</definedName>
    <definedName name="CT_FINANCIAL" localSheetId="2">'American Community'!$B$12:$F$12</definedName>
    <definedName name="CT_FINANCIAL" localSheetId="3">'American Educators'!$B$12:$F$12</definedName>
    <definedName name="CT_FINANCIAL" localSheetId="4">'American Integrity'!$B$12:$F$12</definedName>
    <definedName name="CT_FINANCIAL" localSheetId="6">'American Medical'!$B$12:$F$12</definedName>
    <definedName name="CT_FINANCIAL" localSheetId="7">'American Network'!$B$12:$F$12</definedName>
    <definedName name="CT_FINANCIAL" localSheetId="9">AmerWstrn!$B$12:$F$12</definedName>
    <definedName name="CT_FINANCIAL" localSheetId="10">'AMS Life'!$B$12:$F$12</definedName>
    <definedName name="CT_FINANCIAL" localSheetId="11">'Andrew Jackson'!$B$12:$F$12</definedName>
    <definedName name="CT_FINANCIAL" localSheetId="12">'Bankers Commercial'!$B$12:$F$12</definedName>
    <definedName name="CT_FINANCIAL" localSheetId="13">'Bankers Life'!$B$12:$F$12</definedName>
    <definedName name="CT_FINANCIAL" localSheetId="14">Benicorp!$B$12:$F$12</definedName>
    <definedName name="CT_FINANCIAL" localSheetId="15">'Booker T Washington'!$B$12:$F$12</definedName>
    <definedName name="CT_FINANCIAL" localSheetId="16">Centennial!$B$12:$F$12</definedName>
    <definedName name="CT_FINANCIAL" localSheetId="18">'CO Bankers'!$B$12:$F$12</definedName>
    <definedName name="CT_FINANCIAL" localSheetId="17">'Coastal States'!$B$12:$F$12</definedName>
    <definedName name="CT_FINANCIAL" localSheetId="19">'Colorado Health'!$B$12:$F$12</definedName>
    <definedName name="CT_FINANCIAL" localSheetId="20">'Compass (dbs Meritus)'!$B$12:$F$12</definedName>
    <definedName name="CT_FINANCIAL" localSheetId="21">'Confed Life &amp; Annty (CLIAC)'!$B$12:$F$12</definedName>
    <definedName name="CT_FINANCIAL" localSheetId="22">'Confed Life (CLIC)'!$B$12:$F$12</definedName>
    <definedName name="CT_FINANCIAL" localSheetId="23">'Consolidated National'!$B$12:$F$12</definedName>
    <definedName name="CT_FINANCIAL" localSheetId="24">'Consumers Choice'!$B$12:$F$12</definedName>
    <definedName name="CT_FINANCIAL" localSheetId="25">'Consumers Mutual'!$B$12:$F$12</definedName>
    <definedName name="CT_FINANCIAL" localSheetId="26">'Consumers United'!$B$12:$F$12</definedName>
    <definedName name="CT_FINANCIAL" localSheetId="27">CoOportunity!$B$12:$F$12</definedName>
    <definedName name="CT_FINANCIAL" localSheetId="28">'Coordinated Hlth'!$B$12:$F$12</definedName>
    <definedName name="CT_FINANCIAL" localSheetId="29">'Corporate Life'!$B$12:$F$12</definedName>
    <definedName name="CT_FINANCIAL" localSheetId="30">'Diamond Benefits'!$B$12:$F$12</definedName>
    <definedName name="CT_FINANCIAL" localSheetId="31">'EBL Life'!$B$12:$F$12</definedName>
    <definedName name="CT_FINANCIAL" localSheetId="33">ELNY!$B$12:$F$12</definedName>
    <definedName name="CT_FINANCIAL" localSheetId="32">'Executive Life'!$B$12:$F$12</definedName>
    <definedName name="CT_FINANCIAL" localSheetId="34">'Family Guaranty'!$B$12:$F$12</definedName>
    <definedName name="CT_FINANCIAL" localSheetId="35">'Farmers &amp; Ranchers'!$B$12:$F$12</definedName>
    <definedName name="CT_FINANCIAL" localSheetId="36">'Fidelity Bankers'!$B$12:$F$12</definedName>
    <definedName name="CT_FINANCIAL" localSheetId="37">'Fidelity Mutual'!$B$12:$F$12</definedName>
    <definedName name="CT_FINANCIAL" localSheetId="38">'First Capital'!$B$12:$F$12</definedName>
    <definedName name="CT_FINANCIAL" localSheetId="39">'First Natl'!$B$12:$F$12</definedName>
    <definedName name="CT_FINANCIAL" localSheetId="40">'First Natl (Thrnr)'!$B$12:$F$12</definedName>
    <definedName name="CT_FINANCIAL" localSheetId="41">'Franklin American'!$B$12:$F$12</definedName>
    <definedName name="CT_FINANCIAL" localSheetId="42">'Franklin Protective'!$B$12:$F$12</definedName>
    <definedName name="CT_FINANCIAL" localSheetId="43">'Freelancers CO-OP'!$B$12:$F$12</definedName>
    <definedName name="CT_FINANCIAL" localSheetId="44">Freestone!$B$12:$F$12</definedName>
    <definedName name="CT_FINANCIAL" localSheetId="45">'George Washington'!$B$12:$F$12</definedName>
    <definedName name="CT_FINANCIAL" localSheetId="46">'Golden State'!$B$12:$F$12</definedName>
    <definedName name="CT_FINANCIAL" localSheetId="47">'Guarantee Security'!$B$12:$F$12</definedName>
    <definedName name="CT_FINANCIAL" localSheetId="48">HealthyCT!$B$12:$F$12</definedName>
    <definedName name="CT_FINANCIAL" localSheetId="49">Imerica!$B$12:$F$12</definedName>
    <definedName name="CT_FINANCIAL" localSheetId="50">'Inter-American'!$B$12:$F$12</definedName>
    <definedName name="CT_FINANCIAL" localSheetId="51">'International Fin'!$B$12:$F$12</definedName>
    <definedName name="CT_FINANCIAL" localSheetId="52">'Investment Life of America'!$B$12:$F$12</definedName>
    <definedName name="CT_FINANCIAL" localSheetId="53">'Investors Equity'!$B$12:$F$12</definedName>
    <definedName name="CT_FINANCIAL" localSheetId="54">'Kentucky Central'!$B$12:$F$12</definedName>
    <definedName name="CT_FINANCIAL" localSheetId="55">'Land of Lincoln'!$B$12:$F$12</definedName>
    <definedName name="CT_FINANCIAL" localSheetId="56">Legion!$B$12:$F$12</definedName>
    <definedName name="CT_FINANCIAL" localSheetId="57">'Life Health America'!$B$12:$F$12</definedName>
    <definedName name="CT_FINANCIAL" localSheetId="58">'Lincoln Memorial'!$B$12:$F$12</definedName>
    <definedName name="CT_FINANCIAL" localSheetId="59">'London Pac'!$B$12:$F$12</definedName>
    <definedName name="CT_FINANCIAL" localSheetId="60">Lumbermens!$B$12:$F$12</definedName>
    <definedName name="CT_FINANCIAL" localSheetId="61">'Medical Savings'!$B$12:$F$12</definedName>
    <definedName name="CT_FINANCIAL" localSheetId="62">'Memorial Service'!$B$12:$F$12</definedName>
    <definedName name="CT_FINANCIAL" localSheetId="63">Midcontinent!$B$12:$F$12</definedName>
    <definedName name="CT_FINANCIAL" localSheetId="64">'Midwest Life'!$B$12:$F$12</definedName>
    <definedName name="CT_FINANCIAL" localSheetId="65">'Monarch Life'!$B$12:$F$12</definedName>
    <definedName name="CT_FINANCIAL" localSheetId="66">'Mutual Benefit'!$B$12:$F$12</definedName>
    <definedName name="CT_FINANCIAL" localSheetId="67">'Mutual Security'!$B$12:$F$12</definedName>
    <definedName name="CT_FINANCIAL" localSheetId="68">'National Affiliated'!$B$12:$F$12</definedName>
    <definedName name="CT_FINANCIAL" localSheetId="70">'National Heritage'!$B$12:$F$12</definedName>
    <definedName name="CT_FINANCIAL" localSheetId="71">'National States'!$B$12:$F$12</definedName>
    <definedName name="CT_FINANCIAL" localSheetId="69">'Natl American'!$B$12:$F$12</definedName>
    <definedName name="CT_FINANCIAL" localSheetId="72">'New Jersey Life'!$B$12:$F$12</definedName>
    <definedName name="CT_FINANCIAL" localSheetId="74">NNIC!$B$12:$F$12</definedName>
    <definedName name="CT_FINANCIAL" localSheetId="73">'North Carolina Mutual'!$B$12:$F$12</definedName>
    <definedName name="CT_FINANCIAL" localSheetId="75">'Old Colony Life'!$B$12:$F$12</definedName>
    <definedName name="CT_FINANCIAL" localSheetId="76">'Old Faithful'!$B$12:$F$12</definedName>
    <definedName name="CT_FINANCIAL" localSheetId="77">'Pacific Standard'!$B$12:$F$12</definedName>
    <definedName name="CT_FINANCIAL" localSheetId="78">'Pavonia Life'!$B$12:$F$12</definedName>
    <definedName name="CT_FINANCIAL" localSheetId="79">'Pen  Treaty'!$B$12:$F$12</definedName>
    <definedName name="CT_FINANCIAL" localSheetId="80">'Red Rock'!$B$12:$F$12</definedName>
    <definedName name="CT_FINANCIAL" localSheetId="81">Reliance!$B$12:$F$12</definedName>
    <definedName name="CT_FINANCIAL" localSheetId="82">SeeChange!$B$12:$F$12</definedName>
    <definedName name="CT_FINANCIAL" localSheetId="83">'Senior American'!$B$12:$F$12</definedName>
    <definedName name="CT_FINANCIAL" localSheetId="84">Settlers!$B$12:$F$12</definedName>
    <definedName name="CT_FINANCIAL" localSheetId="85">Shenandoah!$B$12:$F$12</definedName>
    <definedName name="CT_FINANCIAL" localSheetId="86">'Southland National Life'!$B$12:$F$12</definedName>
    <definedName name="CT_FINANCIAL" localSheetId="87">'Standard Life IN'!$B$12:$F$12</definedName>
    <definedName name="CT_FINANCIAL" localSheetId="88">'States General'!$B$12:$F$12</definedName>
    <definedName name="CT_FINANCIAL" localSheetId="89">Statesman!$B$12:$F$12</definedName>
    <definedName name="CT_FINANCIAL" localSheetId="90">'Summit National'!$B$12:$F$12</definedName>
    <definedName name="CT_FINANCIAL" localSheetId="91">Supreme!$B$12:$F$12</definedName>
    <definedName name="CT_FINANCIAL" localSheetId="92">Time!$B$12:$F$12</definedName>
    <definedName name="CT_FINANCIAL" localSheetId="106">'Total Summary'!$B$12:$F$12</definedName>
    <definedName name="CT_FINANCIAL" localSheetId="93">Underwriters!$B$12:$F$12</definedName>
    <definedName name="CT_FINANCIAL" localSheetId="94">Unison!$B$12:$F$12</definedName>
    <definedName name="CT_FINANCIAL" localSheetId="95">'United Republic'!$B$12:$F$12</definedName>
    <definedName name="CT_FINANCIAL" localSheetId="96">'Universal Health Care'!$B$12:$F$12</definedName>
    <definedName name="CT_FINANCIAL" localSheetId="97">'Universal Life'!$B$12:$F$12</definedName>
    <definedName name="CT_FINANCIAL" localSheetId="98">Universe!$B$12:$F$12</definedName>
    <definedName name="CT_FINANCIAL" localSheetId="99">Villanova!$B$12:$F$12</definedName>
    <definedName name="DC_FINANCIAL" localSheetId="0">'Alabama Life'!$B$14:$F$14</definedName>
    <definedName name="DC_FINANCIAL" localSheetId="5">'Amer Life Asr'!$B$14:$F$14</definedName>
    <definedName name="DC_FINANCIAL" localSheetId="8">'Amer Std Life Acc'!$B$14:$F$14</definedName>
    <definedName name="DC_FINANCIAL" localSheetId="1">'American Chambers'!$B$14:$F$14</definedName>
    <definedName name="DC_FINANCIAL" localSheetId="2">'American Community'!$B$14:$F$14</definedName>
    <definedName name="DC_FINANCIAL" localSheetId="3">'American Educators'!$B$14:$F$14</definedName>
    <definedName name="DC_FINANCIAL" localSheetId="4">'American Integrity'!$B$14:$F$14</definedName>
    <definedName name="DC_FINANCIAL" localSheetId="6">'American Medical'!$B$14:$F$14</definedName>
    <definedName name="DC_FINANCIAL" localSheetId="7">'American Network'!$B$14:$F$14</definedName>
    <definedName name="DC_FINANCIAL" localSheetId="9">AmerWstrn!$B$14:$F$14</definedName>
    <definedName name="DC_FINANCIAL" localSheetId="10">'AMS Life'!$B$14:$F$14</definedName>
    <definedName name="DC_FINANCIAL" localSheetId="11">'Andrew Jackson'!$B$14:$F$14</definedName>
    <definedName name="DC_FINANCIAL" localSheetId="12">'Bankers Commercial'!$B$14:$F$14</definedName>
    <definedName name="DC_FINANCIAL" localSheetId="13">'Bankers Life'!$B$14:$F$14</definedName>
    <definedName name="DC_FINANCIAL" localSheetId="14">Benicorp!$B$14:$F$14</definedName>
    <definedName name="DC_FINANCIAL" localSheetId="15">'Booker T Washington'!$B$14:$F$14</definedName>
    <definedName name="DC_FINANCIAL" localSheetId="16">Centennial!$B$14:$F$14</definedName>
    <definedName name="DC_FINANCIAL" localSheetId="18">'CO Bankers'!$B$14:$F$14</definedName>
    <definedName name="DC_FINANCIAL" localSheetId="17">'Coastal States'!$B$14:$F$14</definedName>
    <definedName name="DC_FINANCIAL" localSheetId="19">'Colorado Health'!$B$14:$F$14</definedName>
    <definedName name="DC_FINANCIAL" localSheetId="20">'Compass (dbs Meritus)'!$B$14:$F$14</definedName>
    <definedName name="DC_FINANCIAL" localSheetId="21">'Confed Life &amp; Annty (CLIAC)'!$B$14:$F$14</definedName>
    <definedName name="DC_FINANCIAL" localSheetId="22">'Confed Life (CLIC)'!$B$14:$F$14</definedName>
    <definedName name="DC_FINANCIAL" localSheetId="23">'Consolidated National'!$B$14:$F$14</definedName>
    <definedName name="DC_FINANCIAL" localSheetId="24">'Consumers Choice'!$B$14:$F$14</definedName>
    <definedName name="DC_FINANCIAL" localSheetId="25">'Consumers Mutual'!$B$14:$F$14</definedName>
    <definedName name="DC_FINANCIAL" localSheetId="26">'Consumers United'!$B$14:$F$14</definedName>
    <definedName name="DC_FINANCIAL" localSheetId="27">CoOportunity!$B$14:$F$14</definedName>
    <definedName name="DC_FINANCIAL" localSheetId="28">'Coordinated Hlth'!$B$14:$F$14</definedName>
    <definedName name="DC_FINANCIAL" localSheetId="29">'Corporate Life'!$B$14:$F$14</definedName>
    <definedName name="DC_FINANCIAL" localSheetId="30">'Diamond Benefits'!$B$14:$F$14</definedName>
    <definedName name="DC_FINANCIAL" localSheetId="31">'EBL Life'!$B$14:$F$14</definedName>
    <definedName name="DC_FINANCIAL" localSheetId="33">ELNY!$B$14:$F$14</definedName>
    <definedName name="DC_FINANCIAL" localSheetId="32">'Executive Life'!$B$14:$F$14</definedName>
    <definedName name="DC_FINANCIAL" localSheetId="34">'Family Guaranty'!$B$14:$F$14</definedName>
    <definedName name="DC_FINANCIAL" localSheetId="35">'Farmers &amp; Ranchers'!$B$14:$F$14</definedName>
    <definedName name="DC_FINANCIAL" localSheetId="36">'Fidelity Bankers'!$B$14:$F$14</definedName>
    <definedName name="DC_FINANCIAL" localSheetId="37">'Fidelity Mutual'!$B$14:$F$14</definedName>
    <definedName name="DC_FINANCIAL" localSheetId="38">'First Capital'!$B$14:$F$14</definedName>
    <definedName name="DC_FINANCIAL" localSheetId="39">'First Natl'!$B$14:$F$14</definedName>
    <definedName name="DC_FINANCIAL" localSheetId="40">'First Natl (Thrnr)'!$B$14:$F$14</definedName>
    <definedName name="DC_FINANCIAL" localSheetId="41">'Franklin American'!$B$14:$F$14</definedName>
    <definedName name="DC_FINANCIAL" localSheetId="42">'Franklin Protective'!$B$14:$F$14</definedName>
    <definedName name="DC_FINANCIAL" localSheetId="43">'Freelancers CO-OP'!$B$14:$F$14</definedName>
    <definedName name="DC_FINANCIAL" localSheetId="44">Freestone!$B$14:$F$14</definedName>
    <definedName name="DC_FINANCIAL" localSheetId="45">'George Washington'!$B$14:$F$14</definedName>
    <definedName name="DC_FINANCIAL" localSheetId="46">'Golden State'!$B$14:$F$14</definedName>
    <definedName name="DC_FINANCIAL" localSheetId="47">'Guarantee Security'!$B$14:$F$14</definedName>
    <definedName name="DC_FINANCIAL" localSheetId="48">HealthyCT!$B$14:$F$14</definedName>
    <definedName name="DC_FINANCIAL" localSheetId="49">Imerica!$B$14:$F$14</definedName>
    <definedName name="DC_FINANCIAL" localSheetId="50">'Inter-American'!$B$14:$F$14</definedName>
    <definedName name="DC_FINANCIAL" localSheetId="51">'International Fin'!$B$14:$F$14</definedName>
    <definedName name="DC_FINANCIAL" localSheetId="52">'Investment Life of America'!$B$14:$F$14</definedName>
    <definedName name="DC_FINANCIAL" localSheetId="53">'Investors Equity'!$B$14:$F$14</definedName>
    <definedName name="DC_FINANCIAL" localSheetId="54">'Kentucky Central'!$B$14:$F$14</definedName>
    <definedName name="DC_FINANCIAL" localSheetId="55">'Land of Lincoln'!$B$14:$F$14</definedName>
    <definedName name="DC_FINANCIAL" localSheetId="56">Legion!$B$14:$F$14</definedName>
    <definedName name="DC_FINANCIAL" localSheetId="57">'Life Health America'!$B$14:$F$14</definedName>
    <definedName name="DC_FINANCIAL" localSheetId="58">'Lincoln Memorial'!$B$14:$F$14</definedName>
    <definedName name="DC_FINANCIAL" localSheetId="59">'London Pac'!$B$14:$F$14</definedName>
    <definedName name="DC_FINANCIAL" localSheetId="60">Lumbermens!$B$14:$F$14</definedName>
    <definedName name="DC_FINANCIAL" localSheetId="61">'Medical Savings'!$B$14:$F$14</definedName>
    <definedName name="DC_FINANCIAL" localSheetId="62">'Memorial Service'!$B$14:$F$14</definedName>
    <definedName name="DC_FINANCIAL" localSheetId="63">Midcontinent!$B$14:$F$14</definedName>
    <definedName name="DC_FINANCIAL" localSheetId="64">'Midwest Life'!$B$14:$F$14</definedName>
    <definedName name="DC_FINANCIAL" localSheetId="65">'Monarch Life'!$B$14:$F$14</definedName>
    <definedName name="DC_FINANCIAL" localSheetId="66">'Mutual Benefit'!$B$14:$F$14</definedName>
    <definedName name="DC_FINANCIAL" localSheetId="67">'Mutual Security'!$B$14:$F$14</definedName>
    <definedName name="DC_FINANCIAL" localSheetId="68">'National Affiliated'!$B$14:$F$14</definedName>
    <definedName name="DC_FINANCIAL" localSheetId="70">'National Heritage'!$B$14:$F$14</definedName>
    <definedName name="DC_FINANCIAL" localSheetId="71">'National States'!$B$14:$F$14</definedName>
    <definedName name="DC_FINANCIAL" localSheetId="69">'Natl American'!$B$14:$F$14</definedName>
    <definedName name="DC_FINANCIAL" localSheetId="72">'New Jersey Life'!$B$14:$F$14</definedName>
    <definedName name="DC_FINANCIAL" localSheetId="74">NNIC!$B$14:$F$14</definedName>
    <definedName name="DC_FINANCIAL" localSheetId="73">'North Carolina Mutual'!$B$14:$F$14</definedName>
    <definedName name="DC_FINANCIAL" localSheetId="75">'Old Colony Life'!$B$14:$F$14</definedName>
    <definedName name="DC_FINANCIAL" localSheetId="76">'Old Faithful'!$B$14:$F$14</definedName>
    <definedName name="DC_FINANCIAL" localSheetId="77">'Pacific Standard'!$B$14:$F$14</definedName>
    <definedName name="DC_FINANCIAL" localSheetId="78">'Pavonia Life'!$B$14:$F$14</definedName>
    <definedName name="DC_FINANCIAL" localSheetId="79">'Pen  Treaty'!$B$14:$F$14</definedName>
    <definedName name="DC_FINANCIAL" localSheetId="80">'Red Rock'!$B$14:$F$14</definedName>
    <definedName name="DC_FINANCIAL" localSheetId="81">Reliance!$B$14:$F$14</definedName>
    <definedName name="DC_FINANCIAL" localSheetId="82">SeeChange!$B$14:$F$14</definedName>
    <definedName name="DC_FINANCIAL" localSheetId="83">'Senior American'!$B$14:$F$14</definedName>
    <definedName name="DC_FINANCIAL" localSheetId="84">Settlers!$B$14:$F$14</definedName>
    <definedName name="DC_FINANCIAL" localSheetId="85">Shenandoah!$B$14:$F$14</definedName>
    <definedName name="DC_FINANCIAL" localSheetId="86">'Southland National Life'!$B$14:$F$14</definedName>
    <definedName name="DC_FINANCIAL" localSheetId="87">'Standard Life IN'!$B$14:$F$14</definedName>
    <definedName name="DC_FINANCIAL" localSheetId="88">'States General'!$B$14:$F$14</definedName>
    <definedName name="DC_FINANCIAL" localSheetId="89">Statesman!$B$14:$F$14</definedName>
    <definedName name="DC_FINANCIAL" localSheetId="90">'Summit National'!$B$14:$F$14</definedName>
    <definedName name="DC_FINANCIAL" localSheetId="91">Supreme!$B$14:$F$14</definedName>
    <definedName name="DC_FINANCIAL" localSheetId="92">Time!$B$14:$F$14</definedName>
    <definedName name="DC_FINANCIAL" localSheetId="106">'Total Summary'!$B$14:$F$14</definedName>
    <definedName name="DC_FINANCIAL" localSheetId="93">Underwriters!$B$14:$F$14</definedName>
    <definedName name="DC_FINANCIAL" localSheetId="94">Unison!$B$14:$F$14</definedName>
    <definedName name="DC_FINANCIAL" localSheetId="95">'United Republic'!$B$14:$F$14</definedName>
    <definedName name="DC_FINANCIAL" localSheetId="96">'Universal Health Care'!$B$14:$F$14</definedName>
    <definedName name="DC_FINANCIAL" localSheetId="97">'Universal Life'!$B$14:$F$14</definedName>
    <definedName name="DC_FINANCIAL" localSheetId="98">Universe!$B$14:$F$14</definedName>
    <definedName name="DC_FINANCIAL" localSheetId="99">Villanova!$B$14:$F$14</definedName>
    <definedName name="DE_FINANCIAL" localSheetId="0">'Alabama Life'!$B$13:$F$13</definedName>
    <definedName name="DE_FINANCIAL" localSheetId="5">'Amer Life Asr'!$B$13:$F$13</definedName>
    <definedName name="DE_FINANCIAL" localSheetId="8">'Amer Std Life Acc'!$B$13:$F$13</definedName>
    <definedName name="DE_FINANCIAL" localSheetId="1">'American Chambers'!$B$13:$F$13</definedName>
    <definedName name="DE_FINANCIAL" localSheetId="2">'American Community'!$B$13:$F$13</definedName>
    <definedName name="DE_FINANCIAL" localSheetId="3">'American Educators'!$B$13:$F$13</definedName>
    <definedName name="DE_FINANCIAL" localSheetId="4">'American Integrity'!$B$13:$F$13</definedName>
    <definedName name="DE_FINANCIAL" localSheetId="6">'American Medical'!$B$13:$F$13</definedName>
    <definedName name="DE_FINANCIAL" localSheetId="7">'American Network'!$B$13:$F$13</definedName>
    <definedName name="DE_FINANCIAL" localSheetId="9">AmerWstrn!$B$13:$F$13</definedName>
    <definedName name="DE_FINANCIAL" localSheetId="10">'AMS Life'!$B$13:$F$13</definedName>
    <definedName name="DE_FINANCIAL" localSheetId="11">'Andrew Jackson'!$B$13:$F$13</definedName>
    <definedName name="DE_FINANCIAL" localSheetId="12">'Bankers Commercial'!$B$13:$F$13</definedName>
    <definedName name="DE_FINANCIAL" localSheetId="13">'Bankers Life'!$B$13:$F$13</definedName>
    <definedName name="DE_FINANCIAL" localSheetId="14">Benicorp!$B$13:$F$13</definedName>
    <definedName name="DE_FINANCIAL" localSheetId="15">'Booker T Washington'!$B$13:$F$13</definedName>
    <definedName name="DE_FINANCIAL" localSheetId="16">Centennial!$B$13:$F$13</definedName>
    <definedName name="DE_FINANCIAL" localSheetId="18">'CO Bankers'!$B$13:$F$13</definedName>
    <definedName name="DE_FINANCIAL" localSheetId="17">'Coastal States'!$B$13:$F$13</definedName>
    <definedName name="DE_FINANCIAL" localSheetId="19">'Colorado Health'!$B$13:$F$13</definedName>
    <definedName name="DE_FINANCIAL" localSheetId="20">'Compass (dbs Meritus)'!$B$13:$F$13</definedName>
    <definedName name="DE_FINANCIAL" localSheetId="21">'Confed Life &amp; Annty (CLIAC)'!$B$13:$F$13</definedName>
    <definedName name="DE_FINANCIAL" localSheetId="22">'Confed Life (CLIC)'!$B$13:$F$13</definedName>
    <definedName name="DE_FINANCIAL" localSheetId="23">'Consolidated National'!$B$13:$F$13</definedName>
    <definedName name="DE_FINANCIAL" localSheetId="24">'Consumers Choice'!$B$13:$F$13</definedName>
    <definedName name="DE_FINANCIAL" localSheetId="25">'Consumers Mutual'!$B$13:$F$13</definedName>
    <definedName name="DE_FINANCIAL" localSheetId="26">'Consumers United'!$B$13:$F$13</definedName>
    <definedName name="DE_FINANCIAL" localSheetId="27">CoOportunity!$B$13:$F$13</definedName>
    <definedName name="DE_FINANCIAL" localSheetId="28">'Coordinated Hlth'!$B$13:$F$13</definedName>
    <definedName name="DE_FINANCIAL" localSheetId="29">'Corporate Life'!$B$13:$F$13</definedName>
    <definedName name="DE_FINANCIAL" localSheetId="30">'Diamond Benefits'!$B$13:$F$13</definedName>
    <definedName name="DE_FINANCIAL" localSheetId="31">'EBL Life'!$B$13:$F$13</definedName>
    <definedName name="DE_FINANCIAL" localSheetId="33">ELNY!$B$13:$F$13</definedName>
    <definedName name="DE_FINANCIAL" localSheetId="32">'Executive Life'!$B$13:$F$13</definedName>
    <definedName name="DE_FINANCIAL" localSheetId="34">'Family Guaranty'!$B$13:$F$13</definedName>
    <definedName name="DE_FINANCIAL" localSheetId="35">'Farmers &amp; Ranchers'!$B$13:$F$13</definedName>
    <definedName name="DE_FINANCIAL" localSheetId="36">'Fidelity Bankers'!$B$13:$F$13</definedName>
    <definedName name="DE_FINANCIAL" localSheetId="37">'Fidelity Mutual'!$B$13:$F$13</definedName>
    <definedName name="DE_FINANCIAL" localSheetId="38">'First Capital'!$B$13:$F$13</definedName>
    <definedName name="DE_FINANCIAL" localSheetId="39">'First Natl'!$B$13:$F$13</definedName>
    <definedName name="DE_FINANCIAL" localSheetId="40">'First Natl (Thrnr)'!$B$13:$F$13</definedName>
    <definedName name="DE_FINANCIAL" localSheetId="41">'Franklin American'!$B$13:$F$13</definedName>
    <definedName name="DE_FINANCIAL" localSheetId="42">'Franklin Protective'!$B$13:$F$13</definedName>
    <definedName name="DE_FINANCIAL" localSheetId="43">'Freelancers CO-OP'!$B$13:$F$13</definedName>
    <definedName name="DE_FINANCIAL" localSheetId="44">Freestone!$B$13:$F$13</definedName>
    <definedName name="DE_FINANCIAL" localSheetId="45">'George Washington'!$B$13:$F$13</definedName>
    <definedName name="DE_FINANCIAL" localSheetId="46">'Golden State'!$B$13:$F$13</definedName>
    <definedName name="DE_FINANCIAL" localSheetId="47">'Guarantee Security'!$B$13:$F$13</definedName>
    <definedName name="DE_FINANCIAL" localSheetId="48">HealthyCT!$B$13:$F$13</definedName>
    <definedName name="DE_FINANCIAL" localSheetId="49">Imerica!$B$13:$F$13</definedName>
    <definedName name="DE_FINANCIAL" localSheetId="50">'Inter-American'!$B$13:$F$13</definedName>
    <definedName name="DE_FINANCIAL" localSheetId="51">'International Fin'!$B$13:$F$13</definedName>
    <definedName name="DE_FINANCIAL" localSheetId="52">'Investment Life of America'!$B$13:$F$13</definedName>
    <definedName name="DE_FINANCIAL" localSheetId="53">'Investors Equity'!$B$13:$F$13</definedName>
    <definedName name="DE_FINANCIAL" localSheetId="54">'Kentucky Central'!$B$13:$F$13</definedName>
    <definedName name="DE_FINANCIAL" localSheetId="55">'Land of Lincoln'!$B$13:$F$13</definedName>
    <definedName name="DE_FINANCIAL" localSheetId="56">Legion!$B$13:$F$13</definedName>
    <definedName name="DE_FINANCIAL" localSheetId="57">'Life Health America'!$B$13:$F$13</definedName>
    <definedName name="DE_FINANCIAL" localSheetId="58">'Lincoln Memorial'!$B$13:$F$13</definedName>
    <definedName name="DE_FINANCIAL" localSheetId="59">'London Pac'!$B$13:$F$13</definedName>
    <definedName name="DE_FINANCIAL" localSheetId="60">Lumbermens!$B$13:$F$13</definedName>
    <definedName name="DE_FINANCIAL" localSheetId="61">'Medical Savings'!$B$13:$F$13</definedName>
    <definedName name="DE_FINANCIAL" localSheetId="62">'Memorial Service'!$B$13:$F$13</definedName>
    <definedName name="DE_FINANCIAL" localSheetId="63">Midcontinent!$B$13:$F$13</definedName>
    <definedName name="DE_FINANCIAL" localSheetId="64">'Midwest Life'!$B$13:$F$13</definedName>
    <definedName name="DE_FINANCIAL" localSheetId="65">'Monarch Life'!$B$13:$F$13</definedName>
    <definedName name="DE_FINANCIAL" localSheetId="66">'Mutual Benefit'!$B$13:$F$13</definedName>
    <definedName name="DE_FINANCIAL" localSheetId="67">'Mutual Security'!$B$13:$F$13</definedName>
    <definedName name="DE_FINANCIAL" localSheetId="68">'National Affiliated'!$B$13:$F$13</definedName>
    <definedName name="DE_FINANCIAL" localSheetId="70">'National Heritage'!$B$13:$F$13</definedName>
    <definedName name="DE_FINANCIAL" localSheetId="71">'National States'!$B$13:$F$13</definedName>
    <definedName name="DE_FINANCIAL" localSheetId="69">'Natl American'!$B$13:$F$13</definedName>
    <definedName name="DE_FINANCIAL" localSheetId="72">'New Jersey Life'!$B$13:$F$13</definedName>
    <definedName name="DE_FINANCIAL" localSheetId="74">NNIC!$B$13:$F$13</definedName>
    <definedName name="DE_FINANCIAL" localSheetId="73">'North Carolina Mutual'!$B$13:$F$13</definedName>
    <definedName name="DE_FINANCIAL" localSheetId="75">'Old Colony Life'!$B$13:$F$13</definedName>
    <definedName name="DE_FINANCIAL" localSheetId="76">'Old Faithful'!$B$13:$F$13</definedName>
    <definedName name="DE_FINANCIAL" localSheetId="77">'Pacific Standard'!$B$13:$F$13</definedName>
    <definedName name="DE_FINANCIAL" localSheetId="78">'Pavonia Life'!$B$13:$F$13</definedName>
    <definedName name="DE_FINANCIAL" localSheetId="79">'Pen  Treaty'!$B$13:$F$13</definedName>
    <definedName name="DE_FINANCIAL" localSheetId="80">'Red Rock'!$B$13:$F$13</definedName>
    <definedName name="DE_FINANCIAL" localSheetId="81">Reliance!$B$13:$F$13</definedName>
    <definedName name="DE_FINANCIAL" localSheetId="82">SeeChange!$B$13:$F$13</definedName>
    <definedName name="DE_FINANCIAL" localSheetId="83">'Senior American'!$B$13:$F$13</definedName>
    <definedName name="DE_FINANCIAL" localSheetId="84">Settlers!$B$13:$F$13</definedName>
    <definedName name="DE_FINANCIAL" localSheetId="85">Shenandoah!$B$13:$F$13</definedName>
    <definedName name="DE_FINANCIAL" localSheetId="86">'Southland National Life'!$B$13:$F$13</definedName>
    <definedName name="DE_FINANCIAL" localSheetId="87">'Standard Life IN'!$B$13:$F$13</definedName>
    <definedName name="DE_FINANCIAL" localSheetId="88">'States General'!$B$13:$F$13</definedName>
    <definedName name="DE_FINANCIAL" localSheetId="89">Statesman!$B$13:$F$13</definedName>
    <definedName name="DE_FINANCIAL" localSheetId="90">'Summit National'!$B$13:$F$13</definedName>
    <definedName name="DE_FINANCIAL" localSheetId="91">Supreme!$B$13:$F$13</definedName>
    <definedName name="DE_FINANCIAL" localSheetId="92">Time!$B$13:$F$13</definedName>
    <definedName name="DE_FINANCIAL" localSheetId="106">'Total Summary'!$B$13:$F$13</definedName>
    <definedName name="DE_FINANCIAL" localSheetId="93">Underwriters!$B$13:$F$13</definedName>
    <definedName name="DE_FINANCIAL" localSheetId="94">Unison!$B$13:$F$13</definedName>
    <definedName name="DE_FINANCIAL" localSheetId="95">'United Republic'!$B$13:$F$13</definedName>
    <definedName name="DE_FINANCIAL" localSheetId="96">'Universal Health Care'!$B$13:$F$13</definedName>
    <definedName name="DE_FINANCIAL" localSheetId="97">'Universal Life'!$B$13:$F$13</definedName>
    <definedName name="DE_FINANCIAL" localSheetId="98">Universe!$B$13:$F$13</definedName>
    <definedName name="DE_FINANCIAL" localSheetId="99">Villanova!$B$13:$F$13</definedName>
    <definedName name="EC_ALLOC_CALLED" localSheetId="100">Summary!$U$52:$U$113</definedName>
    <definedName name="EC_ALLOC_REFUNDED" localSheetId="100">Summary!$V$52:$V$113</definedName>
    <definedName name="EC_ALLOCATED" localSheetId="100">Summary!$I$52:$I$113</definedName>
    <definedName name="EC_CHANGE" localSheetId="100">Summary!$O$52:$O$113</definedName>
    <definedName name="EC_HEALTH" localSheetId="100">Summary!$J$52:$J$113</definedName>
    <definedName name="EC_HEALTH_CALLED" localSheetId="100">Summary!$X$52:$X$113</definedName>
    <definedName name="EC_HEALTH_REFUNDED" localSheetId="100">Summary!$Y$52:$Y$113</definedName>
    <definedName name="EC_LIFE" localSheetId="100">Summary!$H$52:$H$113</definedName>
    <definedName name="EC_LIFE_CALLED" localSheetId="100">Summary!$R$52:$R$113</definedName>
    <definedName name="EC_LIFE_REFUNDED" localSheetId="100">Summary!$S$52:$S$113</definedName>
    <definedName name="EC_LTC" localSheetId="100">Summary!$L$52:$L$113</definedName>
    <definedName name="EC_RECON" localSheetId="100">Summary!#REF!</definedName>
    <definedName name="EC_TOTAL" localSheetId="100">Summary!$M$52:$M$113</definedName>
    <definedName name="EC_TOTAL_PREV" localSheetId="100">Summary!$N$52:$N$113</definedName>
    <definedName name="EC_UNALLOC_CALLED" localSheetId="100">Summary!$AA$52:$AA$113</definedName>
    <definedName name="EC_UNALLOC_REFUNDED" localSheetId="100">Summary!$AB$52:$AB$113</definedName>
    <definedName name="EC_UNALLOCATED" localSheetId="100">Summary!$K$52:$K$113</definedName>
    <definedName name="FL_FINANCIAL" localSheetId="0">'Alabama Life'!$B$15:$F$15</definedName>
    <definedName name="FL_FINANCIAL" localSheetId="5">'Amer Life Asr'!$B$15:$F$15</definedName>
    <definedName name="FL_FINANCIAL" localSheetId="8">'Amer Std Life Acc'!$B$15:$F$15</definedName>
    <definedName name="FL_FINANCIAL" localSheetId="1">'American Chambers'!$B$15:$F$15</definedName>
    <definedName name="FL_FINANCIAL" localSheetId="2">'American Community'!$B$15:$F$15</definedName>
    <definedName name="FL_FINANCIAL" localSheetId="3">'American Educators'!$B$15:$F$15</definedName>
    <definedName name="FL_FINANCIAL" localSheetId="4">'American Integrity'!$B$15:$F$15</definedName>
    <definedName name="FL_FINANCIAL" localSheetId="6">'American Medical'!$B$15:$F$15</definedName>
    <definedName name="FL_FINANCIAL" localSheetId="7">'American Network'!$B$15:$F$15</definedName>
    <definedName name="FL_FINANCIAL" localSheetId="9">AmerWstrn!$B$15:$F$15</definedName>
    <definedName name="FL_FINANCIAL" localSheetId="10">'AMS Life'!$B$15:$F$15</definedName>
    <definedName name="FL_FINANCIAL" localSheetId="11">'Andrew Jackson'!$B$15:$F$15</definedName>
    <definedName name="FL_FINANCIAL" localSheetId="12">'Bankers Commercial'!$B$15:$F$15</definedName>
    <definedName name="FL_FINANCIAL" localSheetId="13">'Bankers Life'!$B$15:$F$15</definedName>
    <definedName name="FL_FINANCIAL" localSheetId="14">Benicorp!$B$15:$F$15</definedName>
    <definedName name="FL_FINANCIAL" localSheetId="15">'Booker T Washington'!$B$15:$F$15</definedName>
    <definedName name="FL_FINANCIAL" localSheetId="16">Centennial!$B$15:$F$15</definedName>
    <definedName name="FL_FINANCIAL" localSheetId="18">'CO Bankers'!$B$15:$F$15</definedName>
    <definedName name="FL_FINANCIAL" localSheetId="17">'Coastal States'!$B$15:$F$15</definedName>
    <definedName name="FL_FINANCIAL" localSheetId="19">'Colorado Health'!$B$15:$F$15</definedName>
    <definedName name="FL_FINANCIAL" localSheetId="20">'Compass (dbs Meritus)'!$B$15:$F$15</definedName>
    <definedName name="FL_FINANCIAL" localSheetId="21">'Confed Life &amp; Annty (CLIAC)'!$B$15:$F$15</definedName>
    <definedName name="FL_FINANCIAL" localSheetId="22">'Confed Life (CLIC)'!$B$15:$F$15</definedName>
    <definedName name="FL_FINANCIAL" localSheetId="23">'Consolidated National'!$B$15:$F$15</definedName>
    <definedName name="FL_FINANCIAL" localSheetId="24">'Consumers Choice'!$B$15:$F$15</definedName>
    <definedName name="FL_FINANCIAL" localSheetId="25">'Consumers Mutual'!$B$15:$F$15</definedName>
    <definedName name="FL_FINANCIAL" localSheetId="26">'Consumers United'!$B$15:$F$15</definedName>
    <definedName name="FL_FINANCIAL" localSheetId="27">CoOportunity!$B$15:$F$15</definedName>
    <definedName name="FL_FINANCIAL" localSheetId="28">'Coordinated Hlth'!$B$15:$F$15</definedName>
    <definedName name="FL_FINANCIAL" localSheetId="29">'Corporate Life'!$B$15:$F$15</definedName>
    <definedName name="FL_FINANCIAL" localSheetId="30">'Diamond Benefits'!$B$15:$F$15</definedName>
    <definedName name="FL_FINANCIAL" localSheetId="31">'EBL Life'!$B$15:$F$15</definedName>
    <definedName name="FL_FINANCIAL" localSheetId="33">ELNY!$B$15:$F$15</definedName>
    <definedName name="FL_FINANCIAL" localSheetId="32">'Executive Life'!$B$15:$F$15</definedName>
    <definedName name="FL_FINANCIAL" localSheetId="34">'Family Guaranty'!$B$15:$F$15</definedName>
    <definedName name="FL_FINANCIAL" localSheetId="35">'Farmers &amp; Ranchers'!$B$15:$F$15</definedName>
    <definedName name="FL_FINANCIAL" localSheetId="36">'Fidelity Bankers'!$B$15:$F$15</definedName>
    <definedName name="FL_FINANCIAL" localSheetId="37">'Fidelity Mutual'!$B$15:$F$15</definedName>
    <definedName name="FL_FINANCIAL" localSheetId="38">'First Capital'!$B$15:$F$15</definedName>
    <definedName name="FL_FINANCIAL" localSheetId="39">'First Natl'!$B$15:$F$15</definedName>
    <definedName name="FL_FINANCIAL" localSheetId="40">'First Natl (Thrnr)'!$B$15:$F$15</definedName>
    <definedName name="FL_FINANCIAL" localSheetId="41">'Franklin American'!$B$15:$F$15</definedName>
    <definedName name="FL_FINANCIAL" localSheetId="42">'Franklin Protective'!$B$15:$F$15</definedName>
    <definedName name="FL_FINANCIAL" localSheetId="43">'Freelancers CO-OP'!$B$15:$F$15</definedName>
    <definedName name="FL_FINANCIAL" localSheetId="44">Freestone!$B$15:$F$15</definedName>
    <definedName name="FL_FINANCIAL" localSheetId="45">'George Washington'!$B$15:$F$15</definedName>
    <definedName name="FL_FINANCIAL" localSheetId="46">'Golden State'!$B$15:$F$15</definedName>
    <definedName name="FL_FINANCIAL" localSheetId="47">'Guarantee Security'!$B$15:$F$15</definedName>
    <definedName name="FL_FINANCIAL" localSheetId="48">HealthyCT!$B$15:$F$15</definedName>
    <definedName name="FL_FINANCIAL" localSheetId="49">Imerica!$B$15:$F$15</definedName>
    <definedName name="FL_FINANCIAL" localSheetId="50">'Inter-American'!$B$15:$F$15</definedName>
    <definedName name="FL_FINANCIAL" localSheetId="51">'International Fin'!$B$15:$F$15</definedName>
    <definedName name="FL_FINANCIAL" localSheetId="52">'Investment Life of America'!$B$15:$F$15</definedName>
    <definedName name="FL_FINANCIAL" localSheetId="53">'Investors Equity'!$B$15:$F$15</definedName>
    <definedName name="FL_FINANCIAL" localSheetId="54">'Kentucky Central'!$B$15:$F$15</definedName>
    <definedName name="FL_FINANCIAL" localSheetId="55">'Land of Lincoln'!$B$15:$F$15</definedName>
    <definedName name="FL_FINANCIAL" localSheetId="56">Legion!$B$15:$F$15</definedName>
    <definedName name="FL_FINANCIAL" localSheetId="57">'Life Health America'!$B$15:$F$15</definedName>
    <definedName name="FL_FINANCIAL" localSheetId="58">'Lincoln Memorial'!$B$15:$F$15</definedName>
    <definedName name="FL_FINANCIAL" localSheetId="59">'London Pac'!$B$15:$F$15</definedName>
    <definedName name="FL_FINANCIAL" localSheetId="60">Lumbermens!$B$15:$F$15</definedName>
    <definedName name="FL_FINANCIAL" localSheetId="61">'Medical Savings'!$B$15:$F$15</definedName>
    <definedName name="FL_FINANCIAL" localSheetId="62">'Memorial Service'!$B$15:$F$15</definedName>
    <definedName name="FL_FINANCIAL" localSheetId="63">Midcontinent!$B$15:$F$15</definedName>
    <definedName name="FL_FINANCIAL" localSheetId="64">'Midwest Life'!$B$15:$F$15</definedName>
    <definedName name="FL_FINANCIAL" localSheetId="65">'Monarch Life'!$B$15:$F$15</definedName>
    <definedName name="FL_FINANCIAL" localSheetId="66">'Mutual Benefit'!$B$15:$F$15</definedName>
    <definedName name="FL_FINANCIAL" localSheetId="67">'Mutual Security'!$B$15:$F$15</definedName>
    <definedName name="FL_FINANCIAL" localSheetId="68">'National Affiliated'!$B$15:$F$15</definedName>
    <definedName name="FL_FINANCIAL" localSheetId="70">'National Heritage'!$B$15:$F$15</definedName>
    <definedName name="FL_FINANCIAL" localSheetId="71">'National States'!$B$15:$F$15</definedName>
    <definedName name="FL_FINANCIAL" localSheetId="69">'Natl American'!$B$15:$F$15</definedName>
    <definedName name="FL_FINANCIAL" localSheetId="72">'New Jersey Life'!$B$15:$F$15</definedName>
    <definedName name="FL_FINANCIAL" localSheetId="74">NNIC!$B$15:$F$15</definedName>
    <definedName name="FL_FINANCIAL" localSheetId="73">'North Carolina Mutual'!$B$15:$F$15</definedName>
    <definedName name="FL_FINANCIAL" localSheetId="75">'Old Colony Life'!$B$15:$F$15</definedName>
    <definedName name="FL_FINANCIAL" localSheetId="76">'Old Faithful'!$B$15:$F$15</definedName>
    <definedName name="FL_FINANCIAL" localSheetId="77">'Pacific Standard'!$B$15:$F$15</definedName>
    <definedName name="FL_FINANCIAL" localSheetId="78">'Pavonia Life'!$B$15:$F$15</definedName>
    <definedName name="FL_FINANCIAL" localSheetId="79">'Pen  Treaty'!$B$15:$F$15</definedName>
    <definedName name="FL_FINANCIAL" localSheetId="80">'Red Rock'!$B$15:$F$15</definedName>
    <definedName name="FL_FINANCIAL" localSheetId="81">Reliance!$B$15:$F$15</definedName>
    <definedName name="FL_FINANCIAL" localSheetId="82">SeeChange!$B$15:$F$15</definedName>
    <definedName name="FL_FINANCIAL" localSheetId="83">'Senior American'!$B$15:$F$15</definedName>
    <definedName name="FL_FINANCIAL" localSheetId="84">Settlers!$B$15:$F$15</definedName>
    <definedName name="FL_FINANCIAL" localSheetId="85">Shenandoah!$B$15:$F$15</definedName>
    <definedName name="FL_FINANCIAL" localSheetId="86">'Southland National Life'!$B$15:$F$15</definedName>
    <definedName name="FL_FINANCIAL" localSheetId="87">'Standard Life IN'!$B$15:$F$15</definedName>
    <definedName name="FL_FINANCIAL" localSheetId="88">'States General'!$B$15:$F$15</definedName>
    <definedName name="FL_FINANCIAL" localSheetId="89">Statesman!$B$15:$F$15</definedName>
    <definedName name="FL_FINANCIAL" localSheetId="90">'Summit National'!$B$15:$F$15</definedName>
    <definedName name="FL_FINANCIAL" localSheetId="91">Supreme!$B$15:$F$15</definedName>
    <definedName name="FL_FINANCIAL" localSheetId="92">Time!$B$15:$F$15</definedName>
    <definedName name="FL_FINANCIAL" localSheetId="106">'Total Summary'!$B$15:$F$15</definedName>
    <definedName name="FL_FINANCIAL" localSheetId="93">Underwriters!$B$15:$F$15</definedName>
    <definedName name="FL_FINANCIAL" localSheetId="94">Unison!$B$15:$F$15</definedName>
    <definedName name="FL_FINANCIAL" localSheetId="95">'United Republic'!$B$15:$F$15</definedName>
    <definedName name="FL_FINANCIAL" localSheetId="96">'Universal Health Care'!$B$15:$F$15</definedName>
    <definedName name="FL_FINANCIAL" localSheetId="97">'Universal Life'!$B$15:$F$15</definedName>
    <definedName name="FL_FINANCIAL" localSheetId="98">Universe!$B$15:$F$15</definedName>
    <definedName name="FL_FINANCIAL" localSheetId="99">Villanova!$B$15:$F$15</definedName>
    <definedName name="GA_FINANCIAL" localSheetId="0">'Alabama Life'!$B$16:$F$16</definedName>
    <definedName name="GA_FINANCIAL" localSheetId="5">'Amer Life Asr'!$B$16:$F$16</definedName>
    <definedName name="GA_FINANCIAL" localSheetId="8">'Amer Std Life Acc'!$B$16:$F$16</definedName>
    <definedName name="GA_FINANCIAL" localSheetId="1">'American Chambers'!$B$16:$F$16</definedName>
    <definedName name="GA_FINANCIAL" localSheetId="2">'American Community'!$B$16:$F$16</definedName>
    <definedName name="GA_FINANCIAL" localSheetId="3">'American Educators'!$B$16:$F$16</definedName>
    <definedName name="GA_FINANCIAL" localSheetId="4">'American Integrity'!$B$16:$F$16</definedName>
    <definedName name="GA_FINANCIAL" localSheetId="6">'American Medical'!$B$16:$F$16</definedName>
    <definedName name="GA_FINANCIAL" localSheetId="7">'American Network'!$B$16:$F$16</definedName>
    <definedName name="GA_FINANCIAL" localSheetId="9">AmerWstrn!$B$16:$F$16</definedName>
    <definedName name="GA_FINANCIAL" localSheetId="10">'AMS Life'!$B$16:$F$16</definedName>
    <definedName name="GA_FINANCIAL" localSheetId="11">'Andrew Jackson'!$B$16:$F$16</definedName>
    <definedName name="GA_FINANCIAL" localSheetId="12">'Bankers Commercial'!$B$16:$F$16</definedName>
    <definedName name="GA_FINANCIAL" localSheetId="13">'Bankers Life'!$B$16:$F$16</definedName>
    <definedName name="GA_FINANCIAL" localSheetId="14">Benicorp!$B$16:$F$16</definedName>
    <definedName name="GA_FINANCIAL" localSheetId="15">'Booker T Washington'!$B$16:$F$16</definedName>
    <definedName name="GA_FINANCIAL" localSheetId="16">Centennial!$B$16:$F$16</definedName>
    <definedName name="GA_FINANCIAL" localSheetId="18">'CO Bankers'!$B$16:$F$16</definedName>
    <definedName name="GA_FINANCIAL" localSheetId="17">'Coastal States'!$B$16:$F$16</definedName>
    <definedName name="GA_FINANCIAL" localSheetId="19">'Colorado Health'!$B$16:$F$16</definedName>
    <definedName name="GA_FINANCIAL" localSheetId="20">'Compass (dbs Meritus)'!$B$16:$F$16</definedName>
    <definedName name="GA_FINANCIAL" localSheetId="21">'Confed Life &amp; Annty (CLIAC)'!$B$16:$F$16</definedName>
    <definedName name="GA_FINANCIAL" localSheetId="22">'Confed Life (CLIC)'!$B$16:$F$16</definedName>
    <definedName name="GA_FINANCIAL" localSheetId="23">'Consolidated National'!$B$16:$F$16</definedName>
    <definedName name="GA_FINANCIAL" localSheetId="24">'Consumers Choice'!$B$16:$F$16</definedName>
    <definedName name="GA_FINANCIAL" localSheetId="25">'Consumers Mutual'!$B$16:$F$16</definedName>
    <definedName name="GA_FINANCIAL" localSheetId="26">'Consumers United'!$B$16:$F$16</definedName>
    <definedName name="GA_FINANCIAL" localSheetId="27">CoOportunity!$B$16:$F$16</definedName>
    <definedName name="GA_FINANCIAL" localSheetId="28">'Coordinated Hlth'!$B$16:$F$16</definedName>
    <definedName name="GA_FINANCIAL" localSheetId="29">'Corporate Life'!$B$16:$F$16</definedName>
    <definedName name="GA_FINANCIAL" localSheetId="30">'Diamond Benefits'!$B$16:$F$16</definedName>
    <definedName name="GA_FINANCIAL" localSheetId="31">'EBL Life'!$B$16:$F$16</definedName>
    <definedName name="GA_FINANCIAL" localSheetId="33">ELNY!$B$16:$F$16</definedName>
    <definedName name="GA_FINANCIAL" localSheetId="32">'Executive Life'!$B$16:$F$16</definedName>
    <definedName name="GA_FINANCIAL" localSheetId="34">'Family Guaranty'!$B$16:$F$16</definedName>
    <definedName name="GA_FINANCIAL" localSheetId="35">'Farmers &amp; Ranchers'!$B$16:$F$16</definedName>
    <definedName name="GA_FINANCIAL" localSheetId="36">'Fidelity Bankers'!$B$16:$F$16</definedName>
    <definedName name="GA_FINANCIAL" localSheetId="37">'Fidelity Mutual'!$B$16:$F$16</definedName>
    <definedName name="GA_FINANCIAL" localSheetId="38">'First Capital'!$B$16:$F$16</definedName>
    <definedName name="GA_FINANCIAL" localSheetId="39">'First Natl'!$B$16:$F$16</definedName>
    <definedName name="GA_FINANCIAL" localSheetId="40">'First Natl (Thrnr)'!$B$16:$F$16</definedName>
    <definedName name="GA_FINANCIAL" localSheetId="41">'Franklin American'!$B$16:$F$16</definedName>
    <definedName name="GA_FINANCIAL" localSheetId="42">'Franklin Protective'!$B$16:$F$16</definedName>
    <definedName name="GA_FINANCIAL" localSheetId="43">'Freelancers CO-OP'!$B$16:$F$16</definedName>
    <definedName name="GA_FINANCIAL" localSheetId="44">Freestone!$B$16:$F$16</definedName>
    <definedName name="GA_FINANCIAL" localSheetId="45">'George Washington'!$B$16:$F$16</definedName>
    <definedName name="GA_FINANCIAL" localSheetId="46">'Golden State'!$B$16:$F$16</definedName>
    <definedName name="GA_FINANCIAL" localSheetId="47">'Guarantee Security'!$B$16:$F$16</definedName>
    <definedName name="GA_FINANCIAL" localSheetId="48">HealthyCT!$B$16:$F$16</definedName>
    <definedName name="GA_FINANCIAL" localSheetId="49">Imerica!$B$16:$F$16</definedName>
    <definedName name="GA_FINANCIAL" localSheetId="50">'Inter-American'!$B$16:$F$16</definedName>
    <definedName name="GA_FINANCIAL" localSheetId="51">'International Fin'!$B$16:$F$16</definedName>
    <definedName name="GA_FINANCIAL" localSheetId="52">'Investment Life of America'!$B$16:$F$16</definedName>
    <definedName name="GA_FINANCIAL" localSheetId="53">'Investors Equity'!$B$16:$F$16</definedName>
    <definedName name="GA_FINANCIAL" localSheetId="54">'Kentucky Central'!$B$16:$F$16</definedName>
    <definedName name="GA_FINANCIAL" localSheetId="55">'Land of Lincoln'!$B$16:$F$16</definedName>
    <definedName name="GA_FINANCIAL" localSheetId="56">Legion!$B$16:$F$16</definedName>
    <definedName name="GA_FINANCIAL" localSheetId="57">'Life Health America'!$B$16:$F$16</definedName>
    <definedName name="GA_FINANCIAL" localSheetId="58">'Lincoln Memorial'!$B$16:$F$16</definedName>
    <definedName name="GA_FINANCIAL" localSheetId="59">'London Pac'!$B$16:$F$16</definedName>
    <definedName name="GA_FINANCIAL" localSheetId="60">Lumbermens!$B$16:$F$16</definedName>
    <definedName name="GA_FINANCIAL" localSheetId="61">'Medical Savings'!$B$16:$F$16</definedName>
    <definedName name="GA_FINANCIAL" localSheetId="62">'Memorial Service'!$B$16:$F$16</definedName>
    <definedName name="GA_FINANCIAL" localSheetId="63">Midcontinent!$B$16:$F$16</definedName>
    <definedName name="GA_FINANCIAL" localSheetId="64">'Midwest Life'!$B$16:$F$16</definedName>
    <definedName name="GA_FINANCIAL" localSheetId="65">'Monarch Life'!$B$16:$F$16</definedName>
    <definedName name="GA_FINANCIAL" localSheetId="66">'Mutual Benefit'!$B$16:$F$16</definedName>
    <definedName name="GA_FINANCIAL" localSheetId="67">'Mutual Security'!$B$16:$F$16</definedName>
    <definedName name="GA_FINANCIAL" localSheetId="68">'National Affiliated'!$B$16:$F$16</definedName>
    <definedName name="GA_FINANCIAL" localSheetId="70">'National Heritage'!$B$16:$F$16</definedName>
    <definedName name="GA_FINANCIAL" localSheetId="71">'National States'!$B$16:$F$16</definedName>
    <definedName name="GA_FINANCIAL" localSheetId="69">'Natl American'!$B$16:$F$16</definedName>
    <definedName name="GA_FINANCIAL" localSheetId="72">'New Jersey Life'!$B$16:$F$16</definedName>
    <definedName name="GA_FINANCIAL" localSheetId="74">NNIC!$B$16:$F$16</definedName>
    <definedName name="GA_FINANCIAL" localSheetId="73">'North Carolina Mutual'!$B$16:$F$16</definedName>
    <definedName name="GA_FINANCIAL" localSheetId="75">'Old Colony Life'!$B$16:$F$16</definedName>
    <definedName name="GA_FINANCIAL" localSheetId="76">'Old Faithful'!$B$16:$F$16</definedName>
    <definedName name="GA_FINANCIAL" localSheetId="77">'Pacific Standard'!$B$16:$F$16</definedName>
    <definedName name="GA_FINANCIAL" localSheetId="78">'Pavonia Life'!$B$16:$F$16</definedName>
    <definedName name="GA_FINANCIAL" localSheetId="79">'Pen  Treaty'!$B$16:$F$16</definedName>
    <definedName name="GA_FINANCIAL" localSheetId="80">'Red Rock'!$B$16:$F$16</definedName>
    <definedName name="GA_FINANCIAL" localSheetId="81">Reliance!$B$16:$F$16</definedName>
    <definedName name="GA_FINANCIAL" localSheetId="82">SeeChange!$B$16:$F$16</definedName>
    <definedName name="GA_FINANCIAL" localSheetId="83">'Senior American'!$B$16:$F$16</definedName>
    <definedName name="GA_FINANCIAL" localSheetId="84">Settlers!$B$16:$F$16</definedName>
    <definedName name="GA_FINANCIAL" localSheetId="85">Shenandoah!$B$16:$F$16</definedName>
    <definedName name="GA_FINANCIAL" localSheetId="86">'Southland National Life'!$B$16:$F$16</definedName>
    <definedName name="GA_FINANCIAL" localSheetId="87">'Standard Life IN'!$B$16:$F$16</definedName>
    <definedName name="GA_FINANCIAL" localSheetId="88">'States General'!$B$16:$F$16</definedName>
    <definedName name="GA_FINANCIAL" localSheetId="89">Statesman!$B$16:$F$16</definedName>
    <definedName name="GA_FINANCIAL" localSheetId="90">'Summit National'!$B$16:$F$16</definedName>
    <definedName name="GA_FINANCIAL" localSheetId="91">Supreme!$B$16:$F$16</definedName>
    <definedName name="GA_FINANCIAL" localSheetId="92">Time!$B$16:$F$16</definedName>
    <definedName name="GA_FINANCIAL" localSheetId="106">'Total Summary'!$B$16:$F$16</definedName>
    <definedName name="GA_FINANCIAL" localSheetId="93">Underwriters!$B$16:$F$16</definedName>
    <definedName name="GA_FINANCIAL" localSheetId="94">Unison!$B$16:$F$16</definedName>
    <definedName name="GA_FINANCIAL" localSheetId="95">'United Republic'!$B$16:$F$16</definedName>
    <definedName name="GA_FINANCIAL" localSheetId="96">'Universal Health Care'!$B$16:$F$16</definedName>
    <definedName name="GA_FINANCIAL" localSheetId="97">'Universal Life'!$B$16:$F$16</definedName>
    <definedName name="GA_FINANCIAL" localSheetId="98">Universe!$B$16:$F$16</definedName>
    <definedName name="GA_FINANCIAL" localSheetId="99">Villanova!$B$16:$F$16</definedName>
    <definedName name="HEALTH" localSheetId="0">'Alabama Life'!$D$6:$D$59</definedName>
    <definedName name="HEALTH" localSheetId="5">'Amer Life Asr'!$D$6:$D$59</definedName>
    <definedName name="HEALTH" localSheetId="8">'Amer Std Life Acc'!$D$6:$D$59</definedName>
    <definedName name="HEALTH" localSheetId="1">'American Chambers'!$D$6:$D$59</definedName>
    <definedName name="HEALTH" localSheetId="2">'American Community'!$D$6:$D$59</definedName>
    <definedName name="HEALTH" localSheetId="3">'American Educators'!$D$6:$D$59</definedName>
    <definedName name="HEALTH" localSheetId="4">'American Integrity'!$D$6:$D$59</definedName>
    <definedName name="HEALTH" localSheetId="6">'American Medical'!$D$6:$D$59</definedName>
    <definedName name="HEALTH" localSheetId="7">'American Network'!$D$6:$D$59</definedName>
    <definedName name="HEALTH" localSheetId="9">AmerWstrn!$D$6:$D$59</definedName>
    <definedName name="HEALTH" localSheetId="10">'AMS Life'!$D$6:$D$59</definedName>
    <definedName name="HEALTH" localSheetId="11">'Andrew Jackson'!$D$6:$D$59</definedName>
    <definedName name="HEALTH" localSheetId="12">'Bankers Commercial'!$D$6:$D$59</definedName>
    <definedName name="HEALTH" localSheetId="13">'Bankers Life'!$D$6:$D$59</definedName>
    <definedName name="HEALTH" localSheetId="14">Benicorp!$D$6:$D$59</definedName>
    <definedName name="HEALTH" localSheetId="15">'Booker T Washington'!$D$6:$D$59</definedName>
    <definedName name="HEALTH" localSheetId="16">Centennial!$D$6:$D$59</definedName>
    <definedName name="HEALTH" localSheetId="103">'Closed Summary'!$D$6:$D$58</definedName>
    <definedName name="HEALTH" localSheetId="18">'CO Bankers'!$D$6:$D$59</definedName>
    <definedName name="HEALTH" localSheetId="17">'Coastal States'!$D$6:$D$59</definedName>
    <definedName name="HEALTH" localSheetId="19">'Colorado Health'!$D$6:$D$59</definedName>
    <definedName name="HEALTH" localSheetId="20">'Compass (dbs Meritus)'!$D$6:$D$59</definedName>
    <definedName name="HEALTH" localSheetId="21">'Confed Life &amp; Annty (CLIAC)'!$D$6:$D$59</definedName>
    <definedName name="HEALTH" localSheetId="22">'Confed Life (CLIC)'!$D$6:$D$59</definedName>
    <definedName name="HEALTH" localSheetId="23">'Consolidated National'!$D$6:$D$59</definedName>
    <definedName name="HEALTH" localSheetId="24">'Consumers Choice'!$D$6:$D$59</definedName>
    <definedName name="HEALTH" localSheetId="25">'Consumers Mutual'!$D$6:$D$59</definedName>
    <definedName name="HEALTH" localSheetId="26">'Consumers United'!$D$6:$D$59</definedName>
    <definedName name="HEALTH" localSheetId="27">CoOportunity!$D$6:$D$59</definedName>
    <definedName name="HEALTH" localSheetId="28">'Coordinated Hlth'!$D$6:$D$59</definedName>
    <definedName name="HEALTH" localSheetId="29">'Corporate Life'!$D$6:$D$59</definedName>
    <definedName name="HEALTH" localSheetId="30">'Diamond Benefits'!$D$6:$D$59</definedName>
    <definedName name="HEALTH" localSheetId="31">'EBL Life'!$D$6:$D$59</definedName>
    <definedName name="HEALTH" localSheetId="33">ELNY!$D$6:$D$59</definedName>
    <definedName name="HEALTH" localSheetId="104">'Estate Closed Summary'!$D$6:$D$58</definedName>
    <definedName name="HEALTH" localSheetId="32">'Executive Life'!$D$6:$D$59</definedName>
    <definedName name="HEALTH" localSheetId="34">'Family Guaranty'!$D$6:$D$59</definedName>
    <definedName name="HEALTH" localSheetId="35">'Farmers &amp; Ranchers'!$D$6:$D$59</definedName>
    <definedName name="HEALTH" localSheetId="36">'Fidelity Bankers'!$D$6:$D$59</definedName>
    <definedName name="HEALTH" localSheetId="37">'Fidelity Mutual'!$D$6:$D$59</definedName>
    <definedName name="HEALTH" localSheetId="38">'First Capital'!$D$6:$D$59</definedName>
    <definedName name="HEALTH" localSheetId="39">'First Natl'!$D$6:$D$59</definedName>
    <definedName name="HEALTH" localSheetId="40">'First Natl (Thrnr)'!$D$6:$D$59</definedName>
    <definedName name="HEALTH" localSheetId="41">'Franklin American'!$D$6:$D$59</definedName>
    <definedName name="HEALTH" localSheetId="42">'Franklin Protective'!$D$6:$D$59</definedName>
    <definedName name="HEALTH" localSheetId="43">'Freelancers CO-OP'!$D$6:$D$59</definedName>
    <definedName name="HEALTH" localSheetId="44">Freestone!$D$6:$D$59</definedName>
    <definedName name="HEALTH" localSheetId="45">'George Washington'!$D$6:$D$59</definedName>
    <definedName name="HEALTH" localSheetId="46">'Golden State'!$D$6:$D$59</definedName>
    <definedName name="HEALTH" localSheetId="47">'Guarantee Security'!$D$6:$D$59</definedName>
    <definedName name="HEALTH" localSheetId="48">HealthyCT!$D$6:$D$59</definedName>
    <definedName name="HEALTH" localSheetId="49">Imerica!$D$6:$D$59</definedName>
    <definedName name="HEALTH" localSheetId="50">'Inter-American'!$D$6:$D$59</definedName>
    <definedName name="HEALTH" localSheetId="51">'International Fin'!$D$6:$D$59</definedName>
    <definedName name="HEALTH" localSheetId="52">'Investment Life of America'!$D$6:$D$59</definedName>
    <definedName name="HEALTH" localSheetId="53">'Investors Equity'!$D$6:$D$59</definedName>
    <definedName name="HEALTH" localSheetId="54">'Kentucky Central'!$D$6:$D$59</definedName>
    <definedName name="HEALTH" localSheetId="55">'Land of Lincoln'!$D$6:$D$59</definedName>
    <definedName name="HEALTH" localSheetId="56">Legion!$D$6:$D$59</definedName>
    <definedName name="HEALTH" localSheetId="57">'Life Health America'!$D$6:$D$59</definedName>
    <definedName name="HEALTH" localSheetId="58">'Lincoln Memorial'!$D$6:$D$59</definedName>
    <definedName name="HEALTH" localSheetId="59">'London Pac'!$D$6:$D$59</definedName>
    <definedName name="HEALTH" localSheetId="60">Lumbermens!$D$6:$D$59</definedName>
    <definedName name="HEALTH" localSheetId="61">'Medical Savings'!$D$6:$D$59</definedName>
    <definedName name="HEALTH" localSheetId="62">'Memorial Service'!$D$6:$D$59</definedName>
    <definedName name="HEALTH" localSheetId="63">Midcontinent!$D$6:$D$59</definedName>
    <definedName name="HEALTH" localSheetId="64">'Midwest Life'!$D$6:$D$59</definedName>
    <definedName name="HEALTH" localSheetId="65">'Monarch Life'!$D$6:$D$59</definedName>
    <definedName name="HEALTH" localSheetId="66">'Mutual Benefit'!$D$6:$D$59</definedName>
    <definedName name="HEALTH" localSheetId="67">'Mutual Security'!$D$6:$D$59</definedName>
    <definedName name="HEALTH" localSheetId="68">'National Affiliated'!$D$6:$D$59</definedName>
    <definedName name="HEALTH" localSheetId="70">'National Heritage'!$D$6:$D$59</definedName>
    <definedName name="HEALTH" localSheetId="71">'National States'!$D$6:$D$59</definedName>
    <definedName name="HEALTH" localSheetId="69">'Natl American'!$D$6:$D$59</definedName>
    <definedName name="HEALTH" localSheetId="72">'New Jersey Life'!$D$6:$D$59</definedName>
    <definedName name="HEALTH" localSheetId="74">NNIC!$D$6:$D$59</definedName>
    <definedName name="HEALTH" localSheetId="73">'North Carolina Mutual'!$D$6:$D$59</definedName>
    <definedName name="HEALTH" localSheetId="75">'Old Colony Life'!$D$6:$D$59</definedName>
    <definedName name="HEALTH" localSheetId="76">'Old Faithful'!$D$6:$D$59</definedName>
    <definedName name="HEALTH" localSheetId="102">'Open Summary'!$D$6:$D$58</definedName>
    <definedName name="HEALTH" localSheetId="77">'Pacific Standard'!$D$6:$D$59</definedName>
    <definedName name="HEALTH" localSheetId="78">'Pavonia Life'!$D$6:$D$59</definedName>
    <definedName name="HEALTH" localSheetId="79">'Pen  Treaty'!$D$6:$D$59</definedName>
    <definedName name="HEALTH" localSheetId="101">'Pre-Liquidation Summary'!$D$6:$D$58</definedName>
    <definedName name="HEALTH" localSheetId="80">'Red Rock'!$D$6:$D$59</definedName>
    <definedName name="HEALTH" localSheetId="105">'Released from Oversight Summary'!$D$6:$D$58</definedName>
    <definedName name="HEALTH" localSheetId="81">Reliance!$D$6:$D$59</definedName>
    <definedName name="HEALTH" localSheetId="82">SeeChange!$D$6:$D$59</definedName>
    <definedName name="HEALTH" localSheetId="83">'Senior American'!$D$6:$D$59</definedName>
    <definedName name="HEALTH" localSheetId="84">Settlers!$D$6:$D$59</definedName>
    <definedName name="HEALTH" localSheetId="85">Shenandoah!$D$6:$D$59</definedName>
    <definedName name="HEALTH" localSheetId="86">'Southland National Life'!$D$6:$D$59</definedName>
    <definedName name="HEALTH" localSheetId="87">'Standard Life IN'!$D$6:$D$59</definedName>
    <definedName name="HEALTH" localSheetId="88">'States General'!$D$6:$D$59</definedName>
    <definedName name="HEALTH" localSheetId="89">Statesman!$D$6:$D$59</definedName>
    <definedName name="HEALTH" localSheetId="90">'Summit National'!$D$6:$D$59</definedName>
    <definedName name="HEALTH" localSheetId="91">Supreme!$D$6:$D$59</definedName>
    <definedName name="HEALTH" localSheetId="92">Time!$D$6:$D$59</definedName>
    <definedName name="HEALTH" localSheetId="106">'Total Summary'!$D$6:$D$59</definedName>
    <definedName name="HEALTH" localSheetId="93">Underwriters!$D$6:$D$59</definedName>
    <definedName name="HEALTH" localSheetId="94">Unison!$D$6:$D$59</definedName>
    <definedName name="HEALTH" localSheetId="95">'United Republic'!$D$6:$D$59</definedName>
    <definedName name="HEALTH" localSheetId="96">'Universal Health Care'!$D$6:$D$59</definedName>
    <definedName name="HEALTH" localSheetId="97">'Universal Life'!$D$6:$D$59</definedName>
    <definedName name="HEALTH" localSheetId="98">Universe!$D$6:$D$59</definedName>
    <definedName name="HEALTH" localSheetId="99">Villanova!$D$6:$D$59</definedName>
    <definedName name="HEALTH_CALLED" localSheetId="0">'Alabama Life'!$R$6:$R$58</definedName>
    <definedName name="HEALTH_CALLED" localSheetId="5">'Amer Life Asr'!$R$6:$R$58</definedName>
    <definedName name="HEALTH_CALLED" localSheetId="8">'Amer Std Life Acc'!$R$6:$R$58</definedName>
    <definedName name="HEALTH_CALLED" localSheetId="1">'American Chambers'!$R$6:$R$58</definedName>
    <definedName name="HEALTH_CALLED" localSheetId="2">'American Community'!$R$6:$R$58</definedName>
    <definedName name="HEALTH_CALLED" localSheetId="3">'American Educators'!$R$6:$R$58</definedName>
    <definedName name="HEALTH_CALLED" localSheetId="4">'American Integrity'!$R$6:$R$58</definedName>
    <definedName name="HEALTH_CALLED" localSheetId="6">'American Medical'!$R$6:$R$58</definedName>
    <definedName name="HEALTH_CALLED" localSheetId="7">'American Network'!$R$6:$R$58</definedName>
    <definedName name="HEALTH_CALLED" localSheetId="9">AmerWstrn!$R$6:$R$58</definedName>
    <definedName name="HEALTH_CALLED" localSheetId="10">'AMS Life'!$R$6:$R$58</definedName>
    <definedName name="HEALTH_CALLED" localSheetId="11">'Andrew Jackson'!$R$6:$R$58</definedName>
    <definedName name="HEALTH_CALLED" localSheetId="12">'Bankers Commercial'!$R$6:$R$58</definedName>
    <definedName name="HEALTH_CALLED" localSheetId="13">'Bankers Life'!$R$6:$R$58</definedName>
    <definedName name="HEALTH_CALLED" localSheetId="14">Benicorp!$R$6:$R$58</definedName>
    <definedName name="HEALTH_CALLED" localSheetId="15">'Booker T Washington'!$R$6:$R$58</definedName>
    <definedName name="HEALTH_CALLED" localSheetId="16">Centennial!$R$6:$R$58</definedName>
    <definedName name="HEALTH_CALLED" localSheetId="18">'CO Bankers'!$R$6:$R$58</definedName>
    <definedName name="HEALTH_CALLED" localSheetId="17">'Coastal States'!$R$6:$R$58</definedName>
    <definedName name="HEALTH_CALLED" localSheetId="19">'Colorado Health'!$R$6:$R$58</definedName>
    <definedName name="HEALTH_CALLED" localSheetId="20">'Compass (dbs Meritus)'!$R$6:$R$58</definedName>
    <definedName name="HEALTH_CALLED" localSheetId="21">'Confed Life &amp; Annty (CLIAC)'!$R$6:$R$58</definedName>
    <definedName name="HEALTH_CALLED" localSheetId="22">'Confed Life (CLIC)'!$R$6:$R$58</definedName>
    <definedName name="HEALTH_CALLED" localSheetId="23">'Consolidated National'!$R$6:$R$58</definedName>
    <definedName name="HEALTH_CALLED" localSheetId="24">'Consumers Choice'!$R$6:$R$58</definedName>
    <definedName name="HEALTH_CALLED" localSheetId="25">'Consumers Mutual'!$R$6:$R$58</definedName>
    <definedName name="HEALTH_CALLED" localSheetId="26">'Consumers United'!$R$6:$R$58</definedName>
    <definedName name="HEALTH_CALLED" localSheetId="27">CoOportunity!$R$6:$R$58</definedName>
    <definedName name="HEALTH_CALLED" localSheetId="28">'Coordinated Hlth'!$R$6:$R$58</definedName>
    <definedName name="HEALTH_CALLED" localSheetId="29">'Corporate Life'!$R$6:$R$58</definedName>
    <definedName name="HEALTH_CALLED" localSheetId="30">'Diamond Benefits'!$R$6:$R$58</definedName>
    <definedName name="HEALTH_CALLED" localSheetId="31">'EBL Life'!$R$6:$R$58</definedName>
    <definedName name="HEALTH_CALLED" localSheetId="33">ELNY!$R$6:$R$58</definedName>
    <definedName name="HEALTH_CALLED" localSheetId="32">'Executive Life'!$R$6:$R$58</definedName>
    <definedName name="HEALTH_CALLED" localSheetId="34">'Family Guaranty'!$R$6:$R$58</definedName>
    <definedName name="HEALTH_CALLED" localSheetId="35">'Farmers &amp; Ranchers'!$R$6:$R$58</definedName>
    <definedName name="HEALTH_CALLED" localSheetId="36">'Fidelity Bankers'!$R$6:$R$58</definedName>
    <definedName name="HEALTH_CALLED" localSheetId="37">'Fidelity Mutual'!$R$6:$R$58</definedName>
    <definedName name="HEALTH_CALLED" localSheetId="38">'First Capital'!$R$6:$R$58</definedName>
    <definedName name="HEALTH_CALLED" localSheetId="39">'First Natl'!$R$6:$R$58</definedName>
    <definedName name="HEALTH_CALLED" localSheetId="40">'First Natl (Thrnr)'!$R$6:$R$58</definedName>
    <definedName name="HEALTH_CALLED" localSheetId="41">'Franklin American'!$R$6:$R$58</definedName>
    <definedName name="HEALTH_CALLED" localSheetId="42">'Franklin Protective'!$R$6:$R$58</definedName>
    <definedName name="HEALTH_CALLED" localSheetId="43">'Freelancers CO-OP'!$R$6:$R$58</definedName>
    <definedName name="HEALTH_CALLED" localSheetId="44">Freestone!$R$6:$R$58</definedName>
    <definedName name="HEALTH_CALLED" localSheetId="45">'George Washington'!$R$6:$R$58</definedName>
    <definedName name="HEALTH_CALLED" localSheetId="46">'Golden State'!$R$6:$R$58</definedName>
    <definedName name="HEALTH_CALLED" localSheetId="47">'Guarantee Security'!$R$6:$R$58</definedName>
    <definedName name="HEALTH_CALLED" localSheetId="48">HealthyCT!$R$6:$R$58</definedName>
    <definedName name="HEALTH_CALLED" localSheetId="49">Imerica!$R$6:$R$58</definedName>
    <definedName name="HEALTH_CALLED" localSheetId="50">'Inter-American'!$R$6:$R$58</definedName>
    <definedName name="HEALTH_CALLED" localSheetId="51">'International Fin'!$R$6:$R$58</definedName>
    <definedName name="HEALTH_CALLED" localSheetId="52">'Investment Life of America'!$R$6:$R$58</definedName>
    <definedName name="HEALTH_CALLED" localSheetId="53">'Investors Equity'!$R$6:$R$58</definedName>
    <definedName name="HEALTH_CALLED" localSheetId="54">'Kentucky Central'!$R$6:$R$58</definedName>
    <definedName name="HEALTH_CALLED" localSheetId="55">'Land of Lincoln'!$R$6:$R$58</definedName>
    <definedName name="HEALTH_CALLED" localSheetId="56">Legion!$R$6:$R$58</definedName>
    <definedName name="HEALTH_CALLED" localSheetId="57">'Life Health America'!$R$6:$R$58</definedName>
    <definedName name="HEALTH_CALLED" localSheetId="58">'Lincoln Memorial'!$R$6:$R$58</definedName>
    <definedName name="HEALTH_CALLED" localSheetId="59">'London Pac'!$R$6:$R$58</definedName>
    <definedName name="HEALTH_CALLED" localSheetId="60">Lumbermens!$R$6:$R$58</definedName>
    <definedName name="HEALTH_CALLED" localSheetId="61">'Medical Savings'!$R$6:$R$58</definedName>
    <definedName name="HEALTH_CALLED" localSheetId="62">'Memorial Service'!$R$6:$R$58</definedName>
    <definedName name="HEALTH_CALLED" localSheetId="63">Midcontinent!$R$6:$R$58</definedName>
    <definedName name="HEALTH_CALLED" localSheetId="64">'Midwest Life'!$R$6:$R$58</definedName>
    <definedName name="HEALTH_CALLED" localSheetId="65">'Monarch Life'!$R$6:$R$58</definedName>
    <definedName name="HEALTH_CALLED" localSheetId="66">'Mutual Benefit'!$R$6:$R$58</definedName>
    <definedName name="HEALTH_CALLED" localSheetId="67">'Mutual Security'!$R$6:$R$58</definedName>
    <definedName name="HEALTH_CALLED" localSheetId="68">'National Affiliated'!$R$6:$R$58</definedName>
    <definedName name="HEALTH_CALLED" localSheetId="70">'National Heritage'!$R$6:$R$58</definedName>
    <definedName name="HEALTH_CALLED" localSheetId="71">'National States'!$R$6:$R$58</definedName>
    <definedName name="HEALTH_CALLED" localSheetId="69">'Natl American'!$R$6:$R$58</definedName>
    <definedName name="HEALTH_CALLED" localSheetId="72">'New Jersey Life'!$R$6:$R$58</definedName>
    <definedName name="HEALTH_CALLED" localSheetId="74">NNIC!$R$6:$R$58</definedName>
    <definedName name="HEALTH_CALLED" localSheetId="73">'North Carolina Mutual'!$R$6:$R$58</definedName>
    <definedName name="HEALTH_CALLED" localSheetId="75">'Old Colony Life'!$R$6:$R$58</definedName>
    <definedName name="HEALTH_CALLED" localSheetId="76">'Old Faithful'!$R$6:$R$58</definedName>
    <definedName name="HEALTH_CALLED" localSheetId="77">'Pacific Standard'!$R$6:$R$58</definedName>
    <definedName name="HEALTH_CALLED" localSheetId="78">'Pavonia Life'!$R$6:$R$58</definedName>
    <definedName name="HEALTH_CALLED" localSheetId="79">'Pen  Treaty'!$R$6:$R$58</definedName>
    <definedName name="HEALTH_CALLED" localSheetId="80">'Red Rock'!$R$6:$R$58</definedName>
    <definedName name="HEALTH_CALLED" localSheetId="81">Reliance!$R$6:$R$58</definedName>
    <definedName name="HEALTH_CALLED" localSheetId="82">SeeChange!$R$6:$R$58</definedName>
    <definedName name="HEALTH_CALLED" localSheetId="83">'Senior American'!$R$6:$R$58</definedName>
    <definedName name="HEALTH_CALLED" localSheetId="84">Settlers!$R$6:$R$58</definedName>
    <definedName name="HEALTH_CALLED" localSheetId="85">Shenandoah!$R$6:$R$58</definedName>
    <definedName name="HEALTH_CALLED" localSheetId="86">'Southland National Life'!$R$6:$R$58</definedName>
    <definedName name="HEALTH_CALLED" localSheetId="87">'Standard Life IN'!$R$6:$R$58</definedName>
    <definedName name="HEALTH_CALLED" localSheetId="88">'States General'!$R$6:$R$58</definedName>
    <definedName name="HEALTH_CALLED" localSheetId="89">Statesman!$R$6:$R$58</definedName>
    <definedName name="HEALTH_CALLED" localSheetId="90">'Summit National'!$R$6:$R$58</definedName>
    <definedName name="HEALTH_CALLED" localSheetId="91">Supreme!$R$6:$R$58</definedName>
    <definedName name="HEALTH_CALLED" localSheetId="92">Time!$R$6:$R$58</definedName>
    <definedName name="HEALTH_CALLED" localSheetId="106">'Total Summary'!$O$6:$O$59</definedName>
    <definedName name="HEALTH_CALLED" localSheetId="93">Underwriters!$R$6:$R$58</definedName>
    <definedName name="HEALTH_CALLED" localSheetId="94">Unison!$R$6:$R$58</definedName>
    <definedName name="HEALTH_CALLED" localSheetId="95">'United Republic'!$R$6:$R$58</definedName>
    <definedName name="HEALTH_CALLED" localSheetId="96">'Universal Health Care'!$R$6:$R$58</definedName>
    <definedName name="HEALTH_CALLED" localSheetId="97">'Universal Life'!$R$6:$R$58</definedName>
    <definedName name="HEALTH_CALLED" localSheetId="98">Universe!$R$6:$R$58</definedName>
    <definedName name="HEALTH_CALLED" localSheetId="99">Villanova!$R$6:$R$58</definedName>
    <definedName name="HEALTH_REFUNDED" localSheetId="0">'Alabama Life'!$S$6:$S$58</definedName>
    <definedName name="HEALTH_REFUNDED" localSheetId="5">'Amer Life Asr'!$S$6:$S$58</definedName>
    <definedName name="HEALTH_REFUNDED" localSheetId="8">'Amer Std Life Acc'!$S$6:$S$58</definedName>
    <definedName name="HEALTH_REFUNDED" localSheetId="1">'American Chambers'!$S$6:$S$58</definedName>
    <definedName name="HEALTH_REFUNDED" localSheetId="2">'American Community'!$S$6:$S$58</definedName>
    <definedName name="HEALTH_REFUNDED" localSheetId="3">'American Educators'!$S$6:$S$58</definedName>
    <definedName name="HEALTH_REFUNDED" localSheetId="4">'American Integrity'!$S$6:$S$58</definedName>
    <definedName name="HEALTH_REFUNDED" localSheetId="6">'American Medical'!$S$6:$S$58</definedName>
    <definedName name="HEALTH_REFUNDED" localSheetId="7">'American Network'!$S$6:$S$58</definedName>
    <definedName name="HEALTH_REFUNDED" localSheetId="9">AmerWstrn!$S$6:$S$58</definedName>
    <definedName name="HEALTH_REFUNDED" localSheetId="10">'AMS Life'!$S$6:$S$58</definedName>
    <definedName name="HEALTH_REFUNDED" localSheetId="11">'Andrew Jackson'!$S$6:$S$58</definedName>
    <definedName name="HEALTH_REFUNDED" localSheetId="12">'Bankers Commercial'!$S$6:$S$58</definedName>
    <definedName name="HEALTH_REFUNDED" localSheetId="13">'Bankers Life'!$S$6:$S$58</definedName>
    <definedName name="HEALTH_REFUNDED" localSheetId="14">Benicorp!$S$6:$S$58</definedName>
    <definedName name="HEALTH_REFUNDED" localSheetId="15">'Booker T Washington'!$S$6:$S$58</definedName>
    <definedName name="HEALTH_REFUNDED" localSheetId="16">Centennial!$S$6:$S$58</definedName>
    <definedName name="HEALTH_REFUNDED" localSheetId="18">'CO Bankers'!$S$6:$S$58</definedName>
    <definedName name="HEALTH_REFUNDED" localSheetId="17">'Coastal States'!$S$6:$S$58</definedName>
    <definedName name="HEALTH_REFUNDED" localSheetId="19">'Colorado Health'!$S$6:$S$58</definedName>
    <definedName name="HEALTH_REFUNDED" localSheetId="20">'Compass (dbs Meritus)'!$S$6:$S$58</definedName>
    <definedName name="HEALTH_REFUNDED" localSheetId="21">'Confed Life &amp; Annty (CLIAC)'!$S$6:$S$58</definedName>
    <definedName name="HEALTH_REFUNDED" localSheetId="22">'Confed Life (CLIC)'!$S$6:$S$58</definedName>
    <definedName name="HEALTH_REFUNDED" localSheetId="23">'Consolidated National'!$S$6:$S$58</definedName>
    <definedName name="HEALTH_REFUNDED" localSheetId="24">'Consumers Choice'!$S$6:$S$58</definedName>
    <definedName name="HEALTH_REFUNDED" localSheetId="25">'Consumers Mutual'!$S$6:$S$58</definedName>
    <definedName name="HEALTH_REFUNDED" localSheetId="26">'Consumers United'!$S$6:$S$58</definedName>
    <definedName name="HEALTH_REFUNDED" localSheetId="27">CoOportunity!$S$6:$S$58</definedName>
    <definedName name="HEALTH_REFUNDED" localSheetId="28">'Coordinated Hlth'!$S$6:$S$58</definedName>
    <definedName name="HEALTH_REFUNDED" localSheetId="29">'Corporate Life'!$S$6:$S$58</definedName>
    <definedName name="HEALTH_REFUNDED" localSheetId="30">'Diamond Benefits'!$S$6:$S$58</definedName>
    <definedName name="HEALTH_REFUNDED" localSheetId="31">'EBL Life'!$S$6:$S$58</definedName>
    <definedName name="HEALTH_REFUNDED" localSheetId="33">ELNY!$S$6:$S$58</definedName>
    <definedName name="HEALTH_REFUNDED" localSheetId="32">'Executive Life'!$S$6:$S$58</definedName>
    <definedName name="HEALTH_REFUNDED" localSheetId="34">'Family Guaranty'!$S$6:$S$58</definedName>
    <definedName name="HEALTH_REFUNDED" localSheetId="35">'Farmers &amp; Ranchers'!$S$6:$S$58</definedName>
    <definedName name="HEALTH_REFUNDED" localSheetId="36">'Fidelity Bankers'!$S$6:$S$58</definedName>
    <definedName name="HEALTH_REFUNDED" localSheetId="37">'Fidelity Mutual'!$S$6:$S$58</definedName>
    <definedName name="HEALTH_REFUNDED" localSheetId="38">'First Capital'!$S$6:$S$58</definedName>
    <definedName name="HEALTH_REFUNDED" localSheetId="39">'First Natl'!$S$6:$S$58</definedName>
    <definedName name="HEALTH_REFUNDED" localSheetId="40">'First Natl (Thrnr)'!$S$6:$S$58</definedName>
    <definedName name="HEALTH_REFUNDED" localSheetId="41">'Franklin American'!$S$6:$S$58</definedName>
    <definedName name="HEALTH_REFUNDED" localSheetId="42">'Franklin Protective'!$S$6:$S$58</definedName>
    <definedName name="HEALTH_REFUNDED" localSheetId="43">'Freelancers CO-OP'!$S$6:$S$58</definedName>
    <definedName name="HEALTH_REFUNDED" localSheetId="44">Freestone!$S$6:$S$58</definedName>
    <definedName name="HEALTH_REFUNDED" localSheetId="45">'George Washington'!$S$6:$S$58</definedName>
    <definedName name="HEALTH_REFUNDED" localSheetId="46">'Golden State'!$S$6:$S$58</definedName>
    <definedName name="HEALTH_REFUNDED" localSheetId="47">'Guarantee Security'!$S$6:$S$58</definedName>
    <definedName name="HEALTH_REFUNDED" localSheetId="48">HealthyCT!$S$6:$S$58</definedName>
    <definedName name="HEALTH_REFUNDED" localSheetId="49">Imerica!$S$6:$S$58</definedName>
    <definedName name="HEALTH_REFUNDED" localSheetId="50">'Inter-American'!$S$6:$S$58</definedName>
    <definedName name="HEALTH_REFUNDED" localSheetId="51">'International Fin'!$S$6:$S$58</definedName>
    <definedName name="HEALTH_REFUNDED" localSheetId="52">'Investment Life of America'!$S$6:$S$58</definedName>
    <definedName name="HEALTH_REFUNDED" localSheetId="53">'Investors Equity'!$S$6:$S$58</definedName>
    <definedName name="HEALTH_REFUNDED" localSheetId="54">'Kentucky Central'!$S$6:$S$58</definedName>
    <definedName name="HEALTH_REFUNDED" localSheetId="55">'Land of Lincoln'!$S$6:$S$58</definedName>
    <definedName name="HEALTH_REFUNDED" localSheetId="56">Legion!$S$6:$S$58</definedName>
    <definedName name="HEALTH_REFUNDED" localSheetId="57">'Life Health America'!$S$6:$S$58</definedName>
    <definedName name="HEALTH_REFUNDED" localSheetId="58">'Lincoln Memorial'!$S$6:$S$58</definedName>
    <definedName name="HEALTH_REFUNDED" localSheetId="59">'London Pac'!$S$6:$S$58</definedName>
    <definedName name="HEALTH_REFUNDED" localSheetId="60">Lumbermens!$S$6:$S$58</definedName>
    <definedName name="HEALTH_REFUNDED" localSheetId="61">'Medical Savings'!$S$6:$S$58</definedName>
    <definedName name="HEALTH_REFUNDED" localSheetId="62">'Memorial Service'!$S$6:$S$58</definedName>
    <definedName name="HEALTH_REFUNDED" localSheetId="63">Midcontinent!$S$6:$S$58</definedName>
    <definedName name="HEALTH_REFUNDED" localSheetId="64">'Midwest Life'!$S$6:$S$58</definedName>
    <definedName name="HEALTH_REFUNDED" localSheetId="65">'Monarch Life'!$S$6:$S$58</definedName>
    <definedName name="HEALTH_REFUNDED" localSheetId="66">'Mutual Benefit'!$S$6:$S$58</definedName>
    <definedName name="HEALTH_REFUNDED" localSheetId="67">'Mutual Security'!$S$6:$S$58</definedName>
    <definedName name="HEALTH_REFUNDED" localSheetId="68">'National Affiliated'!$S$6:$S$58</definedName>
    <definedName name="HEALTH_REFUNDED" localSheetId="70">'National Heritage'!$S$6:$S$58</definedName>
    <definedName name="HEALTH_REFUNDED" localSheetId="71">'National States'!$S$6:$S$58</definedName>
    <definedName name="HEALTH_REFUNDED" localSheetId="69">'Natl American'!$S$6:$S$58</definedName>
    <definedName name="HEALTH_REFUNDED" localSheetId="72">'New Jersey Life'!$S$6:$S$58</definedName>
    <definedName name="HEALTH_REFUNDED" localSheetId="74">NNIC!$S$6:$S$58</definedName>
    <definedName name="HEALTH_REFUNDED" localSheetId="73">'North Carolina Mutual'!$S$6:$S$58</definedName>
    <definedName name="HEALTH_REFUNDED" localSheetId="75">'Old Colony Life'!$S$6:$S$58</definedName>
    <definedName name="HEALTH_REFUNDED" localSheetId="76">'Old Faithful'!$S$6:$S$58</definedName>
    <definedName name="HEALTH_REFUNDED" localSheetId="77">'Pacific Standard'!$S$6:$S$58</definedName>
    <definedName name="HEALTH_REFUNDED" localSheetId="78">'Pavonia Life'!$S$6:$S$58</definedName>
    <definedName name="HEALTH_REFUNDED" localSheetId="79">'Pen  Treaty'!$S$6:$S$58</definedName>
    <definedName name="HEALTH_REFUNDED" localSheetId="80">'Red Rock'!$S$6:$S$58</definedName>
    <definedName name="HEALTH_REFUNDED" localSheetId="81">Reliance!$S$6:$S$58</definedName>
    <definedName name="HEALTH_REFUNDED" localSheetId="82">SeeChange!$S$6:$S$58</definedName>
    <definedName name="HEALTH_REFUNDED" localSheetId="83">'Senior American'!$S$6:$S$58</definedName>
    <definedName name="HEALTH_REFUNDED" localSheetId="84">Settlers!$S$6:$S$58</definedName>
    <definedName name="HEALTH_REFUNDED" localSheetId="85">Shenandoah!$S$6:$S$58</definedName>
    <definedName name="HEALTH_REFUNDED" localSheetId="86">'Southland National Life'!$S$6:$S$58</definedName>
    <definedName name="HEALTH_REFUNDED" localSheetId="87">'Standard Life IN'!$S$6:$S$58</definedName>
    <definedName name="HEALTH_REFUNDED" localSheetId="88">'States General'!$S$6:$S$58</definedName>
    <definedName name="HEALTH_REFUNDED" localSheetId="89">Statesman!$S$6:$S$58</definedName>
    <definedName name="HEALTH_REFUNDED" localSheetId="90">'Summit National'!$S$6:$S$58</definedName>
    <definedName name="HEALTH_REFUNDED" localSheetId="91">Supreme!$S$6:$S$58</definedName>
    <definedName name="HEALTH_REFUNDED" localSheetId="92">Time!$S$6:$S$58</definedName>
    <definedName name="HEALTH_REFUNDED" localSheetId="106">'Total Summary'!$P$6:$P$59</definedName>
    <definedName name="HEALTH_REFUNDED" localSheetId="93">Underwriters!$S$6:$S$58</definedName>
    <definedName name="HEALTH_REFUNDED" localSheetId="94">Unison!$S$6:$S$58</definedName>
    <definedName name="HEALTH_REFUNDED" localSheetId="95">'United Republic'!$S$6:$S$58</definedName>
    <definedName name="HEALTH_REFUNDED" localSheetId="96">'Universal Health Care'!$S$6:$S$58</definedName>
    <definedName name="HEALTH_REFUNDED" localSheetId="97">'Universal Life'!$S$6:$S$58</definedName>
    <definedName name="HEALTH_REFUNDED" localSheetId="98">Universe!$S$6:$S$58</definedName>
    <definedName name="HEALTH_REFUNDED" localSheetId="99">Villanova!$S$6:$S$58</definedName>
    <definedName name="HI_FINANCIAL" localSheetId="0">'Alabama Life'!$B$17:$F$17</definedName>
    <definedName name="HI_FINANCIAL" localSheetId="5">'Amer Life Asr'!$B$17:$F$17</definedName>
    <definedName name="HI_FINANCIAL" localSheetId="8">'Amer Std Life Acc'!$B$17:$F$17</definedName>
    <definedName name="HI_FINANCIAL" localSheetId="1">'American Chambers'!$B$17:$F$17</definedName>
    <definedName name="HI_FINANCIAL" localSheetId="2">'American Community'!$B$17:$F$17</definedName>
    <definedName name="HI_FINANCIAL" localSheetId="3">'American Educators'!$B$17:$F$17</definedName>
    <definedName name="HI_FINANCIAL" localSheetId="4">'American Integrity'!$B$17:$F$17</definedName>
    <definedName name="HI_FINANCIAL" localSheetId="6">'American Medical'!$B$17:$F$17</definedName>
    <definedName name="HI_FINANCIAL" localSheetId="7">'American Network'!$B$17:$F$17</definedName>
    <definedName name="HI_FINANCIAL" localSheetId="9">AmerWstrn!$B$17:$F$17</definedName>
    <definedName name="HI_FINANCIAL" localSheetId="10">'AMS Life'!$B$17:$F$17</definedName>
    <definedName name="HI_FINANCIAL" localSheetId="11">'Andrew Jackson'!$B$17:$F$17</definedName>
    <definedName name="HI_FINANCIAL" localSheetId="12">'Bankers Commercial'!$B$17:$F$17</definedName>
    <definedName name="HI_FINANCIAL" localSheetId="13">'Bankers Life'!$B$17:$F$17</definedName>
    <definedName name="HI_FINANCIAL" localSheetId="14">Benicorp!$B$17:$F$17</definedName>
    <definedName name="HI_FINANCIAL" localSheetId="15">'Booker T Washington'!$B$17:$F$17</definedName>
    <definedName name="HI_FINANCIAL" localSheetId="16">Centennial!$B$17:$F$17</definedName>
    <definedName name="HI_FINANCIAL" localSheetId="18">'CO Bankers'!$B$17:$F$17</definedName>
    <definedName name="HI_FINANCIAL" localSheetId="17">'Coastal States'!$B$17:$F$17</definedName>
    <definedName name="HI_FINANCIAL" localSheetId="19">'Colorado Health'!$B$17:$F$17</definedName>
    <definedName name="HI_FINANCIAL" localSheetId="20">'Compass (dbs Meritus)'!$B$17:$F$17</definedName>
    <definedName name="HI_FINANCIAL" localSheetId="21">'Confed Life &amp; Annty (CLIAC)'!$B$17:$F$17</definedName>
    <definedName name="HI_FINANCIAL" localSheetId="22">'Confed Life (CLIC)'!$B$17:$F$17</definedName>
    <definedName name="HI_FINANCIAL" localSheetId="23">'Consolidated National'!$B$17:$F$17</definedName>
    <definedName name="HI_FINANCIAL" localSheetId="24">'Consumers Choice'!$B$17:$F$17</definedName>
    <definedName name="HI_FINANCIAL" localSheetId="25">'Consumers Mutual'!$B$17:$F$17</definedName>
    <definedName name="HI_FINANCIAL" localSheetId="26">'Consumers United'!$B$17:$F$17</definedName>
    <definedName name="HI_FINANCIAL" localSheetId="27">CoOportunity!$B$17:$F$17</definedName>
    <definedName name="HI_FINANCIAL" localSheetId="28">'Coordinated Hlth'!$B$17:$F$17</definedName>
    <definedName name="HI_FINANCIAL" localSheetId="29">'Corporate Life'!$B$17:$F$17</definedName>
    <definedName name="HI_FINANCIAL" localSheetId="30">'Diamond Benefits'!$B$17:$F$17</definedName>
    <definedName name="HI_FINANCIAL" localSheetId="31">'EBL Life'!$B$17:$F$17</definedName>
    <definedName name="HI_FINANCIAL" localSheetId="33">ELNY!$B$17:$F$17</definedName>
    <definedName name="HI_FINANCIAL" localSheetId="32">'Executive Life'!$B$17:$F$17</definedName>
    <definedName name="HI_FINANCIAL" localSheetId="34">'Family Guaranty'!$B$17:$F$17</definedName>
    <definedName name="HI_FINANCIAL" localSheetId="35">'Farmers &amp; Ranchers'!$B$17:$F$17</definedName>
    <definedName name="HI_FINANCIAL" localSheetId="36">'Fidelity Bankers'!$B$17:$F$17</definedName>
    <definedName name="HI_FINANCIAL" localSheetId="37">'Fidelity Mutual'!$B$17:$F$17</definedName>
    <definedName name="HI_FINANCIAL" localSheetId="38">'First Capital'!$B$17:$F$17</definedName>
    <definedName name="HI_FINANCIAL" localSheetId="39">'First Natl'!$B$17:$F$17</definedName>
    <definedName name="HI_FINANCIAL" localSheetId="40">'First Natl (Thrnr)'!$B$17:$F$17</definedName>
    <definedName name="HI_FINANCIAL" localSheetId="41">'Franklin American'!$B$17:$F$17</definedName>
    <definedName name="HI_FINANCIAL" localSheetId="42">'Franklin Protective'!$B$17:$F$17</definedName>
    <definedName name="HI_FINANCIAL" localSheetId="43">'Freelancers CO-OP'!$B$17:$F$17</definedName>
    <definedName name="HI_FINANCIAL" localSheetId="44">Freestone!$B$17:$F$17</definedName>
    <definedName name="HI_FINANCIAL" localSheetId="45">'George Washington'!$B$17:$F$17</definedName>
    <definedName name="HI_FINANCIAL" localSheetId="46">'Golden State'!$B$17:$F$17</definedName>
    <definedName name="HI_FINANCIAL" localSheetId="47">'Guarantee Security'!$B$17:$F$17</definedName>
    <definedName name="HI_FINANCIAL" localSheetId="48">HealthyCT!$B$17:$F$17</definedName>
    <definedName name="HI_FINANCIAL" localSheetId="49">Imerica!$B$17:$F$17</definedName>
    <definedName name="HI_FINANCIAL" localSheetId="50">'Inter-American'!$B$17:$F$17</definedName>
    <definedName name="HI_FINANCIAL" localSheetId="51">'International Fin'!$B$17:$F$17</definedName>
    <definedName name="HI_FINANCIAL" localSheetId="52">'Investment Life of America'!$B$17:$F$17</definedName>
    <definedName name="HI_FINANCIAL" localSheetId="53">'Investors Equity'!$B$17:$F$17</definedName>
    <definedName name="HI_FINANCIAL" localSheetId="54">'Kentucky Central'!$B$17:$F$17</definedName>
    <definedName name="HI_FINANCIAL" localSheetId="55">'Land of Lincoln'!$B$17:$F$17</definedName>
    <definedName name="HI_FINANCIAL" localSheetId="56">Legion!$B$17:$F$17</definedName>
    <definedName name="HI_FINANCIAL" localSheetId="57">'Life Health America'!$B$17:$F$17</definedName>
    <definedName name="HI_FINANCIAL" localSheetId="58">'Lincoln Memorial'!$B$17:$F$17</definedName>
    <definedName name="HI_FINANCIAL" localSheetId="59">'London Pac'!$B$17:$F$17</definedName>
    <definedName name="HI_FINANCIAL" localSheetId="60">Lumbermens!$B$17:$F$17</definedName>
    <definedName name="HI_FINANCIAL" localSheetId="61">'Medical Savings'!$B$17:$F$17</definedName>
    <definedName name="HI_FINANCIAL" localSheetId="62">'Memorial Service'!$B$17:$F$17</definedName>
    <definedName name="HI_FINANCIAL" localSheetId="63">Midcontinent!$B$17:$F$17</definedName>
    <definedName name="HI_FINANCIAL" localSheetId="64">'Midwest Life'!$B$17:$F$17</definedName>
    <definedName name="HI_FINANCIAL" localSheetId="65">'Monarch Life'!$B$17:$F$17</definedName>
    <definedName name="HI_FINANCIAL" localSheetId="66">'Mutual Benefit'!$B$17:$F$17</definedName>
    <definedName name="HI_FINANCIAL" localSheetId="67">'Mutual Security'!$B$17:$F$17</definedName>
    <definedName name="HI_FINANCIAL" localSheetId="68">'National Affiliated'!$B$17:$F$17</definedName>
    <definedName name="HI_FINANCIAL" localSheetId="70">'National Heritage'!$B$17:$F$17</definedName>
    <definedName name="HI_FINANCIAL" localSheetId="71">'National States'!$B$17:$F$17</definedName>
    <definedName name="HI_FINANCIAL" localSheetId="69">'Natl American'!$B$17:$F$17</definedName>
    <definedName name="HI_FINANCIAL" localSheetId="72">'New Jersey Life'!$B$17:$F$17</definedName>
    <definedName name="HI_FINANCIAL" localSheetId="74">NNIC!$B$17:$F$17</definedName>
    <definedName name="HI_FINANCIAL" localSheetId="73">'North Carolina Mutual'!$B$17:$F$17</definedName>
    <definedName name="HI_FINANCIAL" localSheetId="75">'Old Colony Life'!$B$17:$F$17</definedName>
    <definedName name="HI_FINANCIAL" localSheetId="76">'Old Faithful'!$B$17:$F$17</definedName>
    <definedName name="HI_FINANCIAL" localSheetId="77">'Pacific Standard'!$B$17:$F$17</definedName>
    <definedName name="HI_FINANCIAL" localSheetId="78">'Pavonia Life'!$B$17:$F$17</definedName>
    <definedName name="HI_FINANCIAL" localSheetId="79">'Pen  Treaty'!$B$17:$F$17</definedName>
    <definedName name="HI_FINANCIAL" localSheetId="80">'Red Rock'!$B$17:$F$17</definedName>
    <definedName name="HI_FINANCIAL" localSheetId="81">Reliance!$B$17:$F$17</definedName>
    <definedName name="HI_FINANCIAL" localSheetId="82">SeeChange!$B$17:$F$17</definedName>
    <definedName name="HI_FINANCIAL" localSheetId="83">'Senior American'!$B$17:$F$17</definedName>
    <definedName name="HI_FINANCIAL" localSheetId="84">Settlers!$B$17:$F$17</definedName>
    <definedName name="HI_FINANCIAL" localSheetId="85">Shenandoah!$B$17:$F$17</definedName>
    <definedName name="HI_FINANCIAL" localSheetId="86">'Southland National Life'!$B$17:$F$17</definedName>
    <definedName name="HI_FINANCIAL" localSheetId="87">'Standard Life IN'!$B$17:$F$17</definedName>
    <definedName name="HI_FINANCIAL" localSheetId="88">'States General'!$B$17:$F$17</definedName>
    <definedName name="HI_FINANCIAL" localSheetId="89">Statesman!$B$17:$F$17</definedName>
    <definedName name="HI_FINANCIAL" localSheetId="90">'Summit National'!$B$17:$F$17</definedName>
    <definedName name="HI_FINANCIAL" localSheetId="91">Supreme!$B$17:$F$17</definedName>
    <definedName name="HI_FINANCIAL" localSheetId="92">Time!$B$17:$F$17</definedName>
    <definedName name="HI_FINANCIAL" localSheetId="106">'Total Summary'!$B$17:$F$17</definedName>
    <definedName name="HI_FINANCIAL" localSheetId="93">Underwriters!$B$17:$F$17</definedName>
    <definedName name="HI_FINANCIAL" localSheetId="94">Unison!$B$17:$F$17</definedName>
    <definedName name="HI_FINANCIAL" localSheetId="95">'United Republic'!$B$17:$F$17</definedName>
    <definedName name="HI_FINANCIAL" localSheetId="96">'Universal Health Care'!$B$17:$F$17</definedName>
    <definedName name="HI_FINANCIAL" localSheetId="97">'Universal Life'!$B$17:$F$17</definedName>
    <definedName name="HI_FINANCIAL" localSheetId="98">Universe!$B$17:$F$17</definedName>
    <definedName name="HI_FINANCIAL" localSheetId="99">Villanova!$B$17:$F$17</definedName>
    <definedName name="IA_FINANCIAL" localSheetId="0">'Alabama Life'!$B$21:$F$21</definedName>
    <definedName name="IA_FINANCIAL" localSheetId="5">'Amer Life Asr'!$B$21:$F$21</definedName>
    <definedName name="IA_FINANCIAL" localSheetId="8">'Amer Std Life Acc'!$B$21:$F$21</definedName>
    <definedName name="IA_FINANCIAL" localSheetId="1">'American Chambers'!$B$21:$F$21</definedName>
    <definedName name="IA_FINANCIAL" localSheetId="2">'American Community'!$B$21:$F$21</definedName>
    <definedName name="IA_FINANCIAL" localSheetId="3">'American Educators'!$B$21:$F$21</definedName>
    <definedName name="IA_FINANCIAL" localSheetId="4">'American Integrity'!$B$21:$F$21</definedName>
    <definedName name="IA_FINANCIAL" localSheetId="6">'American Medical'!$B$21:$F$21</definedName>
    <definedName name="IA_FINANCIAL" localSheetId="7">'American Network'!$B$21:$F$21</definedName>
    <definedName name="IA_FINANCIAL" localSheetId="9">AmerWstrn!$B$21:$F$21</definedName>
    <definedName name="IA_FINANCIAL" localSheetId="10">'AMS Life'!$B$21:$F$21</definedName>
    <definedName name="IA_FINANCIAL" localSheetId="11">'Andrew Jackson'!$B$21:$F$21</definedName>
    <definedName name="IA_FINANCIAL" localSheetId="12">'Bankers Commercial'!$B$21:$F$21</definedName>
    <definedName name="IA_FINANCIAL" localSheetId="13">'Bankers Life'!$B$21:$F$21</definedName>
    <definedName name="IA_FINANCIAL" localSheetId="14">Benicorp!$B$21:$F$21</definedName>
    <definedName name="IA_FINANCIAL" localSheetId="15">'Booker T Washington'!$B$21:$F$21</definedName>
    <definedName name="IA_FINANCIAL" localSheetId="16">Centennial!$B$21:$F$21</definedName>
    <definedName name="IA_FINANCIAL" localSheetId="18">'CO Bankers'!$B$21:$F$21</definedName>
    <definedName name="IA_FINANCIAL" localSheetId="17">'Coastal States'!$B$21:$F$21</definedName>
    <definedName name="IA_FINANCIAL" localSheetId="19">'Colorado Health'!$B$21:$F$21</definedName>
    <definedName name="IA_FINANCIAL" localSheetId="20">'Compass (dbs Meritus)'!$B$21:$F$21</definedName>
    <definedName name="IA_FINANCIAL" localSheetId="21">'Confed Life &amp; Annty (CLIAC)'!$B$21:$F$21</definedName>
    <definedName name="IA_FINANCIAL" localSheetId="22">'Confed Life (CLIC)'!$B$21:$F$21</definedName>
    <definedName name="IA_FINANCIAL" localSheetId="23">'Consolidated National'!$B$21:$F$21</definedName>
    <definedName name="IA_FINANCIAL" localSheetId="24">'Consumers Choice'!$B$21:$F$21</definedName>
    <definedName name="IA_FINANCIAL" localSheetId="25">'Consumers Mutual'!$B$21:$F$21</definedName>
    <definedName name="IA_FINANCIAL" localSheetId="26">'Consumers United'!$B$21:$F$21</definedName>
    <definedName name="IA_FINANCIAL" localSheetId="27">CoOportunity!$B$21:$F$21</definedName>
    <definedName name="IA_FINANCIAL" localSheetId="28">'Coordinated Hlth'!$B$21:$F$21</definedName>
    <definedName name="IA_FINANCIAL" localSheetId="29">'Corporate Life'!$B$21:$F$21</definedName>
    <definedName name="IA_FINANCIAL" localSheetId="30">'Diamond Benefits'!$B$21:$F$21</definedName>
    <definedName name="IA_FINANCIAL" localSheetId="31">'EBL Life'!$B$21:$F$21</definedName>
    <definedName name="IA_FINANCIAL" localSheetId="33">ELNY!$B$21:$F$21</definedName>
    <definedName name="IA_FINANCIAL" localSheetId="32">'Executive Life'!$B$21:$F$21</definedName>
    <definedName name="IA_FINANCIAL" localSheetId="34">'Family Guaranty'!$B$21:$F$21</definedName>
    <definedName name="IA_FINANCIAL" localSheetId="35">'Farmers &amp; Ranchers'!$B$21:$F$21</definedName>
    <definedName name="IA_FINANCIAL" localSheetId="36">'Fidelity Bankers'!$B$21:$F$21</definedName>
    <definedName name="IA_FINANCIAL" localSheetId="37">'Fidelity Mutual'!$B$21:$F$21</definedName>
    <definedName name="IA_FINANCIAL" localSheetId="38">'First Capital'!$B$21:$F$21</definedName>
    <definedName name="IA_FINANCIAL" localSheetId="39">'First Natl'!$B$21:$F$21</definedName>
    <definedName name="IA_FINANCIAL" localSheetId="40">'First Natl (Thrnr)'!$B$21:$F$21</definedName>
    <definedName name="IA_FINANCIAL" localSheetId="41">'Franklin American'!$B$21:$F$21</definedName>
    <definedName name="IA_FINANCIAL" localSheetId="42">'Franklin Protective'!$B$21:$F$21</definedName>
    <definedName name="IA_FINANCIAL" localSheetId="43">'Freelancers CO-OP'!$B$21:$F$21</definedName>
    <definedName name="IA_FINANCIAL" localSheetId="44">Freestone!$B$21:$F$21</definedName>
    <definedName name="IA_FINANCIAL" localSheetId="45">'George Washington'!$B$21:$F$21</definedName>
    <definedName name="IA_FINANCIAL" localSheetId="46">'Golden State'!$B$21:$F$21</definedName>
    <definedName name="IA_FINANCIAL" localSheetId="47">'Guarantee Security'!$B$21:$F$21</definedName>
    <definedName name="IA_FINANCIAL" localSheetId="48">HealthyCT!$B$21:$F$21</definedName>
    <definedName name="IA_FINANCIAL" localSheetId="49">Imerica!$B$21:$F$21</definedName>
    <definedName name="IA_FINANCIAL" localSheetId="50">'Inter-American'!$B$21:$F$21</definedName>
    <definedName name="IA_FINANCIAL" localSheetId="51">'International Fin'!$B$21:$F$21</definedName>
    <definedName name="IA_FINANCIAL" localSheetId="52">'Investment Life of America'!$B$21:$F$21</definedName>
    <definedName name="IA_FINANCIAL" localSheetId="53">'Investors Equity'!$B$21:$F$21</definedName>
    <definedName name="IA_FINANCIAL" localSheetId="54">'Kentucky Central'!$B$21:$F$21</definedName>
    <definedName name="IA_FINANCIAL" localSheetId="55">'Land of Lincoln'!$B$21:$F$21</definedName>
    <definedName name="IA_FINANCIAL" localSheetId="56">Legion!$B$21:$F$21</definedName>
    <definedName name="IA_FINANCIAL" localSheetId="57">'Life Health America'!$B$21:$F$21</definedName>
    <definedName name="IA_FINANCIAL" localSheetId="58">'Lincoln Memorial'!$B$21:$F$21</definedName>
    <definedName name="IA_FINANCIAL" localSheetId="59">'London Pac'!$B$21:$F$21</definedName>
    <definedName name="IA_FINANCIAL" localSheetId="60">Lumbermens!$B$21:$F$21</definedName>
    <definedName name="IA_FINANCIAL" localSheetId="61">'Medical Savings'!$B$21:$F$21</definedName>
    <definedName name="IA_FINANCIAL" localSheetId="62">'Memorial Service'!$B$21:$F$21</definedName>
    <definedName name="IA_FINANCIAL" localSheetId="63">Midcontinent!$B$21:$F$21</definedName>
    <definedName name="IA_FINANCIAL" localSheetId="64">'Midwest Life'!$B$21:$F$21</definedName>
    <definedName name="IA_FINANCIAL" localSheetId="65">'Monarch Life'!$B$21:$F$21</definedName>
    <definedName name="IA_FINANCIAL" localSheetId="66">'Mutual Benefit'!$B$21:$F$21</definedName>
    <definedName name="IA_FINANCIAL" localSheetId="67">'Mutual Security'!$B$21:$F$21</definedName>
    <definedName name="IA_FINANCIAL" localSheetId="68">'National Affiliated'!$B$21:$F$21</definedName>
    <definedName name="IA_FINANCIAL" localSheetId="70">'National Heritage'!$B$21:$F$21</definedName>
    <definedName name="IA_FINANCIAL" localSheetId="71">'National States'!$B$21:$F$21</definedName>
    <definedName name="IA_FINANCIAL" localSheetId="69">'Natl American'!$B$21:$F$21</definedName>
    <definedName name="IA_FINANCIAL" localSheetId="72">'New Jersey Life'!$B$21:$F$21</definedName>
    <definedName name="IA_FINANCIAL" localSheetId="74">NNIC!$B$21:$F$21</definedName>
    <definedName name="IA_FINANCIAL" localSheetId="73">'North Carolina Mutual'!$B$21:$F$21</definedName>
    <definedName name="IA_FINANCIAL" localSheetId="75">'Old Colony Life'!$B$21:$F$21</definedName>
    <definedName name="IA_FINANCIAL" localSheetId="76">'Old Faithful'!$B$21:$F$21</definedName>
    <definedName name="IA_FINANCIAL" localSheetId="77">'Pacific Standard'!$B$21:$F$21</definedName>
    <definedName name="IA_FINANCIAL" localSheetId="78">'Pavonia Life'!$B$21:$F$21</definedName>
    <definedName name="IA_FINANCIAL" localSheetId="79">'Pen  Treaty'!$B$21:$F$21</definedName>
    <definedName name="IA_FINANCIAL" localSheetId="80">'Red Rock'!$B$21:$F$21</definedName>
    <definedName name="IA_FINANCIAL" localSheetId="81">Reliance!$B$21:$F$21</definedName>
    <definedName name="IA_FINANCIAL" localSheetId="82">SeeChange!$B$21:$F$21</definedName>
    <definedName name="IA_FINANCIAL" localSheetId="83">'Senior American'!$B$21:$F$21</definedName>
    <definedName name="IA_FINANCIAL" localSheetId="84">Settlers!$B$21:$F$21</definedName>
    <definedName name="IA_FINANCIAL" localSheetId="85">Shenandoah!$B$21:$F$21</definedName>
    <definedName name="IA_FINANCIAL" localSheetId="86">'Southland National Life'!$B$21:$F$21</definedName>
    <definedName name="IA_FINANCIAL" localSheetId="87">'Standard Life IN'!$B$21:$F$21</definedName>
    <definedName name="IA_FINANCIAL" localSheetId="88">'States General'!$B$21:$F$21</definedName>
    <definedName name="IA_FINANCIAL" localSheetId="89">Statesman!$B$21:$F$21</definedName>
    <definedName name="IA_FINANCIAL" localSheetId="90">'Summit National'!$B$21:$F$21</definedName>
    <definedName name="IA_FINANCIAL" localSheetId="91">Supreme!$B$21:$F$21</definedName>
    <definedName name="IA_FINANCIAL" localSheetId="92">Time!$B$21:$F$21</definedName>
    <definedName name="IA_FINANCIAL" localSheetId="106">'Total Summary'!$B$21:$F$21</definedName>
    <definedName name="IA_FINANCIAL" localSheetId="93">Underwriters!$B$21:$F$21</definedName>
    <definedName name="IA_FINANCIAL" localSheetId="94">Unison!$B$21:$F$21</definedName>
    <definedName name="IA_FINANCIAL" localSheetId="95">'United Republic'!$B$21:$F$21</definedName>
    <definedName name="IA_FINANCIAL" localSheetId="96">'Universal Health Care'!$B$21:$F$21</definedName>
    <definedName name="IA_FINANCIAL" localSheetId="97">'Universal Life'!$B$21:$F$21</definedName>
    <definedName name="IA_FINANCIAL" localSheetId="98">Universe!$B$21:$F$21</definedName>
    <definedName name="IA_FINANCIAL" localSheetId="99">Villanova!$B$21:$F$21</definedName>
    <definedName name="ID_FINANCIAL" localSheetId="0">'Alabama Life'!$B$18:$F$18</definedName>
    <definedName name="ID_FINANCIAL" localSheetId="5">'Amer Life Asr'!$B$18:$F$18</definedName>
    <definedName name="ID_FINANCIAL" localSheetId="8">'Amer Std Life Acc'!$B$18:$F$18</definedName>
    <definedName name="ID_FINANCIAL" localSheetId="1">'American Chambers'!$B$18:$F$18</definedName>
    <definedName name="ID_FINANCIAL" localSheetId="2">'American Community'!$B$18:$F$18</definedName>
    <definedName name="ID_FINANCIAL" localSheetId="3">'American Educators'!$B$18:$F$18</definedName>
    <definedName name="ID_FINANCIAL" localSheetId="4">'American Integrity'!$B$18:$F$18</definedName>
    <definedName name="ID_FINANCIAL" localSheetId="6">'American Medical'!$B$18:$F$18</definedName>
    <definedName name="ID_FINANCIAL" localSheetId="7">'American Network'!$B$18:$F$18</definedName>
    <definedName name="ID_FINANCIAL" localSheetId="9">AmerWstrn!$B$18:$F$18</definedName>
    <definedName name="ID_FINANCIAL" localSheetId="10">'AMS Life'!$B$18:$F$18</definedName>
    <definedName name="ID_FINANCIAL" localSheetId="11">'Andrew Jackson'!$B$18:$F$18</definedName>
    <definedName name="ID_FINANCIAL" localSheetId="12">'Bankers Commercial'!$B$18:$F$18</definedName>
    <definedName name="ID_FINANCIAL" localSheetId="13">'Bankers Life'!$B$18:$F$18</definedName>
    <definedName name="ID_FINANCIAL" localSheetId="14">Benicorp!$B$18:$F$18</definedName>
    <definedName name="ID_FINANCIAL" localSheetId="15">'Booker T Washington'!$B$18:$F$18</definedName>
    <definedName name="ID_FINANCIAL" localSheetId="16">Centennial!$B$18:$F$18</definedName>
    <definedName name="ID_FINANCIAL" localSheetId="18">'CO Bankers'!$B$18:$F$18</definedName>
    <definedName name="ID_FINANCIAL" localSheetId="17">'Coastal States'!$B$18:$F$18</definedName>
    <definedName name="ID_FINANCIAL" localSheetId="19">'Colorado Health'!$B$18:$F$18</definedName>
    <definedName name="ID_FINANCIAL" localSheetId="20">'Compass (dbs Meritus)'!$B$18:$F$18</definedName>
    <definedName name="ID_FINANCIAL" localSheetId="21">'Confed Life &amp; Annty (CLIAC)'!$B$18:$F$18</definedName>
    <definedName name="ID_FINANCIAL" localSheetId="22">'Confed Life (CLIC)'!$B$18:$F$18</definedName>
    <definedName name="ID_FINANCIAL" localSheetId="23">'Consolidated National'!$B$18:$F$18</definedName>
    <definedName name="ID_FINANCIAL" localSheetId="24">'Consumers Choice'!$B$18:$F$18</definedName>
    <definedName name="ID_FINANCIAL" localSheetId="25">'Consumers Mutual'!$B$18:$F$18</definedName>
    <definedName name="ID_FINANCIAL" localSheetId="26">'Consumers United'!$B$18:$F$18</definedName>
    <definedName name="ID_FINANCIAL" localSheetId="27">CoOportunity!$B$18:$F$18</definedName>
    <definedName name="ID_FINANCIAL" localSheetId="28">'Coordinated Hlth'!$B$18:$F$18</definedName>
    <definedName name="ID_FINANCIAL" localSheetId="29">'Corporate Life'!$B$18:$F$18</definedName>
    <definedName name="ID_FINANCIAL" localSheetId="30">'Diamond Benefits'!$B$18:$F$18</definedName>
    <definedName name="ID_FINANCIAL" localSheetId="31">'EBL Life'!$B$18:$F$18</definedName>
    <definedName name="ID_FINANCIAL" localSheetId="33">ELNY!$B$18:$F$18</definedName>
    <definedName name="ID_FINANCIAL" localSheetId="32">'Executive Life'!$B$18:$F$18</definedName>
    <definedName name="ID_FINANCIAL" localSheetId="34">'Family Guaranty'!$B$18:$F$18</definedName>
    <definedName name="ID_FINANCIAL" localSheetId="35">'Farmers &amp; Ranchers'!$B$18:$F$18</definedName>
    <definedName name="ID_FINANCIAL" localSheetId="36">'Fidelity Bankers'!$B$18:$F$18</definedName>
    <definedName name="ID_FINANCIAL" localSheetId="37">'Fidelity Mutual'!$B$18:$F$18</definedName>
    <definedName name="ID_FINANCIAL" localSheetId="38">'First Capital'!$B$18:$F$18</definedName>
    <definedName name="ID_FINANCIAL" localSheetId="39">'First Natl'!$B$18:$F$18</definedName>
    <definedName name="ID_FINANCIAL" localSheetId="40">'First Natl (Thrnr)'!$B$18:$F$18</definedName>
    <definedName name="ID_FINANCIAL" localSheetId="41">'Franklin American'!$B$18:$F$18</definedName>
    <definedName name="ID_FINANCIAL" localSheetId="42">'Franklin Protective'!$B$18:$F$18</definedName>
    <definedName name="ID_FINANCIAL" localSheetId="43">'Freelancers CO-OP'!$B$18:$F$18</definedName>
    <definedName name="ID_FINANCIAL" localSheetId="44">Freestone!$B$18:$F$18</definedName>
    <definedName name="ID_FINANCIAL" localSheetId="45">'George Washington'!$B$18:$F$18</definedName>
    <definedName name="ID_FINANCIAL" localSheetId="46">'Golden State'!$B$18:$F$18</definedName>
    <definedName name="ID_FINANCIAL" localSheetId="47">'Guarantee Security'!$B$18:$F$18</definedName>
    <definedName name="ID_FINANCIAL" localSheetId="48">HealthyCT!$B$18:$F$18</definedName>
    <definedName name="ID_FINANCIAL" localSheetId="49">Imerica!$B$18:$F$18</definedName>
    <definedName name="ID_FINANCIAL" localSheetId="50">'Inter-American'!$B$18:$F$18</definedName>
    <definedName name="ID_FINANCIAL" localSheetId="51">'International Fin'!$B$18:$F$18</definedName>
    <definedName name="ID_FINANCIAL" localSheetId="52">'Investment Life of America'!$B$18:$F$18</definedName>
    <definedName name="ID_FINANCIAL" localSheetId="53">'Investors Equity'!$B$18:$F$18</definedName>
    <definedName name="ID_FINANCIAL" localSheetId="54">'Kentucky Central'!$B$18:$F$18</definedName>
    <definedName name="ID_FINANCIAL" localSheetId="55">'Land of Lincoln'!$B$18:$F$18</definedName>
    <definedName name="ID_FINANCIAL" localSheetId="56">Legion!$B$18:$F$18</definedName>
    <definedName name="ID_FINANCIAL" localSheetId="57">'Life Health America'!$B$18:$F$18</definedName>
    <definedName name="ID_FINANCIAL" localSheetId="58">'Lincoln Memorial'!$B$18:$F$18</definedName>
    <definedName name="ID_FINANCIAL" localSheetId="59">'London Pac'!$B$18:$F$18</definedName>
    <definedName name="ID_FINANCIAL" localSheetId="60">Lumbermens!$B$18:$F$18</definedName>
    <definedName name="ID_FINANCIAL" localSheetId="61">'Medical Savings'!$B$18:$F$18</definedName>
    <definedName name="ID_FINANCIAL" localSheetId="62">'Memorial Service'!$B$18:$F$18</definedName>
    <definedName name="ID_FINANCIAL" localSheetId="63">Midcontinent!$B$18:$F$18</definedName>
    <definedName name="ID_FINANCIAL" localSheetId="64">'Midwest Life'!$B$18:$F$18</definedName>
    <definedName name="ID_FINANCIAL" localSheetId="65">'Monarch Life'!$B$18:$F$18</definedName>
    <definedName name="ID_FINANCIAL" localSheetId="66">'Mutual Benefit'!$B$18:$F$18</definedName>
    <definedName name="ID_FINANCIAL" localSheetId="67">'Mutual Security'!$B$18:$F$18</definedName>
    <definedName name="ID_FINANCIAL" localSheetId="68">'National Affiliated'!$B$18:$F$18</definedName>
    <definedName name="ID_FINANCIAL" localSheetId="70">'National Heritage'!$B$18:$F$18</definedName>
    <definedName name="ID_FINANCIAL" localSheetId="71">'National States'!$B$18:$F$18</definedName>
    <definedName name="ID_FINANCIAL" localSheetId="69">'Natl American'!$B$18:$F$18</definedName>
    <definedName name="ID_FINANCIAL" localSheetId="72">'New Jersey Life'!$B$18:$F$18</definedName>
    <definedName name="ID_FINANCIAL" localSheetId="74">NNIC!$B$18:$F$18</definedName>
    <definedName name="ID_FINANCIAL" localSheetId="73">'North Carolina Mutual'!$B$18:$F$18</definedName>
    <definedName name="ID_FINANCIAL" localSheetId="75">'Old Colony Life'!$B$18:$F$18</definedName>
    <definedName name="ID_FINANCIAL" localSheetId="76">'Old Faithful'!$B$18:$F$18</definedName>
    <definedName name="ID_FINANCIAL" localSheetId="77">'Pacific Standard'!$B$18:$F$18</definedName>
    <definedName name="ID_FINANCIAL" localSheetId="78">'Pavonia Life'!$B$18:$F$18</definedName>
    <definedName name="ID_FINANCIAL" localSheetId="79">'Pen  Treaty'!$B$18:$F$18</definedName>
    <definedName name="ID_FINANCIAL" localSheetId="80">'Red Rock'!$B$18:$F$18</definedName>
    <definedName name="ID_FINANCIAL" localSheetId="81">Reliance!$B$18:$F$18</definedName>
    <definedName name="ID_FINANCIAL" localSheetId="82">SeeChange!$B$18:$F$18</definedName>
    <definedName name="ID_FINANCIAL" localSheetId="83">'Senior American'!$B$18:$F$18</definedName>
    <definedName name="ID_FINANCIAL" localSheetId="84">Settlers!$B$18:$F$18</definedName>
    <definedName name="ID_FINANCIAL" localSheetId="85">Shenandoah!$B$18:$F$18</definedName>
    <definedName name="ID_FINANCIAL" localSheetId="86">'Southland National Life'!$B$18:$F$18</definedName>
    <definedName name="ID_FINANCIAL" localSheetId="87">'Standard Life IN'!$B$18:$F$18</definedName>
    <definedName name="ID_FINANCIAL" localSheetId="88">'States General'!$B$18:$F$18</definedName>
    <definedName name="ID_FINANCIAL" localSheetId="89">Statesman!$B$18:$F$18</definedName>
    <definedName name="ID_FINANCIAL" localSheetId="90">'Summit National'!$B$18:$F$18</definedName>
    <definedName name="ID_FINANCIAL" localSheetId="91">Supreme!$B$18:$F$18</definedName>
    <definedName name="ID_FINANCIAL" localSheetId="92">Time!$B$18:$F$18</definedName>
    <definedName name="ID_FINANCIAL" localSheetId="106">'Total Summary'!$B$18:$F$18</definedName>
    <definedName name="ID_FINANCIAL" localSheetId="93">Underwriters!$B$18:$F$18</definedName>
    <definedName name="ID_FINANCIAL" localSheetId="94">Unison!$B$18:$F$18</definedName>
    <definedName name="ID_FINANCIAL" localSheetId="95">'United Republic'!$B$18:$F$18</definedName>
    <definedName name="ID_FINANCIAL" localSheetId="96">'Universal Health Care'!$B$18:$F$18</definedName>
    <definedName name="ID_FINANCIAL" localSheetId="97">'Universal Life'!$B$18:$F$18</definedName>
    <definedName name="ID_FINANCIAL" localSheetId="98">Universe!$B$18:$F$18</definedName>
    <definedName name="ID_FINANCIAL" localSheetId="99">Villanova!$B$18:$F$18</definedName>
    <definedName name="IL_FINANCIAL" localSheetId="0">'Alabama Life'!$B$19:$F$19</definedName>
    <definedName name="IL_FINANCIAL" localSheetId="5">'Amer Life Asr'!$B$19:$F$19</definedName>
    <definedName name="IL_FINANCIAL" localSheetId="8">'Amer Std Life Acc'!$B$19:$F$19</definedName>
    <definedName name="IL_FINANCIAL" localSheetId="1">'American Chambers'!$B$19:$F$19</definedName>
    <definedName name="IL_FINANCIAL" localSheetId="2">'American Community'!$B$19:$F$19</definedName>
    <definedName name="IL_FINANCIAL" localSheetId="3">'American Educators'!$B$19:$F$19</definedName>
    <definedName name="IL_FINANCIAL" localSheetId="4">'American Integrity'!$B$19:$F$19</definedName>
    <definedName name="IL_FINANCIAL" localSheetId="6">'American Medical'!$B$19:$F$19</definedName>
    <definedName name="IL_FINANCIAL" localSheetId="7">'American Network'!$B$19:$F$19</definedName>
    <definedName name="IL_FINANCIAL" localSheetId="9">AmerWstrn!$B$19:$F$19</definedName>
    <definedName name="IL_FINANCIAL" localSheetId="10">'AMS Life'!$B$19:$F$19</definedName>
    <definedName name="IL_FINANCIAL" localSheetId="11">'Andrew Jackson'!$B$19:$F$19</definedName>
    <definedName name="IL_FINANCIAL" localSheetId="12">'Bankers Commercial'!$B$19:$F$19</definedName>
    <definedName name="IL_FINANCIAL" localSheetId="13">'Bankers Life'!$B$19:$F$19</definedName>
    <definedName name="IL_FINANCIAL" localSheetId="14">Benicorp!$B$19:$F$19</definedName>
    <definedName name="IL_FINANCIAL" localSheetId="15">'Booker T Washington'!$B$19:$F$19</definedName>
    <definedName name="IL_FINANCIAL" localSheetId="16">Centennial!$B$19:$F$19</definedName>
    <definedName name="IL_FINANCIAL" localSheetId="18">'CO Bankers'!$B$19:$F$19</definedName>
    <definedName name="IL_FINANCIAL" localSheetId="17">'Coastal States'!$B$19:$F$19</definedName>
    <definedName name="IL_FINANCIAL" localSheetId="19">'Colorado Health'!$B$19:$F$19</definedName>
    <definedName name="IL_FINANCIAL" localSheetId="20">'Compass (dbs Meritus)'!$B$19:$F$19</definedName>
    <definedName name="IL_FINANCIAL" localSheetId="21">'Confed Life &amp; Annty (CLIAC)'!$B$19:$F$19</definedName>
    <definedName name="IL_FINANCIAL" localSheetId="22">'Confed Life (CLIC)'!$B$19:$F$19</definedName>
    <definedName name="IL_FINANCIAL" localSheetId="23">'Consolidated National'!$B$19:$F$19</definedName>
    <definedName name="IL_FINANCIAL" localSheetId="24">'Consumers Choice'!$B$19:$F$19</definedName>
    <definedName name="IL_FINANCIAL" localSheetId="25">'Consumers Mutual'!$B$19:$F$19</definedName>
    <definedName name="IL_FINANCIAL" localSheetId="26">'Consumers United'!$B$19:$F$19</definedName>
    <definedName name="IL_FINANCIAL" localSheetId="27">CoOportunity!$B$19:$F$19</definedName>
    <definedName name="IL_FINANCIAL" localSheetId="28">'Coordinated Hlth'!$B$19:$F$19</definedName>
    <definedName name="IL_FINANCIAL" localSheetId="29">'Corporate Life'!$B$19:$F$19</definedName>
    <definedName name="IL_FINANCIAL" localSheetId="30">'Diamond Benefits'!$B$19:$F$19</definedName>
    <definedName name="IL_FINANCIAL" localSheetId="31">'EBL Life'!$B$19:$F$19</definedName>
    <definedName name="IL_FINANCIAL" localSheetId="33">ELNY!$B$19:$F$19</definedName>
    <definedName name="IL_FINANCIAL" localSheetId="32">'Executive Life'!$B$19:$F$19</definedName>
    <definedName name="IL_FINANCIAL" localSheetId="34">'Family Guaranty'!$B$19:$F$19</definedName>
    <definedName name="IL_FINANCIAL" localSheetId="35">'Farmers &amp; Ranchers'!$B$19:$F$19</definedName>
    <definedName name="IL_FINANCIAL" localSheetId="36">'Fidelity Bankers'!$B$19:$F$19</definedName>
    <definedName name="IL_FINANCIAL" localSheetId="37">'Fidelity Mutual'!$B$19:$F$19</definedName>
    <definedName name="IL_FINANCIAL" localSheetId="38">'First Capital'!$B$19:$F$19</definedName>
    <definedName name="IL_FINANCIAL" localSheetId="39">'First Natl'!$B$19:$F$19</definedName>
    <definedName name="IL_FINANCIAL" localSheetId="40">'First Natl (Thrnr)'!$B$19:$F$19</definedName>
    <definedName name="IL_FINANCIAL" localSheetId="41">'Franklin American'!$B$19:$F$19</definedName>
    <definedName name="IL_FINANCIAL" localSheetId="42">'Franklin Protective'!$B$19:$F$19</definedName>
    <definedName name="IL_FINANCIAL" localSheetId="43">'Freelancers CO-OP'!$B$19:$F$19</definedName>
    <definedName name="IL_FINANCIAL" localSheetId="44">Freestone!$B$19:$F$19</definedName>
    <definedName name="IL_FINANCIAL" localSheetId="45">'George Washington'!$B$19:$F$19</definedName>
    <definedName name="IL_FINANCIAL" localSheetId="46">'Golden State'!$B$19:$F$19</definedName>
    <definedName name="IL_FINANCIAL" localSheetId="47">'Guarantee Security'!$B$19:$F$19</definedName>
    <definedName name="IL_FINANCIAL" localSheetId="48">HealthyCT!$B$19:$F$19</definedName>
    <definedName name="IL_FINANCIAL" localSheetId="49">Imerica!$B$19:$F$19</definedName>
    <definedName name="IL_FINANCIAL" localSheetId="50">'Inter-American'!$B$19:$F$19</definedName>
    <definedName name="IL_FINANCIAL" localSheetId="51">'International Fin'!$B$19:$F$19</definedName>
    <definedName name="IL_FINANCIAL" localSheetId="52">'Investment Life of America'!$B$19:$F$19</definedName>
    <definedName name="IL_FINANCIAL" localSheetId="53">'Investors Equity'!$B$19:$F$19</definedName>
    <definedName name="IL_FINANCIAL" localSheetId="54">'Kentucky Central'!$B$19:$F$19</definedName>
    <definedName name="IL_FINANCIAL" localSheetId="55">'Land of Lincoln'!$B$19:$F$19</definedName>
    <definedName name="IL_FINANCIAL" localSheetId="56">Legion!$B$19:$F$19</definedName>
    <definedName name="IL_FINANCIAL" localSheetId="57">'Life Health America'!$B$19:$F$19</definedName>
    <definedName name="IL_FINANCIAL" localSheetId="58">'Lincoln Memorial'!$B$19:$F$19</definedName>
    <definedName name="IL_FINANCIAL" localSheetId="59">'London Pac'!$B$19:$F$19</definedName>
    <definedName name="IL_FINANCIAL" localSheetId="60">Lumbermens!$B$19:$F$19</definedName>
    <definedName name="IL_FINANCIAL" localSheetId="61">'Medical Savings'!$B$19:$F$19</definedName>
    <definedName name="IL_FINANCIAL" localSheetId="62">'Memorial Service'!$B$19:$F$19</definedName>
    <definedName name="IL_FINANCIAL" localSheetId="63">Midcontinent!$B$19:$F$19</definedName>
    <definedName name="IL_FINANCIAL" localSheetId="64">'Midwest Life'!$B$19:$F$19</definedName>
    <definedName name="IL_FINANCIAL" localSheetId="65">'Monarch Life'!$B$19:$F$19</definedName>
    <definedName name="IL_FINANCIAL" localSheetId="66">'Mutual Benefit'!$B$19:$F$19</definedName>
    <definedName name="IL_FINANCIAL" localSheetId="67">'Mutual Security'!$B$19:$F$19</definedName>
    <definedName name="IL_FINANCIAL" localSheetId="68">'National Affiliated'!$B$19:$F$19</definedName>
    <definedName name="IL_FINANCIAL" localSheetId="70">'National Heritage'!$B$19:$F$19</definedName>
    <definedName name="IL_FINANCIAL" localSheetId="71">'National States'!$B$19:$F$19</definedName>
    <definedName name="IL_FINANCIAL" localSheetId="69">'Natl American'!$B$19:$F$19</definedName>
    <definedName name="IL_FINANCIAL" localSheetId="72">'New Jersey Life'!$B$19:$F$19</definedName>
    <definedName name="IL_FINANCIAL" localSheetId="74">NNIC!$B$19:$F$19</definedName>
    <definedName name="IL_FINANCIAL" localSheetId="73">'North Carolina Mutual'!$B$19:$F$19</definedName>
    <definedName name="IL_FINANCIAL" localSheetId="75">'Old Colony Life'!$B$19:$F$19</definedName>
    <definedName name="IL_FINANCIAL" localSheetId="76">'Old Faithful'!$B$19:$F$19</definedName>
    <definedName name="IL_FINANCIAL" localSheetId="77">'Pacific Standard'!$B$19:$F$19</definedName>
    <definedName name="IL_FINANCIAL" localSheetId="78">'Pavonia Life'!$B$19:$F$19</definedName>
    <definedName name="IL_FINANCIAL" localSheetId="79">'Pen  Treaty'!$B$19:$F$19</definedName>
    <definedName name="IL_FINANCIAL" localSheetId="80">'Red Rock'!$B$19:$F$19</definedName>
    <definedName name="IL_FINANCIAL" localSheetId="81">Reliance!$B$19:$F$19</definedName>
    <definedName name="IL_FINANCIAL" localSheetId="82">SeeChange!$B$19:$F$19</definedName>
    <definedName name="IL_FINANCIAL" localSheetId="83">'Senior American'!$B$19:$F$19</definedName>
    <definedName name="IL_FINANCIAL" localSheetId="84">Settlers!$B$19:$F$19</definedName>
    <definedName name="IL_FINANCIAL" localSheetId="85">Shenandoah!$B$19:$F$19</definedName>
    <definedName name="IL_FINANCIAL" localSheetId="86">'Southland National Life'!$B$19:$F$19</definedName>
    <definedName name="IL_FINANCIAL" localSheetId="87">'Standard Life IN'!$B$19:$F$19</definedName>
    <definedName name="IL_FINANCIAL" localSheetId="88">'States General'!$B$19:$F$19</definedName>
    <definedName name="IL_FINANCIAL" localSheetId="89">Statesman!$B$19:$F$19</definedName>
    <definedName name="IL_FINANCIAL" localSheetId="90">'Summit National'!$B$19:$F$19</definedName>
    <definedName name="IL_FINANCIAL" localSheetId="91">Supreme!$B$19:$F$19</definedName>
    <definedName name="IL_FINANCIAL" localSheetId="92">Time!$B$19:$F$19</definedName>
    <definedName name="IL_FINANCIAL" localSheetId="106">'Total Summary'!$B$19:$F$19</definedName>
    <definedName name="IL_FINANCIAL" localSheetId="93">Underwriters!$B$19:$F$19</definedName>
    <definedName name="IL_FINANCIAL" localSheetId="94">Unison!$B$19:$F$19</definedName>
    <definedName name="IL_FINANCIAL" localSheetId="95">'United Republic'!$B$19:$F$19</definedName>
    <definedName name="IL_FINANCIAL" localSheetId="96">'Universal Health Care'!$B$19:$F$19</definedName>
    <definedName name="IL_FINANCIAL" localSheetId="97">'Universal Life'!$B$19:$F$19</definedName>
    <definedName name="IL_FINANCIAL" localSheetId="98">Universe!$B$19:$F$19</definedName>
    <definedName name="IL_FINANCIAL" localSheetId="99">Villanova!$B$19:$F$19</definedName>
    <definedName name="IN_FINANCIAL" localSheetId="0">'Alabama Life'!$B$20:$F$20</definedName>
    <definedName name="IN_FINANCIAL" localSheetId="5">'Amer Life Asr'!$B$20:$F$20</definedName>
    <definedName name="IN_FINANCIAL" localSheetId="8">'Amer Std Life Acc'!$B$20:$F$20</definedName>
    <definedName name="IN_FINANCIAL" localSheetId="1">'American Chambers'!$B$20:$F$20</definedName>
    <definedName name="IN_FINANCIAL" localSheetId="2">'American Community'!$B$20:$F$20</definedName>
    <definedName name="IN_FINANCIAL" localSheetId="3">'American Educators'!$B$20:$F$20</definedName>
    <definedName name="IN_FINANCIAL" localSheetId="4">'American Integrity'!$B$20:$F$20</definedName>
    <definedName name="IN_FINANCIAL" localSheetId="6">'American Medical'!$B$20:$F$20</definedName>
    <definedName name="IN_FINANCIAL" localSheetId="7">'American Network'!$B$20:$F$20</definedName>
    <definedName name="IN_FINANCIAL" localSheetId="9">AmerWstrn!$B$20:$F$20</definedName>
    <definedName name="IN_FINANCIAL" localSheetId="10">'AMS Life'!$B$20:$F$20</definedName>
    <definedName name="IN_FINANCIAL" localSheetId="11">'Andrew Jackson'!$B$20:$F$20</definedName>
    <definedName name="IN_FINANCIAL" localSheetId="12">'Bankers Commercial'!$B$20:$F$20</definedName>
    <definedName name="IN_FINANCIAL" localSheetId="13">'Bankers Life'!$B$20:$F$20</definedName>
    <definedName name="IN_FINANCIAL" localSheetId="14">Benicorp!$B$20:$F$20</definedName>
    <definedName name="IN_FINANCIAL" localSheetId="15">'Booker T Washington'!$B$20:$F$20</definedName>
    <definedName name="IN_FINANCIAL" localSheetId="16">Centennial!$B$20:$F$20</definedName>
    <definedName name="IN_FINANCIAL" localSheetId="18">'CO Bankers'!$B$20:$F$20</definedName>
    <definedName name="IN_FINANCIAL" localSheetId="17">'Coastal States'!$B$20:$F$20</definedName>
    <definedName name="IN_FINANCIAL" localSheetId="19">'Colorado Health'!$B$20:$F$20</definedName>
    <definedName name="IN_FINANCIAL" localSheetId="20">'Compass (dbs Meritus)'!$B$20:$F$20</definedName>
    <definedName name="IN_FINANCIAL" localSheetId="21">'Confed Life &amp; Annty (CLIAC)'!$B$20:$F$20</definedName>
    <definedName name="IN_FINANCIAL" localSheetId="22">'Confed Life (CLIC)'!$B$20:$F$20</definedName>
    <definedName name="IN_FINANCIAL" localSheetId="23">'Consolidated National'!$B$20:$F$20</definedName>
    <definedName name="IN_FINANCIAL" localSheetId="24">'Consumers Choice'!$B$20:$F$20</definedName>
    <definedName name="IN_FINANCIAL" localSheetId="25">'Consumers Mutual'!$B$20:$F$20</definedName>
    <definedName name="IN_FINANCIAL" localSheetId="26">'Consumers United'!$B$20:$F$20</definedName>
    <definedName name="IN_FINANCIAL" localSheetId="27">CoOportunity!$B$20:$F$20</definedName>
    <definedName name="IN_FINANCIAL" localSheetId="28">'Coordinated Hlth'!$B$20:$F$20</definedName>
    <definedName name="IN_FINANCIAL" localSheetId="29">'Corporate Life'!$B$20:$F$20</definedName>
    <definedName name="IN_FINANCIAL" localSheetId="30">'Diamond Benefits'!$B$20:$F$20</definedName>
    <definedName name="IN_FINANCIAL" localSheetId="31">'EBL Life'!$B$20:$F$20</definedName>
    <definedName name="IN_FINANCIAL" localSheetId="33">ELNY!$B$20:$F$20</definedName>
    <definedName name="IN_FINANCIAL" localSheetId="32">'Executive Life'!$B$20:$F$20</definedName>
    <definedName name="IN_FINANCIAL" localSheetId="34">'Family Guaranty'!$B$20:$F$20</definedName>
    <definedName name="IN_FINANCIAL" localSheetId="35">'Farmers &amp; Ranchers'!$B$20:$F$20</definedName>
    <definedName name="IN_FINANCIAL" localSheetId="36">'Fidelity Bankers'!$B$20:$F$20</definedName>
    <definedName name="IN_FINANCIAL" localSheetId="37">'Fidelity Mutual'!$B$20:$F$20</definedName>
    <definedName name="IN_FINANCIAL" localSheetId="38">'First Capital'!$B$20:$F$20</definedName>
    <definedName name="IN_FINANCIAL" localSheetId="39">'First Natl'!$B$20:$F$20</definedName>
    <definedName name="IN_FINANCIAL" localSheetId="40">'First Natl (Thrnr)'!$B$20:$F$20</definedName>
    <definedName name="IN_FINANCIAL" localSheetId="41">'Franklin American'!$B$20:$F$20</definedName>
    <definedName name="IN_FINANCIAL" localSheetId="42">'Franklin Protective'!$B$20:$F$20</definedName>
    <definedName name="IN_FINANCIAL" localSheetId="43">'Freelancers CO-OP'!$B$20:$F$20</definedName>
    <definedName name="IN_FINANCIAL" localSheetId="44">Freestone!$B$20:$F$20</definedName>
    <definedName name="IN_FINANCIAL" localSheetId="45">'George Washington'!$B$20:$F$20</definedName>
    <definedName name="IN_FINANCIAL" localSheetId="46">'Golden State'!$B$20:$F$20</definedName>
    <definedName name="IN_FINANCIAL" localSheetId="47">'Guarantee Security'!$B$20:$F$20</definedName>
    <definedName name="IN_FINANCIAL" localSheetId="48">HealthyCT!$B$20:$F$20</definedName>
    <definedName name="IN_FINANCIAL" localSheetId="49">Imerica!$B$20:$F$20</definedName>
    <definedName name="IN_FINANCIAL" localSheetId="50">'Inter-American'!$B$20:$F$20</definedName>
    <definedName name="IN_FINANCIAL" localSheetId="51">'International Fin'!$B$20:$F$20</definedName>
    <definedName name="IN_FINANCIAL" localSheetId="52">'Investment Life of America'!$B$20:$F$20</definedName>
    <definedName name="IN_FINANCIAL" localSheetId="53">'Investors Equity'!$B$20:$F$20</definedName>
    <definedName name="IN_FINANCIAL" localSheetId="54">'Kentucky Central'!$B$20:$F$20</definedName>
    <definedName name="IN_FINANCIAL" localSheetId="55">'Land of Lincoln'!$B$20:$F$20</definedName>
    <definedName name="IN_FINANCIAL" localSheetId="56">Legion!$B$20:$F$20</definedName>
    <definedName name="IN_FINANCIAL" localSheetId="57">'Life Health America'!$B$20:$F$20</definedName>
    <definedName name="IN_FINANCIAL" localSheetId="58">'Lincoln Memorial'!$B$20:$F$20</definedName>
    <definedName name="IN_FINANCIAL" localSheetId="59">'London Pac'!$B$20:$F$20</definedName>
    <definedName name="IN_FINANCIAL" localSheetId="60">Lumbermens!$B$20:$F$20</definedName>
    <definedName name="IN_FINANCIAL" localSheetId="61">'Medical Savings'!$B$20:$F$20</definedName>
    <definedName name="IN_FINANCIAL" localSheetId="62">'Memorial Service'!$B$20:$F$20</definedName>
    <definedName name="IN_FINANCIAL" localSheetId="63">Midcontinent!$B$20:$F$20</definedName>
    <definedName name="IN_FINANCIAL" localSheetId="64">'Midwest Life'!$B$20:$F$20</definedName>
    <definedName name="IN_FINANCIAL" localSheetId="65">'Monarch Life'!$B$20:$F$20</definedName>
    <definedName name="IN_FINANCIAL" localSheetId="66">'Mutual Benefit'!$B$20:$F$20</definedName>
    <definedName name="IN_FINANCIAL" localSheetId="67">'Mutual Security'!$B$20:$F$20</definedName>
    <definedName name="IN_FINANCIAL" localSheetId="68">'National Affiliated'!$B$20:$F$20</definedName>
    <definedName name="IN_FINANCIAL" localSheetId="70">'National Heritage'!$B$20:$F$20</definedName>
    <definedName name="IN_FINANCIAL" localSheetId="71">'National States'!$B$20:$F$20</definedName>
    <definedName name="IN_FINANCIAL" localSheetId="69">'Natl American'!$B$20:$F$20</definedName>
    <definedName name="IN_FINANCIAL" localSheetId="72">'New Jersey Life'!$B$20:$F$20</definedName>
    <definedName name="IN_FINANCIAL" localSheetId="74">NNIC!$B$20:$F$20</definedName>
    <definedName name="IN_FINANCIAL" localSheetId="73">'North Carolina Mutual'!$B$20:$F$20</definedName>
    <definedName name="IN_FINANCIAL" localSheetId="75">'Old Colony Life'!$B$20:$F$20</definedName>
    <definedName name="IN_FINANCIAL" localSheetId="76">'Old Faithful'!$B$20:$F$20</definedName>
    <definedName name="IN_FINANCIAL" localSheetId="77">'Pacific Standard'!$B$20:$F$20</definedName>
    <definedName name="IN_FINANCIAL" localSheetId="78">'Pavonia Life'!$B$20:$F$20</definedName>
    <definedName name="IN_FINANCIAL" localSheetId="79">'Pen  Treaty'!$B$20:$F$20</definedName>
    <definedName name="IN_FINANCIAL" localSheetId="80">'Red Rock'!$B$20:$F$20</definedName>
    <definedName name="IN_FINANCIAL" localSheetId="81">Reliance!$B$20:$F$20</definedName>
    <definedName name="IN_FINANCIAL" localSheetId="82">SeeChange!$B$20:$F$20</definedName>
    <definedName name="IN_FINANCIAL" localSheetId="83">'Senior American'!$B$20:$F$20</definedName>
    <definedName name="IN_FINANCIAL" localSheetId="84">Settlers!$B$20:$F$20</definedName>
    <definedName name="IN_FINANCIAL" localSheetId="85">Shenandoah!$B$20:$F$20</definedName>
    <definedName name="IN_FINANCIAL" localSheetId="86">'Southland National Life'!$B$20:$F$20</definedName>
    <definedName name="IN_FINANCIAL" localSheetId="87">'Standard Life IN'!$B$20:$F$20</definedName>
    <definedName name="IN_FINANCIAL" localSheetId="88">'States General'!$B$20:$F$20</definedName>
    <definedName name="IN_FINANCIAL" localSheetId="89">Statesman!$B$20:$F$20</definedName>
    <definedName name="IN_FINANCIAL" localSheetId="90">'Summit National'!$B$20:$F$20</definedName>
    <definedName name="IN_FINANCIAL" localSheetId="91">Supreme!$B$20:$F$20</definedName>
    <definedName name="IN_FINANCIAL" localSheetId="92">Time!$B$20:$F$20</definedName>
    <definedName name="IN_FINANCIAL" localSheetId="106">'Total Summary'!$B$20:$F$20</definedName>
    <definedName name="IN_FINANCIAL" localSheetId="93">Underwriters!$B$20:$F$20</definedName>
    <definedName name="IN_FINANCIAL" localSheetId="94">Unison!$B$20:$F$20</definedName>
    <definedName name="IN_FINANCIAL" localSheetId="95">'United Republic'!$B$20:$F$20</definedName>
    <definedName name="IN_FINANCIAL" localSheetId="96">'Universal Health Care'!$B$20:$F$20</definedName>
    <definedName name="IN_FINANCIAL" localSheetId="97">'Universal Life'!$B$20:$F$20</definedName>
    <definedName name="IN_FINANCIAL" localSheetId="98">Universe!$B$20:$F$20</definedName>
    <definedName name="IN_FINANCIAL" localSheetId="99">Villanova!$B$20:$F$20</definedName>
    <definedName name="KS_FINANCIAL" localSheetId="0">'Alabama Life'!$B$22:$F$22</definedName>
    <definedName name="KS_FINANCIAL" localSheetId="5">'Amer Life Asr'!$B$22:$F$22</definedName>
    <definedName name="KS_FINANCIAL" localSheetId="8">'Amer Std Life Acc'!$B$22:$F$22</definedName>
    <definedName name="KS_FINANCIAL" localSheetId="1">'American Chambers'!$B$22:$F$22</definedName>
    <definedName name="KS_FINANCIAL" localSheetId="2">'American Community'!$B$22:$F$22</definedName>
    <definedName name="KS_FINANCIAL" localSheetId="3">'American Educators'!$B$22:$F$22</definedName>
    <definedName name="KS_FINANCIAL" localSheetId="4">'American Integrity'!$B$22:$F$22</definedName>
    <definedName name="KS_FINANCIAL" localSheetId="6">'American Medical'!$B$22:$F$22</definedName>
    <definedName name="KS_FINANCIAL" localSheetId="7">'American Network'!$B$22:$F$22</definedName>
    <definedName name="KS_FINANCIAL" localSheetId="9">AmerWstrn!$B$22:$F$22</definedName>
    <definedName name="KS_FINANCIAL" localSheetId="10">'AMS Life'!$B$22:$F$22</definedName>
    <definedName name="KS_FINANCIAL" localSheetId="11">'Andrew Jackson'!$B$22:$F$22</definedName>
    <definedName name="KS_FINANCIAL" localSheetId="12">'Bankers Commercial'!$B$22:$F$22</definedName>
    <definedName name="KS_FINANCIAL" localSheetId="13">'Bankers Life'!$B$22:$F$22</definedName>
    <definedName name="KS_FINANCIAL" localSheetId="14">Benicorp!$B$22:$F$22</definedName>
    <definedName name="KS_FINANCIAL" localSheetId="15">'Booker T Washington'!$B$22:$F$22</definedName>
    <definedName name="KS_FINANCIAL" localSheetId="16">Centennial!$B$22:$F$22</definedName>
    <definedName name="KS_FINANCIAL" localSheetId="18">'CO Bankers'!$B$22:$F$22</definedName>
    <definedName name="KS_FINANCIAL" localSheetId="17">'Coastal States'!$B$22:$F$22</definedName>
    <definedName name="KS_FINANCIAL" localSheetId="19">'Colorado Health'!$B$22:$F$22</definedName>
    <definedName name="KS_FINANCIAL" localSheetId="20">'Compass (dbs Meritus)'!$B$22:$F$22</definedName>
    <definedName name="KS_FINANCIAL" localSheetId="21">'Confed Life &amp; Annty (CLIAC)'!$B$22:$F$22</definedName>
    <definedName name="KS_FINANCIAL" localSheetId="22">'Confed Life (CLIC)'!$B$22:$F$22</definedName>
    <definedName name="KS_FINANCIAL" localSheetId="23">'Consolidated National'!$B$22:$F$22</definedName>
    <definedName name="KS_FINANCIAL" localSheetId="24">'Consumers Choice'!$B$22:$F$22</definedName>
    <definedName name="KS_FINANCIAL" localSheetId="25">'Consumers Mutual'!$B$22:$F$22</definedName>
    <definedName name="KS_FINANCIAL" localSheetId="26">'Consumers United'!$B$22:$F$22</definedName>
    <definedName name="KS_FINANCIAL" localSheetId="27">CoOportunity!$B$22:$F$22</definedName>
    <definedName name="KS_FINANCIAL" localSheetId="28">'Coordinated Hlth'!$B$22:$F$22</definedName>
    <definedName name="KS_FINANCIAL" localSheetId="29">'Corporate Life'!$B$22:$F$22</definedName>
    <definedName name="KS_FINANCIAL" localSheetId="30">'Diamond Benefits'!$B$22:$F$22</definedName>
    <definedName name="KS_FINANCIAL" localSheetId="31">'EBL Life'!$B$22:$F$22</definedName>
    <definedName name="KS_FINANCIAL" localSheetId="33">ELNY!$B$22:$F$22</definedName>
    <definedName name="KS_FINANCIAL" localSheetId="32">'Executive Life'!$B$22:$F$22</definedName>
    <definedName name="KS_FINANCIAL" localSheetId="34">'Family Guaranty'!$B$22:$F$22</definedName>
    <definedName name="KS_FINANCIAL" localSheetId="35">'Farmers &amp; Ranchers'!$B$22:$F$22</definedName>
    <definedName name="KS_FINANCIAL" localSheetId="36">'Fidelity Bankers'!$B$22:$F$22</definedName>
    <definedName name="KS_FINANCIAL" localSheetId="37">'Fidelity Mutual'!$B$22:$F$22</definedName>
    <definedName name="KS_FINANCIAL" localSheetId="38">'First Capital'!$B$22:$F$22</definedName>
    <definedName name="KS_FINANCIAL" localSheetId="39">'First Natl'!$B$22:$F$22</definedName>
    <definedName name="KS_FINANCIAL" localSheetId="40">'First Natl (Thrnr)'!$B$22:$F$22</definedName>
    <definedName name="KS_FINANCIAL" localSheetId="41">'Franklin American'!$B$22:$F$22</definedName>
    <definedName name="KS_FINANCIAL" localSheetId="42">'Franklin Protective'!$B$22:$F$22</definedName>
    <definedName name="KS_FINANCIAL" localSheetId="43">'Freelancers CO-OP'!$B$22:$F$22</definedName>
    <definedName name="KS_FINANCIAL" localSheetId="44">Freestone!$B$22:$F$22</definedName>
    <definedName name="KS_FINANCIAL" localSheetId="45">'George Washington'!$B$22:$F$22</definedName>
    <definedName name="KS_FINANCIAL" localSheetId="46">'Golden State'!$B$22:$F$22</definedName>
    <definedName name="KS_FINANCIAL" localSheetId="47">'Guarantee Security'!$B$22:$F$22</definedName>
    <definedName name="KS_FINANCIAL" localSheetId="48">HealthyCT!$B$22:$F$22</definedName>
    <definedName name="KS_FINANCIAL" localSheetId="49">Imerica!$B$22:$F$22</definedName>
    <definedName name="KS_FINANCIAL" localSheetId="50">'Inter-American'!$B$22:$F$22</definedName>
    <definedName name="KS_FINANCIAL" localSheetId="51">'International Fin'!$B$22:$F$22</definedName>
    <definedName name="KS_FINANCIAL" localSheetId="52">'Investment Life of America'!$B$22:$F$22</definedName>
    <definedName name="KS_FINANCIAL" localSheetId="53">'Investors Equity'!$B$22:$F$22</definedName>
    <definedName name="KS_FINANCIAL" localSheetId="54">'Kentucky Central'!$B$22:$F$22</definedName>
    <definedName name="KS_FINANCIAL" localSheetId="55">'Land of Lincoln'!$B$22:$F$22</definedName>
    <definedName name="KS_FINANCIAL" localSheetId="56">Legion!$B$22:$F$22</definedName>
    <definedName name="KS_FINANCIAL" localSheetId="57">'Life Health America'!$B$22:$F$22</definedName>
    <definedName name="KS_FINANCIAL" localSheetId="58">'Lincoln Memorial'!$B$22:$F$22</definedName>
    <definedName name="KS_FINANCIAL" localSheetId="59">'London Pac'!$B$22:$F$22</definedName>
    <definedName name="KS_FINANCIAL" localSheetId="60">Lumbermens!$B$22:$F$22</definedName>
    <definedName name="KS_FINANCIAL" localSheetId="61">'Medical Savings'!$B$22:$F$22</definedName>
    <definedName name="KS_FINANCIAL" localSheetId="62">'Memorial Service'!$B$22:$F$22</definedName>
    <definedName name="KS_FINANCIAL" localSheetId="63">Midcontinent!$B$22:$F$22</definedName>
    <definedName name="KS_FINANCIAL" localSheetId="64">'Midwest Life'!$B$22:$F$22</definedName>
    <definedName name="KS_FINANCIAL" localSheetId="65">'Monarch Life'!$B$22:$F$22</definedName>
    <definedName name="KS_FINANCIAL" localSheetId="66">'Mutual Benefit'!$B$22:$F$22</definedName>
    <definedName name="KS_FINANCIAL" localSheetId="67">'Mutual Security'!$B$22:$F$22</definedName>
    <definedName name="KS_FINANCIAL" localSheetId="68">'National Affiliated'!$B$22:$F$22</definedName>
    <definedName name="KS_FINANCIAL" localSheetId="70">'National Heritage'!$B$22:$F$22</definedName>
    <definedName name="KS_FINANCIAL" localSheetId="71">'National States'!$B$22:$F$22</definedName>
    <definedName name="KS_FINANCIAL" localSheetId="69">'Natl American'!$B$22:$F$22</definedName>
    <definedName name="KS_FINANCIAL" localSheetId="72">'New Jersey Life'!$B$22:$F$22</definedName>
    <definedName name="KS_FINANCIAL" localSheetId="74">NNIC!$B$22:$F$22</definedName>
    <definedName name="KS_FINANCIAL" localSheetId="73">'North Carolina Mutual'!$B$22:$F$22</definedName>
    <definedName name="KS_FINANCIAL" localSheetId="75">'Old Colony Life'!$B$22:$F$22</definedName>
    <definedName name="KS_FINANCIAL" localSheetId="76">'Old Faithful'!$B$22:$F$22</definedName>
    <definedName name="KS_FINANCIAL" localSheetId="77">'Pacific Standard'!$B$22:$F$22</definedName>
    <definedName name="KS_FINANCIAL" localSheetId="78">'Pavonia Life'!$B$22:$F$22</definedName>
    <definedName name="KS_FINANCIAL" localSheetId="79">'Pen  Treaty'!$B$22:$F$22</definedName>
    <definedName name="KS_FINANCIAL" localSheetId="80">'Red Rock'!$B$22:$F$22</definedName>
    <definedName name="KS_FINANCIAL" localSheetId="81">Reliance!$B$22:$F$22</definedName>
    <definedName name="KS_FINANCIAL" localSheetId="82">SeeChange!$B$22:$F$22</definedName>
    <definedName name="KS_FINANCIAL" localSheetId="83">'Senior American'!$B$22:$F$22</definedName>
    <definedName name="KS_FINANCIAL" localSheetId="84">Settlers!$B$22:$F$22</definedName>
    <definedName name="KS_FINANCIAL" localSheetId="85">Shenandoah!$B$22:$F$22</definedName>
    <definedName name="KS_FINANCIAL" localSheetId="86">'Southland National Life'!$B$22:$F$22</definedName>
    <definedName name="KS_FINANCIAL" localSheetId="87">'Standard Life IN'!$B$22:$F$22</definedName>
    <definedName name="KS_FINANCIAL" localSheetId="88">'States General'!$B$22:$F$22</definedName>
    <definedName name="KS_FINANCIAL" localSheetId="89">Statesman!$B$22:$F$22</definedName>
    <definedName name="KS_FINANCIAL" localSheetId="90">'Summit National'!$B$22:$F$22</definedName>
    <definedName name="KS_FINANCIAL" localSheetId="91">Supreme!$B$22:$F$22</definedName>
    <definedName name="KS_FINANCIAL" localSheetId="92">Time!$B$22:$F$22</definedName>
    <definedName name="KS_FINANCIAL" localSheetId="106">'Total Summary'!$B$22:$F$22</definedName>
    <definedName name="KS_FINANCIAL" localSheetId="93">Underwriters!$B$22:$F$22</definedName>
    <definedName name="KS_FINANCIAL" localSheetId="94">Unison!$B$22:$F$22</definedName>
    <definedName name="KS_FINANCIAL" localSheetId="95">'United Republic'!$B$22:$F$22</definedName>
    <definedName name="KS_FINANCIAL" localSheetId="96">'Universal Health Care'!$B$22:$F$22</definedName>
    <definedName name="KS_FINANCIAL" localSheetId="97">'Universal Life'!$B$22:$F$22</definedName>
    <definedName name="KS_FINANCIAL" localSheetId="98">Universe!$B$22:$F$22</definedName>
    <definedName name="KS_FINANCIAL" localSheetId="99">Villanova!$B$22:$F$22</definedName>
    <definedName name="KY_FINANCIAL" localSheetId="0">'Alabama Life'!$B$23:$F$23</definedName>
    <definedName name="KY_FINANCIAL" localSheetId="5">'Amer Life Asr'!$B$23:$F$23</definedName>
    <definedName name="KY_FINANCIAL" localSheetId="8">'Amer Std Life Acc'!$B$23:$F$23</definedName>
    <definedName name="KY_FINANCIAL" localSheetId="1">'American Chambers'!$B$23:$F$23</definedName>
    <definedName name="KY_FINANCIAL" localSheetId="2">'American Community'!$B$23:$F$23</definedName>
    <definedName name="KY_FINANCIAL" localSheetId="3">'American Educators'!$B$23:$F$23</definedName>
    <definedName name="KY_FINANCIAL" localSheetId="4">'American Integrity'!$B$23:$F$23</definedName>
    <definedName name="KY_FINANCIAL" localSheetId="6">'American Medical'!$B$23:$F$23</definedName>
    <definedName name="KY_FINANCIAL" localSheetId="7">'American Network'!$B$23:$F$23</definedName>
    <definedName name="KY_FINANCIAL" localSheetId="9">AmerWstrn!$B$23:$F$23</definedName>
    <definedName name="KY_FINANCIAL" localSheetId="10">'AMS Life'!$B$23:$F$23</definedName>
    <definedName name="KY_FINANCIAL" localSheetId="11">'Andrew Jackson'!$B$23:$F$23</definedName>
    <definedName name="KY_FINANCIAL" localSheetId="12">'Bankers Commercial'!$B$23:$F$23</definedName>
    <definedName name="KY_FINANCIAL" localSheetId="13">'Bankers Life'!$B$23:$F$23</definedName>
    <definedName name="KY_FINANCIAL" localSheetId="14">Benicorp!$B$23:$F$23</definedName>
    <definedName name="KY_FINANCIAL" localSheetId="15">'Booker T Washington'!$B$23:$F$23</definedName>
    <definedName name="KY_FINANCIAL" localSheetId="16">Centennial!$B$23:$F$23</definedName>
    <definedName name="KY_FINANCIAL" localSheetId="18">'CO Bankers'!$B$23:$F$23</definedName>
    <definedName name="KY_FINANCIAL" localSheetId="17">'Coastal States'!$B$23:$F$23</definedName>
    <definedName name="KY_FINANCIAL" localSheetId="19">'Colorado Health'!$B$23:$F$23</definedName>
    <definedName name="KY_FINANCIAL" localSheetId="20">'Compass (dbs Meritus)'!$B$23:$F$23</definedName>
    <definedName name="KY_FINANCIAL" localSheetId="21">'Confed Life &amp; Annty (CLIAC)'!$B$23:$F$23</definedName>
    <definedName name="KY_FINANCIAL" localSheetId="22">'Confed Life (CLIC)'!$B$23:$F$23</definedName>
    <definedName name="KY_FINANCIAL" localSheetId="23">'Consolidated National'!$B$23:$F$23</definedName>
    <definedName name="KY_FINANCIAL" localSheetId="24">'Consumers Choice'!$B$23:$F$23</definedName>
    <definedName name="KY_FINANCIAL" localSheetId="25">'Consumers Mutual'!$B$23:$F$23</definedName>
    <definedName name="KY_FINANCIAL" localSheetId="26">'Consumers United'!$B$23:$F$23</definedName>
    <definedName name="KY_FINANCIAL" localSheetId="27">CoOportunity!$B$23:$F$23</definedName>
    <definedName name="KY_FINANCIAL" localSheetId="28">'Coordinated Hlth'!$B$23:$F$23</definedName>
    <definedName name="KY_FINANCIAL" localSheetId="29">'Corporate Life'!$B$23:$F$23</definedName>
    <definedName name="KY_FINANCIAL" localSheetId="30">'Diamond Benefits'!$B$23:$F$23</definedName>
    <definedName name="KY_FINANCIAL" localSheetId="31">'EBL Life'!$B$23:$F$23</definedName>
    <definedName name="KY_FINANCIAL" localSheetId="33">ELNY!$B$23:$F$23</definedName>
    <definedName name="KY_FINANCIAL" localSheetId="32">'Executive Life'!$B$23:$F$23</definedName>
    <definedName name="KY_FINANCIAL" localSheetId="34">'Family Guaranty'!$B$23:$F$23</definedName>
    <definedName name="KY_FINANCIAL" localSheetId="35">'Farmers &amp; Ranchers'!$B$23:$F$23</definedName>
    <definedName name="KY_FINANCIAL" localSheetId="36">'Fidelity Bankers'!$B$23:$F$23</definedName>
    <definedName name="KY_FINANCIAL" localSheetId="37">'Fidelity Mutual'!$B$23:$F$23</definedName>
    <definedName name="KY_FINANCIAL" localSheetId="38">'First Capital'!$B$23:$F$23</definedName>
    <definedName name="KY_FINANCIAL" localSheetId="39">'First Natl'!$B$23:$F$23</definedName>
    <definedName name="KY_FINANCIAL" localSheetId="40">'First Natl (Thrnr)'!$B$23:$F$23</definedName>
    <definedName name="KY_FINANCIAL" localSheetId="41">'Franklin American'!$B$23:$F$23</definedName>
    <definedName name="KY_FINANCIAL" localSheetId="42">'Franklin Protective'!$B$23:$F$23</definedName>
    <definedName name="KY_FINANCIAL" localSheetId="43">'Freelancers CO-OP'!$B$23:$F$23</definedName>
    <definedName name="KY_FINANCIAL" localSheetId="44">Freestone!$B$23:$F$23</definedName>
    <definedName name="KY_FINANCIAL" localSheetId="45">'George Washington'!$B$23:$F$23</definedName>
    <definedName name="KY_FINANCIAL" localSheetId="46">'Golden State'!$B$23:$F$23</definedName>
    <definedName name="KY_FINANCIAL" localSheetId="47">'Guarantee Security'!$B$23:$F$23</definedName>
    <definedName name="KY_FINANCIAL" localSheetId="48">HealthyCT!$B$23:$F$23</definedName>
    <definedName name="KY_FINANCIAL" localSheetId="49">Imerica!$B$23:$F$23</definedName>
    <definedName name="KY_FINANCIAL" localSheetId="50">'Inter-American'!$B$23:$F$23</definedName>
    <definedName name="KY_FINANCIAL" localSheetId="51">'International Fin'!$B$23:$F$23</definedName>
    <definedName name="KY_FINANCIAL" localSheetId="52">'Investment Life of America'!$B$23:$F$23</definedName>
    <definedName name="KY_FINANCIAL" localSheetId="53">'Investors Equity'!$B$23:$F$23</definedName>
    <definedName name="KY_FINANCIAL" localSheetId="54">'Kentucky Central'!$B$23:$F$23</definedName>
    <definedName name="KY_FINANCIAL" localSheetId="55">'Land of Lincoln'!$B$23:$F$23</definedName>
    <definedName name="KY_FINANCIAL" localSheetId="56">Legion!$B$23:$F$23</definedName>
    <definedName name="KY_FINANCIAL" localSheetId="57">'Life Health America'!$B$23:$F$23</definedName>
    <definedName name="KY_FINANCIAL" localSheetId="58">'Lincoln Memorial'!$B$23:$F$23</definedName>
    <definedName name="KY_FINANCIAL" localSheetId="59">'London Pac'!$B$23:$F$23</definedName>
    <definedName name="KY_FINANCIAL" localSheetId="60">Lumbermens!$B$23:$F$23</definedName>
    <definedName name="KY_FINANCIAL" localSheetId="61">'Medical Savings'!$B$23:$F$23</definedName>
    <definedName name="KY_FINANCIAL" localSheetId="62">'Memorial Service'!$B$23:$F$23</definedName>
    <definedName name="KY_FINANCIAL" localSheetId="63">Midcontinent!$B$23:$F$23</definedName>
    <definedName name="KY_FINANCIAL" localSheetId="64">'Midwest Life'!$B$23:$F$23</definedName>
    <definedName name="KY_FINANCIAL" localSheetId="65">'Monarch Life'!$B$23:$F$23</definedName>
    <definedName name="KY_FINANCIAL" localSheetId="66">'Mutual Benefit'!$B$23:$F$23</definedName>
    <definedName name="KY_FINANCIAL" localSheetId="67">'Mutual Security'!$B$23:$F$23</definedName>
    <definedName name="KY_FINANCIAL" localSheetId="68">'National Affiliated'!$B$23:$F$23</definedName>
    <definedName name="KY_FINANCIAL" localSheetId="70">'National Heritage'!$B$23:$F$23</definedName>
    <definedName name="KY_FINANCIAL" localSheetId="71">'National States'!$B$23:$F$23</definedName>
    <definedName name="KY_FINANCIAL" localSheetId="69">'Natl American'!$B$23:$F$23</definedName>
    <definedName name="KY_FINANCIAL" localSheetId="72">'New Jersey Life'!$B$23:$F$23</definedName>
    <definedName name="KY_FINANCIAL" localSheetId="74">NNIC!$B$23:$F$23</definedName>
    <definedName name="KY_FINANCIAL" localSheetId="73">'North Carolina Mutual'!$B$23:$F$23</definedName>
    <definedName name="KY_FINANCIAL" localSheetId="75">'Old Colony Life'!$B$23:$F$23</definedName>
    <definedName name="KY_FINANCIAL" localSheetId="76">'Old Faithful'!$B$23:$F$23</definedName>
    <definedName name="KY_FINANCIAL" localSheetId="77">'Pacific Standard'!$B$23:$F$23</definedName>
    <definedName name="KY_FINANCIAL" localSheetId="78">'Pavonia Life'!$B$23:$F$23</definedName>
    <definedName name="KY_FINANCIAL" localSheetId="79">'Pen  Treaty'!$B$23:$F$23</definedName>
    <definedName name="KY_FINANCIAL" localSheetId="80">'Red Rock'!$B$23:$F$23</definedName>
    <definedName name="KY_FINANCIAL" localSheetId="81">Reliance!$B$23:$F$23</definedName>
    <definedName name="KY_FINANCIAL" localSheetId="82">SeeChange!$B$23:$F$23</definedName>
    <definedName name="KY_FINANCIAL" localSheetId="83">'Senior American'!$B$23:$F$23</definedName>
    <definedName name="KY_FINANCIAL" localSheetId="84">Settlers!$B$23:$F$23</definedName>
    <definedName name="KY_FINANCIAL" localSheetId="85">Shenandoah!$B$23:$F$23</definedName>
    <definedName name="KY_FINANCIAL" localSheetId="86">'Southland National Life'!$B$23:$F$23</definedName>
    <definedName name="KY_FINANCIAL" localSheetId="87">'Standard Life IN'!$B$23:$F$23</definedName>
    <definedName name="KY_FINANCIAL" localSheetId="88">'States General'!$B$23:$F$23</definedName>
    <definedName name="KY_FINANCIAL" localSheetId="89">Statesman!$B$23:$F$23</definedName>
    <definedName name="KY_FINANCIAL" localSheetId="90">'Summit National'!$B$23:$F$23</definedName>
    <definedName name="KY_FINANCIAL" localSheetId="91">Supreme!$B$23:$F$23</definedName>
    <definedName name="KY_FINANCIAL" localSheetId="92">Time!$B$23:$F$23</definedName>
    <definedName name="KY_FINANCIAL" localSheetId="106">'Total Summary'!$B$23:$F$23</definedName>
    <definedName name="KY_FINANCIAL" localSheetId="93">Underwriters!$B$23:$F$23</definedName>
    <definedName name="KY_FINANCIAL" localSheetId="94">Unison!$B$23:$F$23</definedName>
    <definedName name="KY_FINANCIAL" localSheetId="95">'United Republic'!$B$23:$F$23</definedName>
    <definedName name="KY_FINANCIAL" localSheetId="96">'Universal Health Care'!$B$23:$F$23</definedName>
    <definedName name="KY_FINANCIAL" localSheetId="97">'Universal Life'!$B$23:$F$23</definedName>
    <definedName name="KY_FINANCIAL" localSheetId="98">Universe!$B$23:$F$23</definedName>
    <definedName name="KY_FINANCIAL" localSheetId="99">Villanova!$B$23:$F$23</definedName>
    <definedName name="LA_FINANCIAL" localSheetId="0">'Alabama Life'!$B$24:$F$24</definedName>
    <definedName name="LA_FINANCIAL" localSheetId="5">'Amer Life Asr'!$B$24:$F$24</definedName>
    <definedName name="LA_FINANCIAL" localSheetId="8">'Amer Std Life Acc'!$B$24:$F$24</definedName>
    <definedName name="LA_FINANCIAL" localSheetId="1">'American Chambers'!$B$24:$F$24</definedName>
    <definedName name="LA_FINANCIAL" localSheetId="2">'American Community'!$B$24:$F$24</definedName>
    <definedName name="LA_FINANCIAL" localSheetId="3">'American Educators'!$B$24:$F$24</definedName>
    <definedName name="LA_FINANCIAL" localSheetId="4">'American Integrity'!$B$24:$F$24</definedName>
    <definedName name="LA_FINANCIAL" localSheetId="6">'American Medical'!$B$24:$F$24</definedName>
    <definedName name="LA_FINANCIAL" localSheetId="7">'American Network'!$B$24:$F$24</definedName>
    <definedName name="LA_FINANCIAL" localSheetId="9">AmerWstrn!$B$24:$F$24</definedName>
    <definedName name="LA_FINANCIAL" localSheetId="10">'AMS Life'!$B$24:$F$24</definedName>
    <definedName name="LA_FINANCIAL" localSheetId="11">'Andrew Jackson'!$B$24:$F$24</definedName>
    <definedName name="LA_FINANCIAL" localSheetId="12">'Bankers Commercial'!$B$24:$F$24</definedName>
    <definedName name="LA_FINANCIAL" localSheetId="13">'Bankers Life'!$B$24:$F$24</definedName>
    <definedName name="LA_FINANCIAL" localSheetId="14">Benicorp!$B$24:$F$24</definedName>
    <definedName name="LA_FINANCIAL" localSheetId="15">'Booker T Washington'!$B$24:$F$24</definedName>
    <definedName name="LA_FINANCIAL" localSheetId="16">Centennial!$B$24:$F$24</definedName>
    <definedName name="LA_FINANCIAL" localSheetId="18">'CO Bankers'!$B$24:$F$24</definedName>
    <definedName name="LA_FINANCIAL" localSheetId="17">'Coastal States'!$B$24:$F$24</definedName>
    <definedName name="LA_FINANCIAL" localSheetId="19">'Colorado Health'!$B$24:$F$24</definedName>
    <definedName name="LA_FINANCIAL" localSheetId="20">'Compass (dbs Meritus)'!$B$24:$F$24</definedName>
    <definedName name="LA_FINANCIAL" localSheetId="21">'Confed Life &amp; Annty (CLIAC)'!$B$24:$F$24</definedName>
    <definedName name="LA_FINANCIAL" localSheetId="22">'Confed Life (CLIC)'!$B$24:$F$24</definedName>
    <definedName name="LA_FINANCIAL" localSheetId="23">'Consolidated National'!$B$24:$F$24</definedName>
    <definedName name="LA_FINANCIAL" localSheetId="24">'Consumers Choice'!$B$24:$F$24</definedName>
    <definedName name="LA_FINANCIAL" localSheetId="25">'Consumers Mutual'!$B$24:$F$24</definedName>
    <definedName name="LA_FINANCIAL" localSheetId="26">'Consumers United'!$B$24:$F$24</definedName>
    <definedName name="LA_FINANCIAL" localSheetId="27">CoOportunity!$B$24:$F$24</definedName>
    <definedName name="LA_FINANCIAL" localSheetId="28">'Coordinated Hlth'!$B$24:$F$24</definedName>
    <definedName name="LA_FINANCIAL" localSheetId="29">'Corporate Life'!$B$24:$F$24</definedName>
    <definedName name="LA_FINANCIAL" localSheetId="30">'Diamond Benefits'!$B$24:$F$24</definedName>
    <definedName name="LA_FINANCIAL" localSheetId="31">'EBL Life'!$B$24:$F$24</definedName>
    <definedName name="LA_FINANCIAL" localSheetId="33">ELNY!$B$24:$F$24</definedName>
    <definedName name="LA_FINANCIAL" localSheetId="32">'Executive Life'!$B$24:$F$24</definedName>
    <definedName name="LA_FINANCIAL" localSheetId="34">'Family Guaranty'!$B$24:$F$24</definedName>
    <definedName name="LA_FINANCIAL" localSheetId="35">'Farmers &amp; Ranchers'!$B$24:$F$24</definedName>
    <definedName name="LA_FINANCIAL" localSheetId="36">'Fidelity Bankers'!$B$24:$F$24</definedName>
    <definedName name="LA_FINANCIAL" localSheetId="37">'Fidelity Mutual'!$B$24:$F$24</definedName>
    <definedName name="LA_FINANCIAL" localSheetId="38">'First Capital'!$B$24:$F$24</definedName>
    <definedName name="LA_FINANCIAL" localSheetId="39">'First Natl'!$B$24:$F$24</definedName>
    <definedName name="LA_FINANCIAL" localSheetId="40">'First Natl (Thrnr)'!$B$24:$F$24</definedName>
    <definedName name="LA_FINANCIAL" localSheetId="41">'Franklin American'!$B$24:$F$24</definedName>
    <definedName name="LA_FINANCIAL" localSheetId="42">'Franklin Protective'!$B$24:$F$24</definedName>
    <definedName name="LA_FINANCIAL" localSheetId="43">'Freelancers CO-OP'!$B$24:$F$24</definedName>
    <definedName name="LA_FINANCIAL" localSheetId="44">Freestone!$B$24:$F$24</definedName>
    <definedName name="LA_FINANCIAL" localSheetId="45">'George Washington'!$B$24:$F$24</definedName>
    <definedName name="LA_FINANCIAL" localSheetId="46">'Golden State'!$B$24:$F$24</definedName>
    <definedName name="LA_FINANCIAL" localSheetId="47">'Guarantee Security'!$B$24:$F$24</definedName>
    <definedName name="LA_FINANCIAL" localSheetId="48">HealthyCT!$B$24:$F$24</definedName>
    <definedName name="LA_FINANCIAL" localSheetId="49">Imerica!$B$24:$F$24</definedName>
    <definedName name="LA_FINANCIAL" localSheetId="50">'Inter-American'!$B$24:$F$24</definedName>
    <definedName name="LA_FINANCIAL" localSheetId="51">'International Fin'!$B$24:$F$24</definedName>
    <definedName name="LA_FINANCIAL" localSheetId="52">'Investment Life of America'!$B$24:$F$24</definedName>
    <definedName name="LA_FINANCIAL" localSheetId="53">'Investors Equity'!$B$24:$F$24</definedName>
    <definedName name="LA_FINANCIAL" localSheetId="54">'Kentucky Central'!$B$24:$F$24</definedName>
    <definedName name="LA_FINANCIAL" localSheetId="55">'Land of Lincoln'!$B$24:$F$24</definedName>
    <definedName name="LA_FINANCIAL" localSheetId="56">Legion!$B$24:$F$24</definedName>
    <definedName name="LA_FINANCIAL" localSheetId="57">'Life Health America'!$B$24:$F$24</definedName>
    <definedName name="LA_FINANCIAL" localSheetId="58">'Lincoln Memorial'!$B$24:$F$24</definedName>
    <definedName name="LA_FINANCIAL" localSheetId="59">'London Pac'!$B$24:$F$24</definedName>
    <definedName name="LA_FINANCIAL" localSheetId="60">Lumbermens!$B$24:$F$24</definedName>
    <definedName name="LA_FINANCIAL" localSheetId="61">'Medical Savings'!$B$24:$F$24</definedName>
    <definedName name="LA_FINANCIAL" localSheetId="62">'Memorial Service'!$B$24:$F$24</definedName>
    <definedName name="LA_FINANCIAL" localSheetId="63">Midcontinent!$B$24:$F$24</definedName>
    <definedName name="LA_FINANCIAL" localSheetId="64">'Midwest Life'!$B$24:$F$24</definedName>
    <definedName name="LA_FINANCIAL" localSheetId="65">'Monarch Life'!$B$24:$F$24</definedName>
    <definedName name="LA_FINANCIAL" localSheetId="66">'Mutual Benefit'!$B$24:$F$24</definedName>
    <definedName name="LA_FINANCIAL" localSheetId="67">'Mutual Security'!$B$24:$F$24</definedName>
    <definedName name="LA_FINANCIAL" localSheetId="68">'National Affiliated'!$B$24:$F$24</definedName>
    <definedName name="LA_FINANCIAL" localSheetId="70">'National Heritage'!$B$24:$F$24</definedName>
    <definedName name="LA_FINANCIAL" localSheetId="71">'National States'!$B$24:$F$24</definedName>
    <definedName name="LA_FINANCIAL" localSheetId="69">'Natl American'!$B$24:$F$24</definedName>
    <definedName name="LA_FINANCIAL" localSheetId="72">'New Jersey Life'!$B$24:$F$24</definedName>
    <definedName name="LA_FINANCIAL" localSheetId="74">NNIC!$B$24:$F$24</definedName>
    <definedName name="LA_FINANCIAL" localSheetId="73">'North Carolina Mutual'!$B$24:$F$24</definedName>
    <definedName name="LA_FINANCIAL" localSheetId="75">'Old Colony Life'!$B$24:$F$24</definedName>
    <definedName name="LA_FINANCIAL" localSheetId="76">'Old Faithful'!$B$24:$F$24</definedName>
    <definedName name="LA_FINANCIAL" localSheetId="77">'Pacific Standard'!$B$24:$F$24</definedName>
    <definedName name="LA_FINANCIAL" localSheetId="78">'Pavonia Life'!$B$24:$F$24</definedName>
    <definedName name="LA_FINANCIAL" localSheetId="79">'Pen  Treaty'!$B$24:$F$24</definedName>
    <definedName name="LA_FINANCIAL" localSheetId="80">'Red Rock'!$B$24:$F$24</definedName>
    <definedName name="LA_FINANCIAL" localSheetId="81">Reliance!$B$24:$F$24</definedName>
    <definedName name="LA_FINANCIAL" localSheetId="82">SeeChange!$B$24:$F$24</definedName>
    <definedName name="LA_FINANCIAL" localSheetId="83">'Senior American'!$B$24:$F$24</definedName>
    <definedName name="LA_FINANCIAL" localSheetId="84">Settlers!$B$24:$F$24</definedName>
    <definedName name="LA_FINANCIAL" localSheetId="85">Shenandoah!$B$24:$F$24</definedName>
    <definedName name="LA_FINANCIAL" localSheetId="86">'Southland National Life'!$B$24:$F$24</definedName>
    <definedName name="LA_FINANCIAL" localSheetId="87">'Standard Life IN'!$B$24:$F$24</definedName>
    <definedName name="LA_FINANCIAL" localSheetId="88">'States General'!$B$24:$F$24</definedName>
    <definedName name="LA_FINANCIAL" localSheetId="89">Statesman!$B$24:$F$24</definedName>
    <definedName name="LA_FINANCIAL" localSheetId="90">'Summit National'!$B$24:$F$24</definedName>
    <definedName name="LA_FINANCIAL" localSheetId="91">Supreme!$B$24:$F$24</definedName>
    <definedName name="LA_FINANCIAL" localSheetId="92">Time!$B$24:$F$24</definedName>
    <definedName name="LA_FINANCIAL" localSheetId="106">'Total Summary'!$B$24:$F$24</definedName>
    <definedName name="LA_FINANCIAL" localSheetId="93">Underwriters!$B$24:$F$24</definedName>
    <definedName name="LA_FINANCIAL" localSheetId="94">Unison!$B$24:$F$24</definedName>
    <definedName name="LA_FINANCIAL" localSheetId="95">'United Republic'!$B$24:$F$24</definedName>
    <definedName name="LA_FINANCIAL" localSheetId="96">'Universal Health Care'!$B$24:$F$24</definedName>
    <definedName name="LA_FINANCIAL" localSheetId="97">'Universal Life'!$B$24:$F$24</definedName>
    <definedName name="LA_FINANCIAL" localSheetId="98">Universe!$B$24:$F$24</definedName>
    <definedName name="LA_FINANCIAL" localSheetId="99">Villanova!$B$24:$F$24</definedName>
    <definedName name="LESS_FINANCIAL" localSheetId="0">'Alabama Life'!$J$19:$J$24</definedName>
    <definedName name="LESS_FINANCIAL" localSheetId="5">'Amer Life Asr'!$J$19:$J$24</definedName>
    <definedName name="LESS_FINANCIAL" localSheetId="8">'Amer Std Life Acc'!$J$19:$J$24</definedName>
    <definedName name="LESS_FINANCIAL" localSheetId="1">'American Chambers'!$J$19:$J$24</definedName>
    <definedName name="LESS_FINANCIAL" localSheetId="2">'American Community'!$J$19:$J$24</definedName>
    <definedName name="LESS_FINANCIAL" localSheetId="3">'American Educators'!$J$19:$J$24</definedName>
    <definedName name="LESS_FINANCIAL" localSheetId="4">'American Integrity'!$J$19:$J$24</definedName>
    <definedName name="LESS_FINANCIAL" localSheetId="6">'American Medical'!$J$19:$J$24</definedName>
    <definedName name="LESS_FINANCIAL" localSheetId="7">'American Network'!$J$19:$J$24</definedName>
    <definedName name="LESS_FINANCIAL" localSheetId="9">AmerWstrn!$J$19:$J$24</definedName>
    <definedName name="LESS_FINANCIAL" localSheetId="10">'AMS Life'!$J$19:$J$24</definedName>
    <definedName name="LESS_FINANCIAL" localSheetId="11">'Andrew Jackson'!$J$19:$J$24</definedName>
    <definedName name="LESS_FINANCIAL" localSheetId="12">'Bankers Commercial'!$J$19:$J$24</definedName>
    <definedName name="LESS_FINANCIAL" localSheetId="13">'Bankers Life'!$J$19:$J$24</definedName>
    <definedName name="LESS_FINANCIAL" localSheetId="14">Benicorp!$J$19:$J$24</definedName>
    <definedName name="LESS_FINANCIAL" localSheetId="15">'Booker T Washington'!$J$19:$J$24</definedName>
    <definedName name="LESS_FINANCIAL" localSheetId="16">Centennial!$J$19:$J$24</definedName>
    <definedName name="LESS_FINANCIAL" localSheetId="18">'CO Bankers'!$J$19:$J$24</definedName>
    <definedName name="LESS_FINANCIAL" localSheetId="17">'Coastal States'!$J$19:$J$24</definedName>
    <definedName name="LESS_FINANCIAL" localSheetId="19">'Colorado Health'!$J$19:$J$24</definedName>
    <definedName name="LESS_FINANCIAL" localSheetId="20">'Compass (dbs Meritus)'!$J$19:$J$24</definedName>
    <definedName name="LESS_FINANCIAL" localSheetId="21">'Confed Life &amp; Annty (CLIAC)'!$J$19:$J$24</definedName>
    <definedName name="LESS_FINANCIAL" localSheetId="22">'Confed Life (CLIC)'!$J$19:$J$24</definedName>
    <definedName name="LESS_FINANCIAL" localSheetId="23">'Consolidated National'!$J$19:$J$24</definedName>
    <definedName name="LESS_FINANCIAL" localSheetId="24">'Consumers Choice'!$J$19:$J$24</definedName>
    <definedName name="LESS_FINANCIAL" localSheetId="25">'Consumers Mutual'!$J$19:$J$24</definedName>
    <definedName name="LESS_FINANCIAL" localSheetId="26">'Consumers United'!$J$19:$J$24</definedName>
    <definedName name="LESS_FINANCIAL" localSheetId="27">CoOportunity!$J$19:$J$24</definedName>
    <definedName name="LESS_FINANCIAL" localSheetId="28">'Coordinated Hlth'!$J$19:$J$24</definedName>
    <definedName name="LESS_FINANCIAL" localSheetId="29">'Corporate Life'!$J$19:$J$24</definedName>
    <definedName name="LESS_FINANCIAL" localSheetId="30">'Diamond Benefits'!$J$19:$J$24</definedName>
    <definedName name="LESS_FINANCIAL" localSheetId="31">'EBL Life'!$J$19:$J$24</definedName>
    <definedName name="LESS_FINANCIAL" localSheetId="33">ELNY!$J$19:$J$24</definedName>
    <definedName name="LESS_FINANCIAL" localSheetId="32">'Executive Life'!$J$19:$J$24</definedName>
    <definedName name="LESS_FINANCIAL" localSheetId="34">'Family Guaranty'!$J$19:$J$24</definedName>
    <definedName name="LESS_FINANCIAL" localSheetId="35">'Farmers &amp; Ranchers'!$J$19:$J$24</definedName>
    <definedName name="LESS_FINANCIAL" localSheetId="36">'Fidelity Bankers'!$J$19:$J$24</definedName>
    <definedName name="LESS_FINANCIAL" localSheetId="37">'Fidelity Mutual'!$J$19:$J$24</definedName>
    <definedName name="LESS_FINANCIAL" localSheetId="38">'First Capital'!$J$19:$J$24</definedName>
    <definedName name="LESS_FINANCIAL" localSheetId="39">'First Natl'!$J$19:$J$24</definedName>
    <definedName name="LESS_FINANCIAL" localSheetId="40">'First Natl (Thrnr)'!$J$19:$J$24</definedName>
    <definedName name="LESS_FINANCIAL" localSheetId="41">'Franklin American'!$J$19:$J$24</definedName>
    <definedName name="LESS_FINANCIAL" localSheetId="42">'Franklin Protective'!$J$19:$J$24</definedName>
    <definedName name="LESS_FINANCIAL" localSheetId="43">'Freelancers CO-OP'!$J$19:$J$24</definedName>
    <definedName name="LESS_FINANCIAL" localSheetId="44">Freestone!$J$19:$J$24</definedName>
    <definedName name="LESS_FINANCIAL" localSheetId="45">'George Washington'!$J$19:$J$24</definedName>
    <definedName name="LESS_FINANCIAL" localSheetId="46">'Golden State'!$J$19:$J$24</definedName>
    <definedName name="LESS_FINANCIAL" localSheetId="47">'Guarantee Security'!$J$19:$J$24</definedName>
    <definedName name="LESS_FINANCIAL" localSheetId="48">HealthyCT!$J$19:$J$24</definedName>
    <definedName name="LESS_FINANCIAL" localSheetId="49">Imerica!$J$19:$J$24</definedName>
    <definedName name="LESS_FINANCIAL" localSheetId="50">'Inter-American'!$J$19:$J$24</definedName>
    <definedName name="LESS_FINANCIAL" localSheetId="51">'International Fin'!$J$19:$J$24</definedName>
    <definedName name="LESS_FINANCIAL" localSheetId="52">'Investment Life of America'!$J$19:$J$24</definedName>
    <definedName name="LESS_FINANCIAL" localSheetId="53">'Investors Equity'!$J$19:$J$24</definedName>
    <definedName name="LESS_FINANCIAL" localSheetId="54">'Kentucky Central'!$J$19:$J$24</definedName>
    <definedName name="LESS_FINANCIAL" localSheetId="55">'Land of Lincoln'!$J$19:$J$24</definedName>
    <definedName name="LESS_FINANCIAL" localSheetId="56">Legion!$J$19:$J$24</definedName>
    <definedName name="LESS_FINANCIAL" localSheetId="57">'Life Health America'!$J$19:$J$24</definedName>
    <definedName name="LESS_FINANCIAL" localSheetId="58">'Lincoln Memorial'!$J$19:$J$24</definedName>
    <definedName name="LESS_FINANCIAL" localSheetId="59">'London Pac'!$J$19:$J$24</definedName>
    <definedName name="LESS_FINANCIAL" localSheetId="60">Lumbermens!$J$19:$J$24</definedName>
    <definedName name="LESS_FINANCIAL" localSheetId="61">'Medical Savings'!$J$19:$J$24</definedName>
    <definedName name="LESS_FINANCIAL" localSheetId="62">'Memorial Service'!$J$19:$J$24</definedName>
    <definedName name="LESS_FINANCIAL" localSheetId="63">Midcontinent!$J$19:$J$24</definedName>
    <definedName name="LESS_FINANCIAL" localSheetId="64">'Midwest Life'!$J$19:$J$24</definedName>
    <definedName name="LESS_FINANCIAL" localSheetId="65">'Monarch Life'!$J$19:$J$24</definedName>
    <definedName name="LESS_FINANCIAL" localSheetId="66">'Mutual Benefit'!$J$19:$J$24</definedName>
    <definedName name="LESS_FINANCIAL" localSheetId="67">'Mutual Security'!$J$19:$J$24</definedName>
    <definedName name="LESS_FINANCIAL" localSheetId="68">'National Affiliated'!$J$19:$J$24</definedName>
    <definedName name="LESS_FINANCIAL" localSheetId="70">'National Heritage'!$J$19:$J$24</definedName>
    <definedName name="LESS_FINANCIAL" localSheetId="71">'National States'!$J$19:$J$24</definedName>
    <definedName name="LESS_FINANCIAL" localSheetId="69">'Natl American'!$J$19:$J$24</definedName>
    <definedName name="LESS_FINANCIAL" localSheetId="72">'New Jersey Life'!$J$19:$J$24</definedName>
    <definedName name="LESS_FINANCIAL" localSheetId="74">NNIC!$J$19:$J$24</definedName>
    <definedName name="LESS_FINANCIAL" localSheetId="73">'North Carolina Mutual'!$J$19:$J$24</definedName>
    <definedName name="LESS_FINANCIAL" localSheetId="75">'Old Colony Life'!$J$19:$J$24</definedName>
    <definedName name="LESS_FINANCIAL" localSheetId="76">'Old Faithful'!$J$19:$J$24</definedName>
    <definedName name="LESS_FINANCIAL" localSheetId="77">'Pacific Standard'!$J$19:$J$24</definedName>
    <definedName name="LESS_FINANCIAL" localSheetId="78">'Pavonia Life'!$J$19:$J$24</definedName>
    <definedName name="LESS_FINANCIAL" localSheetId="79">'Pen  Treaty'!$J$19:$J$24</definedName>
    <definedName name="LESS_FINANCIAL" localSheetId="80">'Red Rock'!$J$19:$J$24</definedName>
    <definedName name="LESS_FINANCIAL" localSheetId="81">Reliance!$J$19:$J$24</definedName>
    <definedName name="LESS_FINANCIAL" localSheetId="82">SeeChange!$J$19:$J$24</definedName>
    <definedName name="LESS_FINANCIAL" localSheetId="83">'Senior American'!$J$19:$J$24</definedName>
    <definedName name="LESS_FINANCIAL" localSheetId="84">Settlers!$J$19:$J$24</definedName>
    <definedName name="LESS_FINANCIAL" localSheetId="85">Shenandoah!$J$19:$J$24</definedName>
    <definedName name="LESS_FINANCIAL" localSheetId="86">'Southland National Life'!$J$19:$J$24</definedName>
    <definedName name="LESS_FINANCIAL" localSheetId="87">'Standard Life IN'!$J$19:$J$24</definedName>
    <definedName name="LESS_FINANCIAL" localSheetId="88">'States General'!$J$19:$J$24</definedName>
    <definedName name="LESS_FINANCIAL" localSheetId="89">Statesman!$J$19:$J$24</definedName>
    <definedName name="LESS_FINANCIAL" localSheetId="90">'Summit National'!$J$19:$J$24</definedName>
    <definedName name="LESS_FINANCIAL" localSheetId="91">Supreme!$J$19:$J$24</definedName>
    <definedName name="LESS_FINANCIAL" localSheetId="92">Time!$J$19:$J$24</definedName>
    <definedName name="LESS_FINANCIAL" localSheetId="93">Underwriters!$J$19:$J$24</definedName>
    <definedName name="LESS_FINANCIAL" localSheetId="94">Unison!$J$19:$J$24</definedName>
    <definedName name="LESS_FINANCIAL" localSheetId="95">'United Republic'!$J$19:$J$24</definedName>
    <definedName name="LESS_FINANCIAL" localSheetId="96">'Universal Health Care'!$J$19:$J$24</definedName>
    <definedName name="LESS_FINANCIAL" localSheetId="97">'Universal Life'!$J$19:$J$24</definedName>
    <definedName name="LESS_FINANCIAL" localSheetId="98">Universe!$J$19:$J$24</definedName>
    <definedName name="LESS_FINANCIAL" localSheetId="99">Villanova!$J$19:$J$24</definedName>
    <definedName name="LIFE" localSheetId="0">'Alabama Life'!$B$6:$B$59</definedName>
    <definedName name="LIFE" localSheetId="5">'Amer Life Asr'!$B$6:$B$59</definedName>
    <definedName name="LIFE" localSheetId="8">'Amer Std Life Acc'!$B$6:$B$59</definedName>
    <definedName name="LIFE" localSheetId="1">'American Chambers'!$B$6:$B$59</definedName>
    <definedName name="LIFE" localSheetId="2">'American Community'!$B$6:$B$59</definedName>
    <definedName name="LIFE" localSheetId="3">'American Educators'!$B$6:$B$59</definedName>
    <definedName name="LIFE" localSheetId="4">'American Integrity'!$B$6:$B$59</definedName>
    <definedName name="LIFE" localSheetId="6">'American Medical'!$B$6:$B$59</definedName>
    <definedName name="LIFE" localSheetId="7">'American Network'!$B$6:$B$59</definedName>
    <definedName name="LIFE" localSheetId="9">AmerWstrn!$B$6:$B$59</definedName>
    <definedName name="LIFE" localSheetId="10">'AMS Life'!$B$6:$B$59</definedName>
    <definedName name="LIFE" localSheetId="11">'Andrew Jackson'!$B$6:$B$59</definedName>
    <definedName name="LIFE" localSheetId="12">'Bankers Commercial'!$B$6:$B$59</definedName>
    <definedName name="LIFE" localSheetId="13">'Bankers Life'!$B$6:$B$59</definedName>
    <definedName name="LIFE" localSheetId="14">Benicorp!$B$6:$B$59</definedName>
    <definedName name="LIFE" localSheetId="15">'Booker T Washington'!$B$6:$B$59</definedName>
    <definedName name="LIFE" localSheetId="16">Centennial!$B$6:$B$59</definedName>
    <definedName name="LIFE" localSheetId="103">'Closed Summary'!$B$6:$B$58</definedName>
    <definedName name="LIFE" localSheetId="18">'CO Bankers'!$B$6:$B$59</definedName>
    <definedName name="LIFE" localSheetId="17">'Coastal States'!$B$6:$B$59</definedName>
    <definedName name="LIFE" localSheetId="19">'Colorado Health'!$B$6:$B$59</definedName>
    <definedName name="LIFE" localSheetId="20">'Compass (dbs Meritus)'!$B$6:$B$59</definedName>
    <definedName name="LIFE" localSheetId="21">'Confed Life &amp; Annty (CLIAC)'!$B$6:$B$59</definedName>
    <definedName name="LIFE" localSheetId="22">'Confed Life (CLIC)'!$B$6:$B$59</definedName>
    <definedName name="LIFE" localSheetId="23">'Consolidated National'!$B$6:$B$59</definedName>
    <definedName name="LIFE" localSheetId="24">'Consumers Choice'!$B$6:$B$59</definedName>
    <definedName name="LIFE" localSheetId="25">'Consumers Mutual'!$B$6:$B$59</definedName>
    <definedName name="LIFE" localSheetId="26">'Consumers United'!$B$6:$B$59</definedName>
    <definedName name="LIFE" localSheetId="27">CoOportunity!$B$6:$B$59</definedName>
    <definedName name="LIFE" localSheetId="28">'Coordinated Hlth'!$B$6:$B$59</definedName>
    <definedName name="LIFE" localSheetId="29">'Corporate Life'!$B$6:$B$59</definedName>
    <definedName name="LIFE" localSheetId="30">'Diamond Benefits'!$B$6:$B$59</definedName>
    <definedName name="LIFE" localSheetId="31">'EBL Life'!$B$6:$B$59</definedName>
    <definedName name="LIFE" localSheetId="33">ELNY!$B$6:$B$59</definedName>
    <definedName name="LIFE" localSheetId="104">'Estate Closed Summary'!$B$6:$B$58</definedName>
    <definedName name="LIFE" localSheetId="32">'Executive Life'!$B$6:$B$59</definedName>
    <definedName name="LIFE" localSheetId="34">'Family Guaranty'!$B$6:$B$59</definedName>
    <definedName name="LIFE" localSheetId="35">'Farmers &amp; Ranchers'!$B$6:$B$59</definedName>
    <definedName name="LIFE" localSheetId="36">'Fidelity Bankers'!$B$6:$B$59</definedName>
    <definedName name="LIFE" localSheetId="37">'Fidelity Mutual'!$B$6:$B$59</definedName>
    <definedName name="LIFE" localSheetId="38">'First Capital'!$B$6:$B$59</definedName>
    <definedName name="LIFE" localSheetId="39">'First Natl'!$B$6:$B$59</definedName>
    <definedName name="LIFE" localSheetId="40">'First Natl (Thrnr)'!$B$6:$B$59</definedName>
    <definedName name="LIFE" localSheetId="41">'Franklin American'!$B$6:$B$59</definedName>
    <definedName name="LIFE" localSheetId="42">'Franklin Protective'!$B$6:$B$59</definedName>
    <definedName name="LIFE" localSheetId="43">'Freelancers CO-OP'!$B$6:$B$59</definedName>
    <definedName name="LIFE" localSheetId="44">Freestone!$B$6:$B$59</definedName>
    <definedName name="LIFE" localSheetId="45">'George Washington'!$B$6:$B$59</definedName>
    <definedName name="LIFE" localSheetId="46">'Golden State'!$B$6:$B$59</definedName>
    <definedName name="LIFE" localSheetId="47">'Guarantee Security'!$B$6:$B$59</definedName>
    <definedName name="LIFE" localSheetId="48">HealthyCT!$B$6:$B$59</definedName>
    <definedName name="LIFE" localSheetId="49">Imerica!$B$6:$B$59</definedName>
    <definedName name="LIFE" localSheetId="50">'Inter-American'!$B$6:$B$59</definedName>
    <definedName name="LIFE" localSheetId="51">'International Fin'!$B$6:$B$59</definedName>
    <definedName name="LIFE" localSheetId="52">'Investment Life of America'!$B$6:$B$59</definedName>
    <definedName name="LIFE" localSheetId="53">'Investors Equity'!$B$6:$B$59</definedName>
    <definedName name="LIFE" localSheetId="54">'Kentucky Central'!$B$6:$B$59</definedName>
    <definedName name="LIFE" localSheetId="55">'Land of Lincoln'!$B$6:$B$59</definedName>
    <definedName name="LIFE" localSheetId="56">Legion!$B$6:$B$59</definedName>
    <definedName name="LIFE" localSheetId="57">'Life Health America'!$B$6:$B$59</definedName>
    <definedName name="LIFE" localSheetId="58">'Lincoln Memorial'!$B$6:$B$59</definedName>
    <definedName name="LIFE" localSheetId="59">'London Pac'!$B$6:$B$59</definedName>
    <definedName name="LIFE" localSheetId="60">Lumbermens!$B$6:$B$59</definedName>
    <definedName name="LIFE" localSheetId="61">'Medical Savings'!$B$6:$B$59</definedName>
    <definedName name="LIFE" localSheetId="62">'Memorial Service'!$B$6:$B$59</definedName>
    <definedName name="LIFE" localSheetId="63">Midcontinent!$B$6:$B$59</definedName>
    <definedName name="LIFE" localSheetId="64">'Midwest Life'!$B$6:$B$59</definedName>
    <definedName name="LIFE" localSheetId="65">'Monarch Life'!$B$6:$B$59</definedName>
    <definedName name="LIFE" localSheetId="66">'Mutual Benefit'!$B$6:$B$59</definedName>
    <definedName name="LIFE" localSheetId="67">'Mutual Security'!$B$6:$B$59</definedName>
    <definedName name="LIFE" localSheetId="68">'National Affiliated'!$B$6:$B$59</definedName>
    <definedName name="LIFE" localSheetId="70">'National Heritage'!$B$6:$B$59</definedName>
    <definedName name="LIFE" localSheetId="71">'National States'!$B$6:$B$59</definedName>
    <definedName name="LIFE" localSheetId="69">'Natl American'!$B$6:$B$59</definedName>
    <definedName name="LIFE" localSheetId="72">'New Jersey Life'!$B$6:$B$59</definedName>
    <definedName name="LIFE" localSheetId="74">NNIC!$B$6:$B$59</definedName>
    <definedName name="LIFE" localSheetId="73">'North Carolina Mutual'!$B$6:$B$59</definedName>
    <definedName name="LIFE" localSheetId="75">'Old Colony Life'!$B$6:$B$59</definedName>
    <definedName name="LIFE" localSheetId="76">'Old Faithful'!$B$6:$B$59</definedName>
    <definedName name="LIFE" localSheetId="102">'Open Summary'!$B$6:$B$58</definedName>
    <definedName name="LIFE" localSheetId="77">'Pacific Standard'!$B$6:$B$59</definedName>
    <definedName name="LIFE" localSheetId="78">'Pavonia Life'!$B$6:$B$59</definedName>
    <definedName name="LIFE" localSheetId="79">'Pen  Treaty'!$B$6:$B$59</definedName>
    <definedName name="LIFE" localSheetId="101">'Pre-Liquidation Summary'!$B$6:$B$58</definedName>
    <definedName name="LIFE" localSheetId="80">'Red Rock'!$B$6:$B$59</definedName>
    <definedName name="LIFE" localSheetId="105">'Released from Oversight Summary'!$B$6:$B$58</definedName>
    <definedName name="LIFE" localSheetId="81">Reliance!$B$6:$B$59</definedName>
    <definedName name="LIFE" localSheetId="82">SeeChange!$B$6:$B$59</definedName>
    <definedName name="LIFE" localSheetId="83">'Senior American'!$B$6:$B$59</definedName>
    <definedName name="LIFE" localSheetId="84">Settlers!$B$6:$B$59</definedName>
    <definedName name="LIFE" localSheetId="85">Shenandoah!$B$6:$B$59</definedName>
    <definedName name="LIFE" localSheetId="86">'Southland National Life'!$B$6:$B$59</definedName>
    <definedName name="LIFE" localSheetId="87">'Standard Life IN'!$B$6:$B$59</definedName>
    <definedName name="LIFE" localSheetId="88">'States General'!$B$6:$B$59</definedName>
    <definedName name="LIFE" localSheetId="89">Statesman!$B$6:$B$59</definedName>
    <definedName name="LIFE" localSheetId="90">'Summit National'!$B$6:$B$59</definedName>
    <definedName name="LIFE" localSheetId="91">Supreme!$B$6:$B$59</definedName>
    <definedName name="LIFE" localSheetId="92">Time!$B$6:$B$59</definedName>
    <definedName name="LIFE" localSheetId="106">'Total Summary'!$B$6:$B$59</definedName>
    <definedName name="LIFE" localSheetId="93">Underwriters!$B$6:$B$59</definedName>
    <definedName name="LIFE" localSheetId="94">Unison!$B$6:$B$59</definedName>
    <definedName name="LIFE" localSheetId="95">'United Republic'!$B$6:$B$59</definedName>
    <definedName name="LIFE" localSheetId="96">'Universal Health Care'!$B$6:$B$59</definedName>
    <definedName name="LIFE" localSheetId="97">'Universal Life'!$B$6:$B$59</definedName>
    <definedName name="LIFE" localSheetId="98">Universe!$B$6:$B$59</definedName>
    <definedName name="LIFE" localSheetId="99">Villanova!$B$6:$B$59</definedName>
    <definedName name="LIFE_CALLED" localSheetId="0">'Alabama Life'!$L$6:$L$58</definedName>
    <definedName name="LIFE_CALLED" localSheetId="5">'Amer Life Asr'!$L$6:$L$58</definedName>
    <definedName name="LIFE_CALLED" localSheetId="8">'Amer Std Life Acc'!$L$6:$L$58</definedName>
    <definedName name="LIFE_CALLED" localSheetId="1">'American Chambers'!$L$6:$L$58</definedName>
    <definedName name="LIFE_CALLED" localSheetId="2">'American Community'!$L$6:$L$58</definedName>
    <definedName name="LIFE_CALLED" localSheetId="3">'American Educators'!$L$6:$L$58</definedName>
    <definedName name="LIFE_CALLED" localSheetId="4">'American Integrity'!$L$6:$L$58</definedName>
    <definedName name="LIFE_CALLED" localSheetId="6">'American Medical'!$L$6:$L$58</definedName>
    <definedName name="LIFE_CALLED" localSheetId="7">'American Network'!$L$6:$L$58</definedName>
    <definedName name="LIFE_CALLED" localSheetId="9">AmerWstrn!$L$6:$L$58</definedName>
    <definedName name="LIFE_CALLED" localSheetId="10">'AMS Life'!$L$6:$L$58</definedName>
    <definedName name="LIFE_CALLED" localSheetId="11">'Andrew Jackson'!$L$6:$L$58</definedName>
    <definedName name="LIFE_CALLED" localSheetId="12">'Bankers Commercial'!$L$6:$L$58</definedName>
    <definedName name="LIFE_CALLED" localSheetId="13">'Bankers Life'!$L$6:$L$58</definedName>
    <definedName name="LIFE_CALLED" localSheetId="14">Benicorp!$L$6:$L$58</definedName>
    <definedName name="LIFE_CALLED" localSheetId="15">'Booker T Washington'!$L$6:$L$58</definedName>
    <definedName name="LIFE_CALLED" localSheetId="16">Centennial!$L$6:$L$58</definedName>
    <definedName name="LIFE_CALLED" localSheetId="18">'CO Bankers'!$L$6:$L$58</definedName>
    <definedName name="LIFE_CALLED" localSheetId="17">'Coastal States'!$L$6:$L$58</definedName>
    <definedName name="LIFE_CALLED" localSheetId="19">'Colorado Health'!$L$6:$L$58</definedName>
    <definedName name="LIFE_CALLED" localSheetId="20">'Compass (dbs Meritus)'!$L$6:$L$58</definedName>
    <definedName name="LIFE_CALLED" localSheetId="21">'Confed Life &amp; Annty (CLIAC)'!$L$6:$L$58</definedName>
    <definedName name="LIFE_CALLED" localSheetId="22">'Confed Life (CLIC)'!$L$6:$L$58</definedName>
    <definedName name="LIFE_CALLED" localSheetId="23">'Consolidated National'!$L$6:$L$58</definedName>
    <definedName name="LIFE_CALLED" localSheetId="24">'Consumers Choice'!$L$6:$L$58</definedName>
    <definedName name="LIFE_CALLED" localSheetId="25">'Consumers Mutual'!$L$6:$L$58</definedName>
    <definedName name="LIFE_CALLED" localSheetId="26">'Consumers United'!$L$6:$L$58</definedName>
    <definedName name="LIFE_CALLED" localSheetId="27">CoOportunity!$L$6:$L$58</definedName>
    <definedName name="LIFE_CALLED" localSheetId="28">'Coordinated Hlth'!$L$6:$L$58</definedName>
    <definedName name="LIFE_CALLED" localSheetId="29">'Corporate Life'!$L$6:$L$58</definedName>
    <definedName name="LIFE_CALLED" localSheetId="30">'Diamond Benefits'!$L$6:$L$58</definedName>
    <definedName name="LIFE_CALLED" localSheetId="31">'EBL Life'!$L$6:$L$58</definedName>
    <definedName name="LIFE_CALLED" localSheetId="33">ELNY!$L$6:$L$58</definedName>
    <definedName name="LIFE_CALLED" localSheetId="32">'Executive Life'!$L$6:$L$58</definedName>
    <definedName name="LIFE_CALLED" localSheetId="34">'Family Guaranty'!$L$6:$L$58</definedName>
    <definedName name="LIFE_CALLED" localSheetId="35">'Farmers &amp; Ranchers'!$L$6:$L$58</definedName>
    <definedName name="LIFE_CALLED" localSheetId="36">'Fidelity Bankers'!$L$6:$L$58</definedName>
    <definedName name="LIFE_CALLED" localSheetId="37">'Fidelity Mutual'!$L$6:$L$58</definedName>
    <definedName name="LIFE_CALLED" localSheetId="38">'First Capital'!$L$6:$L$58</definedName>
    <definedName name="LIFE_CALLED" localSheetId="39">'First Natl'!$L$6:$L$58</definedName>
    <definedName name="LIFE_CALLED" localSheetId="40">'First Natl (Thrnr)'!$L$6:$L$58</definedName>
    <definedName name="LIFE_CALLED" localSheetId="41">'Franklin American'!$L$6:$L$58</definedName>
    <definedName name="LIFE_CALLED" localSheetId="42">'Franklin Protective'!$L$6:$L$58</definedName>
    <definedName name="LIFE_CALLED" localSheetId="43">'Freelancers CO-OP'!$L$6:$L$58</definedName>
    <definedName name="LIFE_CALLED" localSheetId="44">Freestone!$L$6:$L$58</definedName>
    <definedName name="LIFE_CALLED" localSheetId="45">'George Washington'!$L$6:$L$58</definedName>
    <definedName name="LIFE_CALLED" localSheetId="46">'Golden State'!$L$6:$L$58</definedName>
    <definedName name="LIFE_CALLED" localSheetId="47">'Guarantee Security'!$L$6:$L$58</definedName>
    <definedName name="LIFE_CALLED" localSheetId="48">HealthyCT!$L$6:$L$58</definedName>
    <definedName name="LIFE_CALLED" localSheetId="49">Imerica!$L$6:$L$58</definedName>
    <definedName name="LIFE_CALLED" localSheetId="50">'Inter-American'!$L$6:$L$58</definedName>
    <definedName name="LIFE_CALLED" localSheetId="51">'International Fin'!$L$6:$L$58</definedName>
    <definedName name="LIFE_CALLED" localSheetId="52">'Investment Life of America'!$L$6:$L$58</definedName>
    <definedName name="LIFE_CALLED" localSheetId="53">'Investors Equity'!$L$6:$L$58</definedName>
    <definedName name="LIFE_CALLED" localSheetId="54">'Kentucky Central'!$L$6:$L$58</definedName>
    <definedName name="LIFE_CALLED" localSheetId="55">'Land of Lincoln'!$L$6:$L$58</definedName>
    <definedName name="LIFE_CALLED" localSheetId="56">Legion!$L$6:$L$58</definedName>
    <definedName name="LIFE_CALLED" localSheetId="57">'Life Health America'!$L$6:$L$58</definedName>
    <definedName name="LIFE_CALLED" localSheetId="58">'Lincoln Memorial'!$L$6:$L$58</definedName>
    <definedName name="LIFE_CALLED" localSheetId="59">'London Pac'!$L$6:$L$58</definedName>
    <definedName name="LIFE_CALLED" localSheetId="60">Lumbermens!$L$6:$L$58</definedName>
    <definedName name="LIFE_CALLED" localSheetId="61">'Medical Savings'!$L$6:$L$58</definedName>
    <definedName name="LIFE_CALLED" localSheetId="62">'Memorial Service'!$L$6:$L$58</definedName>
    <definedName name="LIFE_CALLED" localSheetId="63">Midcontinent!$L$6:$L$58</definedName>
    <definedName name="LIFE_CALLED" localSheetId="64">'Midwest Life'!$L$6:$L$58</definedName>
    <definedName name="LIFE_CALLED" localSheetId="65">'Monarch Life'!$L$6:$L$58</definedName>
    <definedName name="LIFE_CALLED" localSheetId="66">'Mutual Benefit'!$L$6:$L$58</definedName>
    <definedName name="LIFE_CALLED" localSheetId="67">'Mutual Security'!$L$6:$L$58</definedName>
    <definedName name="LIFE_CALLED" localSheetId="68">'National Affiliated'!$L$6:$L$58</definedName>
    <definedName name="LIFE_CALLED" localSheetId="70">'National Heritage'!$L$6:$L$58</definedName>
    <definedName name="LIFE_CALLED" localSheetId="71">'National States'!$L$6:$L$58</definedName>
    <definedName name="LIFE_CALLED" localSheetId="69">'Natl American'!$L$6:$L$58</definedName>
    <definedName name="LIFE_CALLED" localSheetId="72">'New Jersey Life'!$L$6:$L$58</definedName>
    <definedName name="LIFE_CALLED" localSheetId="74">NNIC!$L$6:$L$58</definedName>
    <definedName name="LIFE_CALLED" localSheetId="73">'North Carolina Mutual'!$L$6:$L$58</definedName>
    <definedName name="LIFE_CALLED" localSheetId="75">'Old Colony Life'!$L$6:$L$58</definedName>
    <definedName name="LIFE_CALLED" localSheetId="76">'Old Faithful'!$L$6:$L$58</definedName>
    <definedName name="LIFE_CALLED" localSheetId="77">'Pacific Standard'!$L$6:$L$58</definedName>
    <definedName name="LIFE_CALLED" localSheetId="78">'Pavonia Life'!$L$6:$L$58</definedName>
    <definedName name="LIFE_CALLED" localSheetId="79">'Pen  Treaty'!$L$6:$L$58</definedName>
    <definedName name="LIFE_CALLED" localSheetId="80">'Red Rock'!$L$6:$L$58</definedName>
    <definedName name="LIFE_CALLED" localSheetId="81">Reliance!$L$6:$L$58</definedName>
    <definedName name="LIFE_CALLED" localSheetId="82">SeeChange!$L$6:$L$58</definedName>
    <definedName name="LIFE_CALLED" localSheetId="83">'Senior American'!$L$6:$L$58</definedName>
    <definedName name="LIFE_CALLED" localSheetId="84">Settlers!$L$6:$L$58</definedName>
    <definedName name="LIFE_CALLED" localSheetId="85">Shenandoah!$L$6:$L$58</definedName>
    <definedName name="LIFE_CALLED" localSheetId="86">'Southland National Life'!$L$6:$L$58</definedName>
    <definedName name="LIFE_CALLED" localSheetId="87">'Standard Life IN'!$L$6:$L$58</definedName>
    <definedName name="LIFE_CALLED" localSheetId="88">'States General'!$L$6:$L$58</definedName>
    <definedName name="LIFE_CALLED" localSheetId="89">Statesman!$L$6:$L$58</definedName>
    <definedName name="LIFE_CALLED" localSheetId="90">'Summit National'!$L$6:$L$58</definedName>
    <definedName name="LIFE_CALLED" localSheetId="91">Supreme!$L$6:$L$58</definedName>
    <definedName name="LIFE_CALLED" localSheetId="92">Time!$L$6:$L$58</definedName>
    <definedName name="LIFE_CALLED" localSheetId="106">'Total Summary'!$I$6:$I$59</definedName>
    <definedName name="LIFE_CALLED" localSheetId="93">Underwriters!$L$6:$L$58</definedName>
    <definedName name="LIFE_CALLED" localSheetId="94">Unison!$L$6:$L$58</definedName>
    <definedName name="LIFE_CALLED" localSheetId="95">'United Republic'!$L$6:$L$58</definedName>
    <definedName name="LIFE_CALLED" localSheetId="96">'Universal Health Care'!$L$6:$L$58</definedName>
    <definedName name="LIFE_CALLED" localSheetId="97">'Universal Life'!$L$6:$L$58</definedName>
    <definedName name="LIFE_CALLED" localSheetId="98">Universe!$L$6:$L$58</definedName>
    <definedName name="LIFE_CALLED" localSheetId="99">Villanova!$L$6:$L$58</definedName>
    <definedName name="LIFE_REFUNDED" localSheetId="0">'Alabama Life'!$M$6:$M$58</definedName>
    <definedName name="LIFE_REFUNDED" localSheetId="5">'Amer Life Asr'!$M$6:$M$58</definedName>
    <definedName name="LIFE_REFUNDED" localSheetId="8">'Amer Std Life Acc'!$M$6:$M$58</definedName>
    <definedName name="LIFE_REFUNDED" localSheetId="1">'American Chambers'!$M$6:$M$58</definedName>
    <definedName name="LIFE_REFUNDED" localSheetId="2">'American Community'!$M$6:$M$58</definedName>
    <definedName name="LIFE_REFUNDED" localSheetId="3">'American Educators'!$M$6:$M$58</definedName>
    <definedName name="LIFE_REFUNDED" localSheetId="4">'American Integrity'!$M$6:$M$58</definedName>
    <definedName name="LIFE_REFUNDED" localSheetId="6">'American Medical'!$M$6:$M$58</definedName>
    <definedName name="LIFE_REFUNDED" localSheetId="7">'American Network'!$M$6:$M$58</definedName>
    <definedName name="LIFE_REFUNDED" localSheetId="9">AmerWstrn!$M$6:$M$58</definedName>
    <definedName name="LIFE_REFUNDED" localSheetId="10">'AMS Life'!$M$6:$M$58</definedName>
    <definedName name="LIFE_REFUNDED" localSheetId="11">'Andrew Jackson'!$M$6:$M$58</definedName>
    <definedName name="LIFE_REFUNDED" localSheetId="12">'Bankers Commercial'!$M$6:$M$58</definedName>
    <definedName name="LIFE_REFUNDED" localSheetId="13">'Bankers Life'!$M$6:$M$58</definedName>
    <definedName name="LIFE_REFUNDED" localSheetId="14">Benicorp!$M$6:$M$58</definedName>
    <definedName name="LIFE_REFUNDED" localSheetId="15">'Booker T Washington'!$M$6:$M$58</definedName>
    <definedName name="LIFE_REFUNDED" localSheetId="16">Centennial!$M$6:$M$58</definedName>
    <definedName name="LIFE_REFUNDED" localSheetId="18">'CO Bankers'!$M$6:$M$58</definedName>
    <definedName name="LIFE_REFUNDED" localSheetId="17">'Coastal States'!$M$6:$M$58</definedName>
    <definedName name="LIFE_REFUNDED" localSheetId="19">'Colorado Health'!$M$6:$M$58</definedName>
    <definedName name="LIFE_REFUNDED" localSheetId="20">'Compass (dbs Meritus)'!$M$6:$M$58</definedName>
    <definedName name="LIFE_REFUNDED" localSheetId="21">'Confed Life &amp; Annty (CLIAC)'!$M$6:$M$58</definedName>
    <definedName name="LIFE_REFUNDED" localSheetId="22">'Confed Life (CLIC)'!$M$6:$M$58</definedName>
    <definedName name="LIFE_REFUNDED" localSheetId="23">'Consolidated National'!$M$6:$M$58</definedName>
    <definedName name="LIFE_REFUNDED" localSheetId="24">'Consumers Choice'!$M$6:$M$58</definedName>
    <definedName name="LIFE_REFUNDED" localSheetId="25">'Consumers Mutual'!$M$6:$M$58</definedName>
    <definedName name="LIFE_REFUNDED" localSheetId="26">'Consumers United'!$M$6:$M$58</definedName>
    <definedName name="LIFE_REFUNDED" localSheetId="27">CoOportunity!$M$6:$M$58</definedName>
    <definedName name="LIFE_REFUNDED" localSheetId="28">'Coordinated Hlth'!$M$6:$M$58</definedName>
    <definedName name="LIFE_REFUNDED" localSheetId="29">'Corporate Life'!$M$6:$M$58</definedName>
    <definedName name="LIFE_REFUNDED" localSheetId="30">'Diamond Benefits'!$M$6:$M$58</definedName>
    <definedName name="LIFE_REFUNDED" localSheetId="31">'EBL Life'!$M$6:$M$58</definedName>
    <definedName name="LIFE_REFUNDED" localSheetId="33">ELNY!$M$6:$M$58</definedName>
    <definedName name="LIFE_REFUNDED" localSheetId="32">'Executive Life'!$M$6:$M$58</definedName>
    <definedName name="LIFE_REFUNDED" localSheetId="34">'Family Guaranty'!$M$6:$M$58</definedName>
    <definedName name="LIFE_REFUNDED" localSheetId="35">'Farmers &amp; Ranchers'!$M$6:$M$58</definedName>
    <definedName name="LIFE_REFUNDED" localSheetId="36">'Fidelity Bankers'!$M$6:$M$58</definedName>
    <definedName name="LIFE_REFUNDED" localSheetId="37">'Fidelity Mutual'!$M$6:$M$58</definedName>
    <definedName name="LIFE_REFUNDED" localSheetId="38">'First Capital'!$M$6:$M$58</definedName>
    <definedName name="LIFE_REFUNDED" localSheetId="39">'First Natl'!$M$6:$M$58</definedName>
    <definedName name="LIFE_REFUNDED" localSheetId="40">'First Natl (Thrnr)'!$M$6:$M$58</definedName>
    <definedName name="LIFE_REFUNDED" localSheetId="41">'Franklin American'!$M$6:$M$58</definedName>
    <definedName name="LIFE_REFUNDED" localSheetId="42">'Franklin Protective'!$M$6:$M$58</definedName>
    <definedName name="LIFE_REFUNDED" localSheetId="43">'Freelancers CO-OP'!$M$6:$M$58</definedName>
    <definedName name="LIFE_REFUNDED" localSheetId="44">Freestone!$M$6:$M$58</definedName>
    <definedName name="LIFE_REFUNDED" localSheetId="45">'George Washington'!$M$6:$M$58</definedName>
    <definedName name="LIFE_REFUNDED" localSheetId="46">'Golden State'!$M$6:$M$58</definedName>
    <definedName name="LIFE_REFUNDED" localSheetId="47">'Guarantee Security'!$M$6:$M$58</definedName>
    <definedName name="LIFE_REFUNDED" localSheetId="48">HealthyCT!$M$6:$M$58</definedName>
    <definedName name="LIFE_REFUNDED" localSheetId="49">Imerica!$M$6:$M$58</definedName>
    <definedName name="LIFE_REFUNDED" localSheetId="50">'Inter-American'!$M$6:$M$58</definedName>
    <definedName name="LIFE_REFUNDED" localSheetId="51">'International Fin'!$M$6:$M$58</definedName>
    <definedName name="LIFE_REFUNDED" localSheetId="52">'Investment Life of America'!$M$6:$M$58</definedName>
    <definedName name="LIFE_REFUNDED" localSheetId="53">'Investors Equity'!$M$6:$M$58</definedName>
    <definedName name="LIFE_REFUNDED" localSheetId="54">'Kentucky Central'!$M$6:$M$58</definedName>
    <definedName name="LIFE_REFUNDED" localSheetId="55">'Land of Lincoln'!$M$6:$M$58</definedName>
    <definedName name="LIFE_REFUNDED" localSheetId="56">Legion!$M$6:$M$58</definedName>
    <definedName name="LIFE_REFUNDED" localSheetId="57">'Life Health America'!$M$6:$M$58</definedName>
    <definedName name="LIFE_REFUNDED" localSheetId="58">'Lincoln Memorial'!$M$6:$M$58</definedName>
    <definedName name="LIFE_REFUNDED" localSheetId="59">'London Pac'!$M$6:$M$58</definedName>
    <definedName name="LIFE_REFUNDED" localSheetId="60">Lumbermens!$M$6:$M$58</definedName>
    <definedName name="LIFE_REFUNDED" localSheetId="61">'Medical Savings'!$M$6:$M$58</definedName>
    <definedName name="LIFE_REFUNDED" localSheetId="62">'Memorial Service'!$M$6:$M$58</definedName>
    <definedName name="LIFE_REFUNDED" localSheetId="63">Midcontinent!$M$6:$M$58</definedName>
    <definedName name="LIFE_REFUNDED" localSheetId="64">'Midwest Life'!$M$6:$M$58</definedName>
    <definedName name="LIFE_REFUNDED" localSheetId="65">'Monarch Life'!$M$6:$M$58</definedName>
    <definedName name="LIFE_REFUNDED" localSheetId="66">'Mutual Benefit'!$M$6:$M$58</definedName>
    <definedName name="LIFE_REFUNDED" localSheetId="67">'Mutual Security'!$M$6:$M$58</definedName>
    <definedName name="LIFE_REFUNDED" localSheetId="68">'National Affiliated'!$M$6:$M$58</definedName>
    <definedName name="LIFE_REFUNDED" localSheetId="70">'National Heritage'!$M$6:$M$58</definedName>
    <definedName name="LIFE_REFUNDED" localSheetId="71">'National States'!$M$6:$M$58</definedName>
    <definedName name="LIFE_REFUNDED" localSheetId="69">'Natl American'!$M$6:$M$58</definedName>
    <definedName name="LIFE_REFUNDED" localSheetId="72">'New Jersey Life'!$M$6:$M$58</definedName>
    <definedName name="LIFE_REFUNDED" localSheetId="74">NNIC!$M$6:$M$58</definedName>
    <definedName name="LIFE_REFUNDED" localSheetId="73">'North Carolina Mutual'!$M$6:$M$58</definedName>
    <definedName name="LIFE_REFUNDED" localSheetId="75">'Old Colony Life'!$M$6:$M$58</definedName>
    <definedName name="LIFE_REFUNDED" localSheetId="76">'Old Faithful'!$M$6:$M$58</definedName>
    <definedName name="LIFE_REFUNDED" localSheetId="77">'Pacific Standard'!$M$6:$M$58</definedName>
    <definedName name="LIFE_REFUNDED" localSheetId="78">'Pavonia Life'!$M$6:$M$58</definedName>
    <definedName name="LIFE_REFUNDED" localSheetId="79">'Pen  Treaty'!$M$6:$M$58</definedName>
    <definedName name="LIFE_REFUNDED" localSheetId="80">'Red Rock'!$M$6:$M$58</definedName>
    <definedName name="LIFE_REFUNDED" localSheetId="81">Reliance!$M$6:$M$58</definedName>
    <definedName name="LIFE_REFUNDED" localSheetId="82">SeeChange!$M$6:$M$58</definedName>
    <definedName name="LIFE_REFUNDED" localSheetId="83">'Senior American'!$M$6:$M$58</definedName>
    <definedName name="LIFE_REFUNDED" localSheetId="84">Settlers!$M$6:$M$58</definedName>
    <definedName name="LIFE_REFUNDED" localSheetId="85">Shenandoah!$M$6:$M$58</definedName>
    <definedName name="LIFE_REFUNDED" localSheetId="86">'Southland National Life'!$M$6:$M$58</definedName>
    <definedName name="LIFE_REFUNDED" localSheetId="87">'Standard Life IN'!$M$6:$M$58</definedName>
    <definedName name="LIFE_REFUNDED" localSheetId="88">'States General'!$M$6:$M$58</definedName>
    <definedName name="LIFE_REFUNDED" localSheetId="89">Statesman!$M$6:$M$58</definedName>
    <definedName name="LIFE_REFUNDED" localSheetId="90">'Summit National'!$M$6:$M$58</definedName>
    <definedName name="LIFE_REFUNDED" localSheetId="91">Supreme!$M$6:$M$58</definedName>
    <definedName name="LIFE_REFUNDED" localSheetId="92">Time!$M$6:$M$58</definedName>
    <definedName name="LIFE_REFUNDED" localSheetId="106">'Total Summary'!$J$6:$J$59</definedName>
    <definedName name="LIFE_REFUNDED" localSheetId="93">Underwriters!$M$6:$M$58</definedName>
    <definedName name="LIFE_REFUNDED" localSheetId="94">Unison!$M$6:$M$58</definedName>
    <definedName name="LIFE_REFUNDED" localSheetId="95">'United Republic'!$M$6:$M$58</definedName>
    <definedName name="LIFE_REFUNDED" localSheetId="96">'Universal Health Care'!$M$6:$M$58</definedName>
    <definedName name="LIFE_REFUNDED" localSheetId="97">'Universal Life'!$M$6:$M$58</definedName>
    <definedName name="LIFE_REFUNDED" localSheetId="98">Universe!$M$6:$M$58</definedName>
    <definedName name="LIFE_REFUNDED" localSheetId="99">Villanova!$M$6:$M$58</definedName>
    <definedName name="LTC" localSheetId="0">'Alabama Life'!$F$6:$F$59</definedName>
    <definedName name="LTC" localSheetId="5">'Amer Life Asr'!$F$6:$F$59</definedName>
    <definedName name="LTC" localSheetId="8">'Amer Std Life Acc'!$F$6:$F$59</definedName>
    <definedName name="LTC" localSheetId="1">'American Chambers'!$F$6:$F$59</definedName>
    <definedName name="LTC" localSheetId="2">'American Community'!$F$6:$F$59</definedName>
    <definedName name="LTC" localSheetId="3">'American Educators'!$F$6:$F$59</definedName>
    <definedName name="LTC" localSheetId="4">'American Integrity'!$F$6:$F$59</definedName>
    <definedName name="LTC" localSheetId="6">'American Medical'!$F$6:$F$59</definedName>
    <definedName name="LTC" localSheetId="7">'American Network'!$F$6:$F$59</definedName>
    <definedName name="LTC" localSheetId="9">AmerWstrn!$F$6:$F$59</definedName>
    <definedName name="LTC" localSheetId="10">'AMS Life'!$F$6:$F$59</definedName>
    <definedName name="LTC" localSheetId="11">'Andrew Jackson'!$F$6:$F$59</definedName>
    <definedName name="LTC" localSheetId="12">'Bankers Commercial'!$F$6:$F$59</definedName>
    <definedName name="LTC" localSheetId="13">'Bankers Life'!$F$6:$F$59</definedName>
    <definedName name="LTC" localSheetId="14">Benicorp!$F$6:$F$59</definedName>
    <definedName name="LTC" localSheetId="15">'Booker T Washington'!$F$6:$F$59</definedName>
    <definedName name="LTC" localSheetId="16">Centennial!$F$6:$F$59</definedName>
    <definedName name="LTC" localSheetId="103">'Closed Summary'!$F$6:$F$58</definedName>
    <definedName name="LTC" localSheetId="18">'CO Bankers'!$F$6:$F$59</definedName>
    <definedName name="LTC" localSheetId="17">'Coastal States'!$F$6:$F$59</definedName>
    <definedName name="LTC" localSheetId="19">'Colorado Health'!$F$6:$F$59</definedName>
    <definedName name="LTC" localSheetId="20">'Compass (dbs Meritus)'!$F$6:$F$59</definedName>
    <definedName name="LTC" localSheetId="21">'Confed Life &amp; Annty (CLIAC)'!$F$6:$F$59</definedName>
    <definedName name="LTC" localSheetId="22">'Confed Life (CLIC)'!$F$6:$F$59</definedName>
    <definedName name="LTC" localSheetId="23">'Consolidated National'!$F$6:$F$59</definedName>
    <definedName name="LTC" localSheetId="24">'Consumers Choice'!$F$6:$F$59</definedName>
    <definedName name="LTC" localSheetId="25">'Consumers Mutual'!$F$6:$F$59</definedName>
    <definedName name="LTC" localSheetId="26">'Consumers United'!$F$6:$F$59</definedName>
    <definedName name="LTC" localSheetId="27">CoOportunity!$F$6:$F$59</definedName>
    <definedName name="LTC" localSheetId="28">'Coordinated Hlth'!$F$6:$F$59</definedName>
    <definedName name="LTC" localSheetId="29">'Corporate Life'!$F$6:$F$59</definedName>
    <definedName name="LTC" localSheetId="30">'Diamond Benefits'!$F$6:$F$59</definedName>
    <definedName name="LTC" localSheetId="31">'EBL Life'!$F$6:$F$59</definedName>
    <definedName name="LTC" localSheetId="33">ELNY!$F$6:$F$59</definedName>
    <definedName name="LTC" localSheetId="104">'Estate Closed Summary'!$F$6:$F$58</definedName>
    <definedName name="LTC" localSheetId="32">'Executive Life'!$F$6:$F$59</definedName>
    <definedName name="LTC" localSheetId="34">'Family Guaranty'!$F$6:$F$59</definedName>
    <definedName name="LTC" localSheetId="35">'Farmers &amp; Ranchers'!$F$6:$F$59</definedName>
    <definedName name="LTC" localSheetId="36">'Fidelity Bankers'!$F$6:$F$59</definedName>
    <definedName name="LTC" localSheetId="37">'Fidelity Mutual'!$F$6:$F$59</definedName>
    <definedName name="LTC" localSheetId="38">'First Capital'!$F$6:$F$59</definedName>
    <definedName name="LTC" localSheetId="39">'First Natl'!$F$6:$F$59</definedName>
    <definedName name="LTC" localSheetId="40">'First Natl (Thrnr)'!$F$6:$F$59</definedName>
    <definedName name="LTC" localSheetId="41">'Franklin American'!$F$6:$F$59</definedName>
    <definedName name="LTC" localSheetId="42">'Franklin Protective'!$F$6:$F$59</definedName>
    <definedName name="LTC" localSheetId="43">'Freelancers CO-OP'!$F$6:$F$59</definedName>
    <definedName name="LTC" localSheetId="44">Freestone!$F$6:$F$59</definedName>
    <definedName name="LTC" localSheetId="45">'George Washington'!$F$6:$F$59</definedName>
    <definedName name="LTC" localSheetId="46">'Golden State'!$F$6:$F$59</definedName>
    <definedName name="LTC" localSheetId="47">'Guarantee Security'!$F$6:$F$59</definedName>
    <definedName name="LTC" localSheetId="48">HealthyCT!$F$6:$F$59</definedName>
    <definedName name="LTC" localSheetId="49">Imerica!$F$6:$F$59</definedName>
    <definedName name="LTC" localSheetId="50">'Inter-American'!$F$6:$F$59</definedName>
    <definedName name="LTC" localSheetId="51">'International Fin'!$F$6:$F$59</definedName>
    <definedName name="LTC" localSheetId="52">'Investment Life of America'!$F$6:$F$59</definedName>
    <definedName name="LTC" localSheetId="53">'Investors Equity'!$F$6:$F$59</definedName>
    <definedName name="LTC" localSheetId="54">'Kentucky Central'!$F$6:$F$59</definedName>
    <definedName name="LTC" localSheetId="55">'Land of Lincoln'!$F$6:$F$59</definedName>
    <definedName name="LTC" localSheetId="56">Legion!$F$6:$F$59</definedName>
    <definedName name="LTC" localSheetId="57">'Life Health America'!$F$6:$F$59</definedName>
    <definedName name="LTC" localSheetId="58">'Lincoln Memorial'!$F$6:$F$59</definedName>
    <definedName name="LTC" localSheetId="59">'London Pac'!$F$6:$F$59</definedName>
    <definedName name="LTC" localSheetId="60">Lumbermens!$F$6:$F$59</definedName>
    <definedName name="LTC" localSheetId="61">'Medical Savings'!$F$6:$F$59</definedName>
    <definedName name="LTC" localSheetId="62">'Memorial Service'!$F$6:$F$59</definedName>
    <definedName name="LTC" localSheetId="63">Midcontinent!$F$6:$F$59</definedName>
    <definedName name="LTC" localSheetId="64">'Midwest Life'!$F$6:$F$59</definedName>
    <definedName name="LTC" localSheetId="65">'Monarch Life'!$F$6:$F$59</definedName>
    <definedName name="LTC" localSheetId="66">'Mutual Benefit'!$F$6:$F$59</definedName>
    <definedName name="LTC" localSheetId="67">'Mutual Security'!$F$6:$F$59</definedName>
    <definedName name="LTC" localSheetId="68">'National Affiliated'!$F$6:$F$59</definedName>
    <definedName name="LTC" localSheetId="70">'National Heritage'!$F$6:$F$59</definedName>
    <definedName name="LTC" localSheetId="71">'National States'!$F$6:$F$59</definedName>
    <definedName name="LTC" localSheetId="69">'Natl American'!$F$6:$F$59</definedName>
    <definedName name="LTC" localSheetId="72">'New Jersey Life'!$F$6:$F$59</definedName>
    <definedName name="LTC" localSheetId="74">NNIC!$F$6:$F$59</definedName>
    <definedName name="LTC" localSheetId="73">'North Carolina Mutual'!$F$6:$F$59</definedName>
    <definedName name="LTC" localSheetId="75">'Old Colony Life'!$F$6:$F$59</definedName>
    <definedName name="LTC" localSheetId="76">'Old Faithful'!$F$6:$F$59</definedName>
    <definedName name="LTC" localSheetId="102">'Open Summary'!$F$6:$F$58</definedName>
    <definedName name="LTC" localSheetId="77">'Pacific Standard'!$F$6:$F$59</definedName>
    <definedName name="LTC" localSheetId="78">'Pavonia Life'!$F$6:$F$59</definedName>
    <definedName name="LTC" localSheetId="79">'Pen  Treaty'!$F$6:$F$59</definedName>
    <definedName name="LTC" localSheetId="101">'Pre-Liquidation Summary'!$F$6:$F$58</definedName>
    <definedName name="LTC" localSheetId="80">'Red Rock'!$F$6:$F$59</definedName>
    <definedName name="LTC" localSheetId="105">'Released from Oversight Summary'!$F$6:$F$58</definedName>
    <definedName name="LTC" localSheetId="81">Reliance!$F$6:$F$59</definedName>
    <definedName name="LTC" localSheetId="82">SeeChange!$F$6:$F$59</definedName>
    <definedName name="LTC" localSheetId="83">'Senior American'!$F$6:$F$59</definedName>
    <definedName name="LTC" localSheetId="84">Settlers!$F$6:$F$59</definedName>
    <definedName name="LTC" localSheetId="85">Shenandoah!$F$6:$F$59</definedName>
    <definedName name="LTC" localSheetId="86">'Southland National Life'!$F$6:$F$59</definedName>
    <definedName name="LTC" localSheetId="87">'Standard Life IN'!$F$6:$F$59</definedName>
    <definedName name="LTC" localSheetId="88">'States General'!$F$6:$F$59</definedName>
    <definedName name="LTC" localSheetId="89">Statesman!$F$6:$F$59</definedName>
    <definedName name="LTC" localSheetId="90">'Summit National'!$F$6:$F$59</definedName>
    <definedName name="LTC" localSheetId="91">Supreme!$F$6:$F$59</definedName>
    <definedName name="LTC" localSheetId="92">Time!$F$6:$F$59</definedName>
    <definedName name="LTC" localSheetId="106">'Total Summary'!$F$6:$F$59</definedName>
    <definedName name="LTC" localSheetId="93">Underwriters!$F$6:$F$59</definedName>
    <definedName name="LTC" localSheetId="94">Unison!$F$6:$F$59</definedName>
    <definedName name="LTC" localSheetId="95">'United Republic'!$F$6:$F$59</definedName>
    <definedName name="LTC" localSheetId="96">'Universal Health Care'!$F$6:$F$59</definedName>
    <definedName name="LTC" localSheetId="97">'Universal Life'!$F$6:$F$59</definedName>
    <definedName name="LTC" localSheetId="98">Universe!$F$6:$F$59</definedName>
    <definedName name="LTC" localSheetId="99">Villanova!$F$6:$F$59</definedName>
    <definedName name="MA_FINANCIAL" localSheetId="0">'Alabama Life'!$B$27:$F$27</definedName>
    <definedName name="MA_FINANCIAL" localSheetId="5">'Amer Life Asr'!$B$27:$F$27</definedName>
    <definedName name="MA_FINANCIAL" localSheetId="8">'Amer Std Life Acc'!$B$27:$F$27</definedName>
    <definedName name="MA_FINANCIAL" localSheetId="1">'American Chambers'!$B$27:$F$27</definedName>
    <definedName name="MA_FINANCIAL" localSheetId="2">'American Community'!$B$27:$F$27</definedName>
    <definedName name="MA_FINANCIAL" localSheetId="3">'American Educators'!$B$27:$F$27</definedName>
    <definedName name="MA_FINANCIAL" localSheetId="4">'American Integrity'!$B$27:$F$27</definedName>
    <definedName name="MA_FINANCIAL" localSheetId="6">'American Medical'!$B$27:$F$27</definedName>
    <definedName name="MA_FINANCIAL" localSheetId="7">'American Network'!$B$27:$F$27</definedName>
    <definedName name="MA_FINANCIAL" localSheetId="9">AmerWstrn!$B$27:$F$27</definedName>
    <definedName name="MA_FINANCIAL" localSheetId="10">'AMS Life'!$B$27:$F$27</definedName>
    <definedName name="MA_FINANCIAL" localSheetId="11">'Andrew Jackson'!$B$27:$F$27</definedName>
    <definedName name="MA_FINANCIAL" localSheetId="12">'Bankers Commercial'!$B$27:$F$27</definedName>
    <definedName name="MA_FINANCIAL" localSheetId="13">'Bankers Life'!$B$27:$F$27</definedName>
    <definedName name="MA_FINANCIAL" localSheetId="14">Benicorp!$B$27:$F$27</definedName>
    <definedName name="MA_FINANCIAL" localSheetId="15">'Booker T Washington'!$B$27:$F$27</definedName>
    <definedName name="MA_FINANCIAL" localSheetId="16">Centennial!$B$27:$F$27</definedName>
    <definedName name="MA_FINANCIAL" localSheetId="18">'CO Bankers'!$B$27:$F$27</definedName>
    <definedName name="MA_FINANCIAL" localSheetId="17">'Coastal States'!$B$27:$F$27</definedName>
    <definedName name="MA_FINANCIAL" localSheetId="19">'Colorado Health'!$B$27:$F$27</definedName>
    <definedName name="MA_FINANCIAL" localSheetId="20">'Compass (dbs Meritus)'!$B$27:$F$27</definedName>
    <definedName name="MA_FINANCIAL" localSheetId="21">'Confed Life &amp; Annty (CLIAC)'!$B$27:$F$27</definedName>
    <definedName name="MA_FINANCIAL" localSheetId="22">'Confed Life (CLIC)'!$B$27:$F$27</definedName>
    <definedName name="MA_FINANCIAL" localSheetId="23">'Consolidated National'!$B$27:$F$27</definedName>
    <definedName name="MA_FINANCIAL" localSheetId="24">'Consumers Choice'!$B$27:$F$27</definedName>
    <definedName name="MA_FINANCIAL" localSheetId="25">'Consumers Mutual'!$B$27:$F$27</definedName>
    <definedName name="MA_FINANCIAL" localSheetId="26">'Consumers United'!$B$27:$F$27</definedName>
    <definedName name="MA_FINANCIAL" localSheetId="27">CoOportunity!$B$27:$F$27</definedName>
    <definedName name="MA_FINANCIAL" localSheetId="28">'Coordinated Hlth'!$B$27:$F$27</definedName>
    <definedName name="MA_FINANCIAL" localSheetId="29">'Corporate Life'!$B$27:$F$27</definedName>
    <definedName name="MA_FINANCIAL" localSheetId="30">'Diamond Benefits'!$B$27:$F$27</definedName>
    <definedName name="MA_FINANCIAL" localSheetId="31">'EBL Life'!$B$27:$F$27</definedName>
    <definedName name="MA_FINANCIAL" localSheetId="33">ELNY!$B$27:$F$27</definedName>
    <definedName name="MA_FINANCIAL" localSheetId="32">'Executive Life'!$B$27:$F$27</definedName>
    <definedName name="MA_FINANCIAL" localSheetId="34">'Family Guaranty'!$B$27:$F$27</definedName>
    <definedName name="MA_FINANCIAL" localSheetId="35">'Farmers &amp; Ranchers'!$B$27:$F$27</definedName>
    <definedName name="MA_FINANCIAL" localSheetId="36">'Fidelity Bankers'!$B$27:$F$27</definedName>
    <definedName name="MA_FINANCIAL" localSheetId="37">'Fidelity Mutual'!$B$27:$F$27</definedName>
    <definedName name="MA_FINANCIAL" localSheetId="38">'First Capital'!$B$27:$F$27</definedName>
    <definedName name="MA_FINANCIAL" localSheetId="39">'First Natl'!$B$27:$F$27</definedName>
    <definedName name="MA_FINANCIAL" localSheetId="40">'First Natl (Thrnr)'!$B$27:$F$27</definedName>
    <definedName name="MA_FINANCIAL" localSheetId="41">'Franklin American'!$B$27:$F$27</definedName>
    <definedName name="MA_FINANCIAL" localSheetId="42">'Franklin Protective'!$B$27:$F$27</definedName>
    <definedName name="MA_FINANCIAL" localSheetId="43">'Freelancers CO-OP'!$B$27:$F$27</definedName>
    <definedName name="MA_FINANCIAL" localSheetId="44">Freestone!$B$27:$F$27</definedName>
    <definedName name="MA_FINANCIAL" localSheetId="45">'George Washington'!$B$27:$F$27</definedName>
    <definedName name="MA_FINANCIAL" localSheetId="46">'Golden State'!$B$27:$F$27</definedName>
    <definedName name="MA_FINANCIAL" localSheetId="47">'Guarantee Security'!$B$27:$F$27</definedName>
    <definedName name="MA_FINANCIAL" localSheetId="48">HealthyCT!$B$27:$F$27</definedName>
    <definedName name="MA_FINANCIAL" localSheetId="49">Imerica!$B$27:$F$27</definedName>
    <definedName name="MA_FINANCIAL" localSheetId="50">'Inter-American'!$B$27:$F$27</definedName>
    <definedName name="MA_FINANCIAL" localSheetId="51">'International Fin'!$B$27:$F$27</definedName>
    <definedName name="MA_FINANCIAL" localSheetId="52">'Investment Life of America'!$B$27:$F$27</definedName>
    <definedName name="MA_FINANCIAL" localSheetId="53">'Investors Equity'!$B$27:$F$27</definedName>
    <definedName name="MA_FINANCIAL" localSheetId="54">'Kentucky Central'!$B$27:$F$27</definedName>
    <definedName name="MA_FINANCIAL" localSheetId="55">'Land of Lincoln'!$B$27:$F$27</definedName>
    <definedName name="MA_FINANCIAL" localSheetId="56">Legion!$B$27:$F$27</definedName>
    <definedName name="MA_FINANCIAL" localSheetId="57">'Life Health America'!$B$27:$F$27</definedName>
    <definedName name="MA_FINANCIAL" localSheetId="58">'Lincoln Memorial'!$B$27:$F$27</definedName>
    <definedName name="MA_FINANCIAL" localSheetId="59">'London Pac'!$B$27:$F$27</definedName>
    <definedName name="MA_FINANCIAL" localSheetId="60">Lumbermens!$B$27:$F$27</definedName>
    <definedName name="MA_FINANCIAL" localSheetId="61">'Medical Savings'!$B$27:$F$27</definedName>
    <definedName name="MA_FINANCIAL" localSheetId="62">'Memorial Service'!$B$27:$F$27</definedName>
    <definedName name="MA_FINANCIAL" localSheetId="63">Midcontinent!$B$27:$F$27</definedName>
    <definedName name="MA_FINANCIAL" localSheetId="64">'Midwest Life'!$B$27:$F$27</definedName>
    <definedName name="MA_FINANCIAL" localSheetId="65">'Monarch Life'!$B$27:$F$27</definedName>
    <definedName name="MA_FINANCIAL" localSheetId="66">'Mutual Benefit'!$B$27:$F$27</definedName>
    <definedName name="MA_FINANCIAL" localSheetId="67">'Mutual Security'!$B$27:$F$27</definedName>
    <definedName name="MA_FINANCIAL" localSheetId="68">'National Affiliated'!$B$27:$F$27</definedName>
    <definedName name="MA_FINANCIAL" localSheetId="70">'National Heritage'!$B$27:$F$27</definedName>
    <definedName name="MA_FINANCIAL" localSheetId="71">'National States'!$B$27:$F$27</definedName>
    <definedName name="MA_FINANCIAL" localSheetId="69">'Natl American'!$B$27:$F$27</definedName>
    <definedName name="MA_FINANCIAL" localSheetId="72">'New Jersey Life'!$B$27:$F$27</definedName>
    <definedName name="MA_FINANCIAL" localSheetId="74">NNIC!$B$27:$F$27</definedName>
    <definedName name="MA_FINANCIAL" localSheetId="73">'North Carolina Mutual'!$B$27:$F$27</definedName>
    <definedName name="MA_FINANCIAL" localSheetId="75">'Old Colony Life'!$B$27:$F$27</definedName>
    <definedName name="MA_FINANCIAL" localSheetId="76">'Old Faithful'!$B$27:$F$27</definedName>
    <definedName name="MA_FINANCIAL" localSheetId="77">'Pacific Standard'!$B$27:$F$27</definedName>
    <definedName name="MA_FINANCIAL" localSheetId="78">'Pavonia Life'!$B$27:$F$27</definedName>
    <definedName name="MA_FINANCIAL" localSheetId="79">'Pen  Treaty'!$B$27:$F$27</definedName>
    <definedName name="MA_FINANCIAL" localSheetId="80">'Red Rock'!$B$27:$F$27</definedName>
    <definedName name="MA_FINANCIAL" localSheetId="81">Reliance!$B$27:$F$27</definedName>
    <definedName name="MA_FINANCIAL" localSheetId="82">SeeChange!$B$27:$F$27</definedName>
    <definedName name="MA_FINANCIAL" localSheetId="83">'Senior American'!$B$27:$F$27</definedName>
    <definedName name="MA_FINANCIAL" localSheetId="84">Settlers!$B$27:$F$27</definedName>
    <definedName name="MA_FINANCIAL" localSheetId="85">Shenandoah!$B$27:$F$27</definedName>
    <definedName name="MA_FINANCIAL" localSheetId="86">'Southland National Life'!$B$27:$F$27</definedName>
    <definedName name="MA_FINANCIAL" localSheetId="87">'Standard Life IN'!$B$27:$F$27</definedName>
    <definedName name="MA_FINANCIAL" localSheetId="88">'States General'!$B$27:$F$27</definedName>
    <definedName name="MA_FINANCIAL" localSheetId="89">Statesman!$B$27:$F$27</definedName>
    <definedName name="MA_FINANCIAL" localSheetId="90">'Summit National'!$B$27:$F$27</definedName>
    <definedName name="MA_FINANCIAL" localSheetId="91">Supreme!$B$27:$F$27</definedName>
    <definedName name="MA_FINANCIAL" localSheetId="92">Time!$B$27:$F$27</definedName>
    <definedName name="MA_FINANCIAL" localSheetId="106">'Total Summary'!$B$27:$F$27</definedName>
    <definedName name="MA_FINANCIAL" localSheetId="93">Underwriters!$B$27:$F$27</definedName>
    <definedName name="MA_FINANCIAL" localSheetId="94">Unison!$B$27:$F$27</definedName>
    <definedName name="MA_FINANCIAL" localSheetId="95">'United Republic'!$B$27:$F$27</definedName>
    <definedName name="MA_FINANCIAL" localSheetId="96">'Universal Health Care'!$B$27:$F$27</definedName>
    <definedName name="MA_FINANCIAL" localSheetId="97">'Universal Life'!$B$27:$F$27</definedName>
    <definedName name="MA_FINANCIAL" localSheetId="98">Universe!$B$27:$F$27</definedName>
    <definedName name="MA_FINANCIAL" localSheetId="99">Villanova!$B$27:$F$27</definedName>
    <definedName name="MD_FINANCIAL" localSheetId="0">'Alabama Life'!$B$26:$F$26</definedName>
    <definedName name="MD_FINANCIAL" localSheetId="5">'Amer Life Asr'!$B$26:$F$26</definedName>
    <definedName name="MD_FINANCIAL" localSheetId="8">'Amer Std Life Acc'!$B$26:$F$26</definedName>
    <definedName name="MD_FINANCIAL" localSheetId="1">'American Chambers'!$B$26:$F$26</definedName>
    <definedName name="MD_FINANCIAL" localSheetId="2">'American Community'!$B$26:$F$26</definedName>
    <definedName name="MD_FINANCIAL" localSheetId="3">'American Educators'!$B$26:$F$26</definedName>
    <definedName name="MD_FINANCIAL" localSheetId="4">'American Integrity'!$B$26:$F$26</definedName>
    <definedName name="MD_FINANCIAL" localSheetId="6">'American Medical'!$B$26:$F$26</definedName>
    <definedName name="MD_FINANCIAL" localSheetId="7">'American Network'!$B$26:$F$26</definedName>
    <definedName name="MD_FINANCIAL" localSheetId="9">AmerWstrn!$B$26:$F$26</definedName>
    <definedName name="MD_FINANCIAL" localSheetId="10">'AMS Life'!$B$26:$F$26</definedName>
    <definedName name="MD_FINANCIAL" localSheetId="11">'Andrew Jackson'!$B$26:$F$26</definedName>
    <definedName name="MD_FINANCIAL" localSheetId="12">'Bankers Commercial'!$B$26:$F$26</definedName>
    <definedName name="MD_FINANCIAL" localSheetId="13">'Bankers Life'!$B$26:$F$26</definedName>
    <definedName name="MD_FINANCIAL" localSheetId="14">Benicorp!$B$26:$F$26</definedName>
    <definedName name="MD_FINANCIAL" localSheetId="15">'Booker T Washington'!$B$26:$F$26</definedName>
    <definedName name="MD_FINANCIAL" localSheetId="16">Centennial!$B$26:$F$26</definedName>
    <definedName name="MD_FINANCIAL" localSheetId="18">'CO Bankers'!$B$26:$F$26</definedName>
    <definedName name="MD_FINANCIAL" localSheetId="17">'Coastal States'!$B$26:$F$26</definedName>
    <definedName name="MD_FINANCIAL" localSheetId="19">'Colorado Health'!$B$26:$F$26</definedName>
    <definedName name="MD_FINANCIAL" localSheetId="20">'Compass (dbs Meritus)'!$B$26:$F$26</definedName>
    <definedName name="MD_FINANCIAL" localSheetId="21">'Confed Life &amp; Annty (CLIAC)'!$B$26:$F$26</definedName>
    <definedName name="MD_FINANCIAL" localSheetId="22">'Confed Life (CLIC)'!$B$26:$F$26</definedName>
    <definedName name="MD_FINANCIAL" localSheetId="23">'Consolidated National'!$B$26:$F$26</definedName>
    <definedName name="MD_FINANCIAL" localSheetId="24">'Consumers Choice'!$B$26:$F$26</definedName>
    <definedName name="MD_FINANCIAL" localSheetId="25">'Consumers Mutual'!$B$26:$F$26</definedName>
    <definedName name="MD_FINANCIAL" localSheetId="26">'Consumers United'!$B$26:$F$26</definedName>
    <definedName name="MD_FINANCIAL" localSheetId="27">CoOportunity!$B$26:$F$26</definedName>
    <definedName name="MD_FINANCIAL" localSheetId="28">'Coordinated Hlth'!$B$26:$F$26</definedName>
    <definedName name="MD_FINANCIAL" localSheetId="29">'Corporate Life'!$B$26:$F$26</definedName>
    <definedName name="MD_FINANCIAL" localSheetId="30">'Diamond Benefits'!$B$26:$F$26</definedName>
    <definedName name="MD_FINANCIAL" localSheetId="31">'EBL Life'!$B$26:$F$26</definedName>
    <definedName name="MD_FINANCIAL" localSheetId="33">ELNY!$B$26:$F$26</definedName>
    <definedName name="MD_FINANCIAL" localSheetId="32">'Executive Life'!$B$26:$F$26</definedName>
    <definedName name="MD_FINANCIAL" localSheetId="34">'Family Guaranty'!$B$26:$F$26</definedName>
    <definedName name="MD_FINANCIAL" localSheetId="35">'Farmers &amp; Ranchers'!$B$26:$F$26</definedName>
    <definedName name="MD_FINANCIAL" localSheetId="36">'Fidelity Bankers'!$B$26:$F$26</definedName>
    <definedName name="MD_FINANCIAL" localSheetId="37">'Fidelity Mutual'!$B$26:$F$26</definedName>
    <definedName name="MD_FINANCIAL" localSheetId="38">'First Capital'!$B$26:$F$26</definedName>
    <definedName name="MD_FINANCIAL" localSheetId="39">'First Natl'!$B$26:$F$26</definedName>
    <definedName name="MD_FINANCIAL" localSheetId="40">'First Natl (Thrnr)'!$B$26:$F$26</definedName>
    <definedName name="MD_FINANCIAL" localSheetId="41">'Franklin American'!$B$26:$F$26</definedName>
    <definedName name="MD_FINANCIAL" localSheetId="42">'Franklin Protective'!$B$26:$F$26</definedName>
    <definedName name="MD_FINANCIAL" localSheetId="43">'Freelancers CO-OP'!$B$26:$F$26</definedName>
    <definedName name="MD_FINANCIAL" localSheetId="44">Freestone!$B$26:$F$26</definedName>
    <definedName name="MD_FINANCIAL" localSheetId="45">'George Washington'!$B$26:$F$26</definedName>
    <definedName name="MD_FINANCIAL" localSheetId="46">'Golden State'!$B$26:$F$26</definedName>
    <definedName name="MD_FINANCIAL" localSheetId="47">'Guarantee Security'!$B$26:$F$26</definedName>
    <definedName name="MD_FINANCIAL" localSheetId="48">HealthyCT!$B$26:$F$26</definedName>
    <definedName name="MD_FINANCIAL" localSheetId="49">Imerica!$B$26:$F$26</definedName>
    <definedName name="MD_FINANCIAL" localSheetId="50">'Inter-American'!$B$26:$F$26</definedName>
    <definedName name="MD_FINANCIAL" localSheetId="51">'International Fin'!$B$26:$F$26</definedName>
    <definedName name="MD_FINANCIAL" localSheetId="52">'Investment Life of America'!$B$26:$F$26</definedName>
    <definedName name="MD_FINANCIAL" localSheetId="53">'Investors Equity'!$B$26:$F$26</definedName>
    <definedName name="MD_FINANCIAL" localSheetId="54">'Kentucky Central'!$B$26:$F$26</definedName>
    <definedName name="MD_FINANCIAL" localSheetId="55">'Land of Lincoln'!$B$26:$F$26</definedName>
    <definedName name="MD_FINANCIAL" localSheetId="56">Legion!$B$26:$F$26</definedName>
    <definedName name="MD_FINANCIAL" localSheetId="57">'Life Health America'!$B$26:$F$26</definedName>
    <definedName name="MD_FINANCIAL" localSheetId="58">'Lincoln Memorial'!$B$26:$F$26</definedName>
    <definedName name="MD_FINANCIAL" localSheetId="59">'London Pac'!$B$26:$F$26</definedName>
    <definedName name="MD_FINANCIAL" localSheetId="60">Lumbermens!$B$26:$F$26</definedName>
    <definedName name="MD_FINANCIAL" localSheetId="61">'Medical Savings'!$B$26:$F$26</definedName>
    <definedName name="MD_FINANCIAL" localSheetId="62">'Memorial Service'!$B$26:$F$26</definedName>
    <definedName name="MD_FINANCIAL" localSheetId="63">Midcontinent!$B$26:$F$26</definedName>
    <definedName name="MD_FINANCIAL" localSheetId="64">'Midwest Life'!$B$26:$F$26</definedName>
    <definedName name="MD_FINANCIAL" localSheetId="65">'Monarch Life'!$B$26:$F$26</definedName>
    <definedName name="MD_FINANCIAL" localSheetId="66">'Mutual Benefit'!$B$26:$F$26</definedName>
    <definedName name="MD_FINANCIAL" localSheetId="67">'Mutual Security'!$B$26:$F$26</definedName>
    <definedName name="MD_FINANCIAL" localSheetId="68">'National Affiliated'!$B$26:$F$26</definedName>
    <definedName name="MD_FINANCIAL" localSheetId="70">'National Heritage'!$B$26:$F$26</definedName>
    <definedName name="MD_FINANCIAL" localSheetId="71">'National States'!$B$26:$F$26</definedName>
    <definedName name="MD_FINANCIAL" localSheetId="69">'Natl American'!$B$26:$F$26</definedName>
    <definedName name="MD_FINANCIAL" localSheetId="72">'New Jersey Life'!$B$26:$F$26</definedName>
    <definedName name="MD_FINANCIAL" localSheetId="74">NNIC!$B$26:$F$26</definedName>
    <definedName name="MD_FINANCIAL" localSheetId="73">'North Carolina Mutual'!$B$26:$F$26</definedName>
    <definedName name="MD_FINANCIAL" localSheetId="75">'Old Colony Life'!$B$26:$F$26</definedName>
    <definedName name="MD_FINANCIAL" localSheetId="76">'Old Faithful'!$B$26:$F$26</definedName>
    <definedName name="MD_FINANCIAL" localSheetId="77">'Pacific Standard'!$B$26:$F$26</definedName>
    <definedName name="MD_FINANCIAL" localSheetId="78">'Pavonia Life'!$B$26:$F$26</definedName>
    <definedName name="MD_FINANCIAL" localSheetId="79">'Pen  Treaty'!$B$26:$F$26</definedName>
    <definedName name="MD_FINANCIAL" localSheetId="80">'Red Rock'!$B$26:$F$26</definedName>
    <definedName name="MD_FINANCIAL" localSheetId="81">Reliance!$B$26:$F$26</definedName>
    <definedName name="MD_FINANCIAL" localSheetId="82">SeeChange!$B$26:$F$26</definedName>
    <definedName name="MD_FINANCIAL" localSheetId="83">'Senior American'!$B$26:$F$26</definedName>
    <definedName name="MD_FINANCIAL" localSheetId="84">Settlers!$B$26:$F$26</definedName>
    <definedName name="MD_FINANCIAL" localSheetId="85">Shenandoah!$B$26:$F$26</definedName>
    <definedName name="MD_FINANCIAL" localSheetId="86">'Southland National Life'!$B$26:$F$26</definedName>
    <definedName name="MD_FINANCIAL" localSheetId="87">'Standard Life IN'!$B$26:$F$26</definedName>
    <definedName name="MD_FINANCIAL" localSheetId="88">'States General'!$B$26:$F$26</definedName>
    <definedName name="MD_FINANCIAL" localSheetId="89">Statesman!$B$26:$F$26</definedName>
    <definedName name="MD_FINANCIAL" localSheetId="90">'Summit National'!$B$26:$F$26</definedName>
    <definedName name="MD_FINANCIAL" localSheetId="91">Supreme!$B$26:$F$26</definedName>
    <definedName name="MD_FINANCIAL" localSheetId="92">Time!$B$26:$F$26</definedName>
    <definedName name="MD_FINANCIAL" localSheetId="106">'Total Summary'!$B$26:$F$26</definedName>
    <definedName name="MD_FINANCIAL" localSheetId="93">Underwriters!$B$26:$F$26</definedName>
    <definedName name="MD_FINANCIAL" localSheetId="94">Unison!$B$26:$F$26</definedName>
    <definedName name="MD_FINANCIAL" localSheetId="95">'United Republic'!$B$26:$F$26</definedName>
    <definedName name="MD_FINANCIAL" localSheetId="96">'Universal Health Care'!$B$26:$F$26</definedName>
    <definedName name="MD_FINANCIAL" localSheetId="97">'Universal Life'!$B$26:$F$26</definedName>
    <definedName name="MD_FINANCIAL" localSheetId="98">Universe!$B$26:$F$26</definedName>
    <definedName name="MD_FINANCIAL" localSheetId="99">Villanova!$B$26:$F$26</definedName>
    <definedName name="ME_FINANCIAL" localSheetId="0">'Alabama Life'!$B$25:$F$25</definedName>
    <definedName name="ME_FINANCIAL" localSheetId="5">'Amer Life Asr'!$B$25:$F$25</definedName>
    <definedName name="ME_FINANCIAL" localSheetId="8">'Amer Std Life Acc'!$B$25:$F$25</definedName>
    <definedName name="ME_FINANCIAL" localSheetId="1">'American Chambers'!$B$25:$F$25</definedName>
    <definedName name="ME_FINANCIAL" localSheetId="2">'American Community'!$B$25:$F$25</definedName>
    <definedName name="ME_FINANCIAL" localSheetId="3">'American Educators'!$B$25:$F$25</definedName>
    <definedName name="ME_FINANCIAL" localSheetId="4">'American Integrity'!$B$25:$F$25</definedName>
    <definedName name="ME_FINANCIAL" localSheetId="6">'American Medical'!$B$25:$F$25</definedName>
    <definedName name="ME_FINANCIAL" localSheetId="7">'American Network'!$B$25:$F$25</definedName>
    <definedName name="ME_FINANCIAL" localSheetId="9">AmerWstrn!$B$25:$F$25</definedName>
    <definedName name="ME_FINANCIAL" localSheetId="10">'AMS Life'!$B$25:$F$25</definedName>
    <definedName name="ME_FINANCIAL" localSheetId="11">'Andrew Jackson'!$B$25:$F$25</definedName>
    <definedName name="ME_FINANCIAL" localSheetId="12">'Bankers Commercial'!$B$25:$F$25</definedName>
    <definedName name="ME_FINANCIAL" localSheetId="13">'Bankers Life'!$B$25:$F$25</definedName>
    <definedName name="ME_FINANCIAL" localSheetId="14">Benicorp!$B$25:$F$25</definedName>
    <definedName name="ME_FINANCIAL" localSheetId="15">'Booker T Washington'!$B$25:$F$25</definedName>
    <definedName name="ME_FINANCIAL" localSheetId="16">Centennial!$B$25:$F$25</definedName>
    <definedName name="ME_FINANCIAL" localSheetId="18">'CO Bankers'!$B$25:$F$25</definedName>
    <definedName name="ME_FINANCIAL" localSheetId="17">'Coastal States'!$B$25:$F$25</definedName>
    <definedName name="ME_FINANCIAL" localSheetId="19">'Colorado Health'!$B$25:$F$25</definedName>
    <definedName name="ME_FINANCIAL" localSheetId="20">'Compass (dbs Meritus)'!$B$25:$F$25</definedName>
    <definedName name="ME_FINANCIAL" localSheetId="21">'Confed Life &amp; Annty (CLIAC)'!$B$25:$F$25</definedName>
    <definedName name="ME_FINANCIAL" localSheetId="22">'Confed Life (CLIC)'!$B$25:$F$25</definedName>
    <definedName name="ME_FINANCIAL" localSheetId="23">'Consolidated National'!$B$25:$F$25</definedName>
    <definedName name="ME_FINANCIAL" localSheetId="24">'Consumers Choice'!$B$25:$F$25</definedName>
    <definedName name="ME_FINANCIAL" localSheetId="25">'Consumers Mutual'!$B$25:$F$25</definedName>
    <definedName name="ME_FINANCIAL" localSheetId="26">'Consumers United'!$B$25:$F$25</definedName>
    <definedName name="ME_FINANCIAL" localSheetId="27">CoOportunity!$B$25:$F$25</definedName>
    <definedName name="ME_FINANCIAL" localSheetId="28">'Coordinated Hlth'!$B$25:$F$25</definedName>
    <definedName name="ME_FINANCIAL" localSheetId="29">'Corporate Life'!$B$25:$F$25</definedName>
    <definedName name="ME_FINANCIAL" localSheetId="30">'Diamond Benefits'!$B$25:$F$25</definedName>
    <definedName name="ME_FINANCIAL" localSheetId="31">'EBL Life'!$B$25:$F$25</definedName>
    <definedName name="ME_FINANCIAL" localSheetId="33">ELNY!$B$25:$F$25</definedName>
    <definedName name="ME_FINANCIAL" localSheetId="32">'Executive Life'!$B$25:$F$25</definedName>
    <definedName name="ME_FINANCIAL" localSheetId="34">'Family Guaranty'!$B$25:$F$25</definedName>
    <definedName name="ME_FINANCIAL" localSheetId="35">'Farmers &amp; Ranchers'!$B$25:$F$25</definedName>
    <definedName name="ME_FINANCIAL" localSheetId="36">'Fidelity Bankers'!$B$25:$F$25</definedName>
    <definedName name="ME_FINANCIAL" localSheetId="37">'Fidelity Mutual'!$B$25:$F$25</definedName>
    <definedName name="ME_FINANCIAL" localSheetId="38">'First Capital'!$B$25:$F$25</definedName>
    <definedName name="ME_FINANCIAL" localSheetId="39">'First Natl'!$B$25:$F$25</definedName>
    <definedName name="ME_FINANCIAL" localSheetId="40">'First Natl (Thrnr)'!$B$25:$F$25</definedName>
    <definedName name="ME_FINANCIAL" localSheetId="41">'Franklin American'!$B$25:$F$25</definedName>
    <definedName name="ME_FINANCIAL" localSheetId="42">'Franklin Protective'!$B$25:$F$25</definedName>
    <definedName name="ME_FINANCIAL" localSheetId="43">'Freelancers CO-OP'!$B$25:$F$25</definedName>
    <definedName name="ME_FINANCIAL" localSheetId="44">Freestone!$B$25:$F$25</definedName>
    <definedName name="ME_FINANCIAL" localSheetId="45">'George Washington'!$B$25:$F$25</definedName>
    <definedName name="ME_FINANCIAL" localSheetId="46">'Golden State'!$B$25:$F$25</definedName>
    <definedName name="ME_FINANCIAL" localSheetId="47">'Guarantee Security'!$B$25:$F$25</definedName>
    <definedName name="ME_FINANCIAL" localSheetId="48">HealthyCT!$B$25:$F$25</definedName>
    <definedName name="ME_FINANCIAL" localSheetId="49">Imerica!$B$25:$F$25</definedName>
    <definedName name="ME_FINANCIAL" localSheetId="50">'Inter-American'!$B$25:$F$25</definedName>
    <definedName name="ME_FINANCIAL" localSheetId="51">'International Fin'!$B$25:$F$25</definedName>
    <definedName name="ME_FINANCIAL" localSheetId="52">'Investment Life of America'!$B$25:$F$25</definedName>
    <definedName name="ME_FINANCIAL" localSheetId="53">'Investors Equity'!$B$25:$F$25</definedName>
    <definedName name="ME_FINANCIAL" localSheetId="54">'Kentucky Central'!$B$25:$F$25</definedName>
    <definedName name="ME_FINANCIAL" localSheetId="55">'Land of Lincoln'!$B$25:$F$25</definedName>
    <definedName name="ME_FINANCIAL" localSheetId="56">Legion!$B$25:$F$25</definedName>
    <definedName name="ME_FINANCIAL" localSheetId="57">'Life Health America'!$B$25:$F$25</definedName>
    <definedName name="ME_FINANCIAL" localSheetId="58">'Lincoln Memorial'!$B$25:$F$25</definedName>
    <definedName name="ME_FINANCIAL" localSheetId="59">'London Pac'!$B$25:$F$25</definedName>
    <definedName name="ME_FINANCIAL" localSheetId="60">Lumbermens!$B$25:$F$25</definedName>
    <definedName name="ME_FINANCIAL" localSheetId="61">'Medical Savings'!$B$25:$F$25</definedName>
    <definedName name="ME_FINANCIAL" localSheetId="62">'Memorial Service'!$B$25:$F$25</definedName>
    <definedName name="ME_FINANCIAL" localSheetId="63">Midcontinent!$B$25:$F$25</definedName>
    <definedName name="ME_FINANCIAL" localSheetId="64">'Midwest Life'!$B$25:$F$25</definedName>
    <definedName name="ME_FINANCIAL" localSheetId="65">'Monarch Life'!$B$25:$F$25</definedName>
    <definedName name="ME_FINANCIAL" localSheetId="66">'Mutual Benefit'!$B$25:$F$25</definedName>
    <definedName name="ME_FINANCIAL" localSheetId="67">'Mutual Security'!$B$25:$F$25</definedName>
    <definedName name="ME_FINANCIAL" localSheetId="68">'National Affiliated'!$B$25:$F$25</definedName>
    <definedName name="ME_FINANCIAL" localSheetId="70">'National Heritage'!$B$25:$F$25</definedName>
    <definedName name="ME_FINANCIAL" localSheetId="71">'National States'!$B$25:$F$25</definedName>
    <definedName name="ME_FINANCIAL" localSheetId="69">'Natl American'!$B$25:$F$25</definedName>
    <definedName name="ME_FINANCIAL" localSheetId="72">'New Jersey Life'!$B$25:$F$25</definedName>
    <definedName name="ME_FINANCIAL" localSheetId="74">NNIC!$B$25:$F$25</definedName>
    <definedName name="ME_FINANCIAL" localSheetId="73">'North Carolina Mutual'!$B$25:$F$25</definedName>
    <definedName name="ME_FINANCIAL" localSheetId="75">'Old Colony Life'!$B$25:$F$25</definedName>
    <definedName name="ME_FINANCIAL" localSheetId="76">'Old Faithful'!$B$25:$F$25</definedName>
    <definedName name="ME_FINANCIAL" localSheetId="77">'Pacific Standard'!$B$25:$F$25</definedName>
    <definedName name="ME_FINANCIAL" localSheetId="78">'Pavonia Life'!$B$25:$F$25</definedName>
    <definedName name="ME_FINANCIAL" localSheetId="79">'Pen  Treaty'!$B$25:$F$25</definedName>
    <definedName name="ME_FINANCIAL" localSheetId="80">'Red Rock'!$B$25:$F$25</definedName>
    <definedName name="ME_FINANCIAL" localSheetId="81">Reliance!$B$25:$F$25</definedName>
    <definedName name="ME_FINANCIAL" localSheetId="82">SeeChange!$B$25:$F$25</definedName>
    <definedName name="ME_FINANCIAL" localSheetId="83">'Senior American'!$B$25:$F$25</definedName>
    <definedName name="ME_FINANCIAL" localSheetId="84">Settlers!$B$25:$F$25</definedName>
    <definedName name="ME_FINANCIAL" localSheetId="85">Shenandoah!$B$25:$F$25</definedName>
    <definedName name="ME_FINANCIAL" localSheetId="86">'Southland National Life'!$B$25:$F$25</definedName>
    <definedName name="ME_FINANCIAL" localSheetId="87">'Standard Life IN'!$B$25:$F$25</definedName>
    <definedName name="ME_FINANCIAL" localSheetId="88">'States General'!$B$25:$F$25</definedName>
    <definedName name="ME_FINANCIAL" localSheetId="89">Statesman!$B$25:$F$25</definedName>
    <definedName name="ME_FINANCIAL" localSheetId="90">'Summit National'!$B$25:$F$25</definedName>
    <definedName name="ME_FINANCIAL" localSheetId="91">Supreme!$B$25:$F$25</definedName>
    <definedName name="ME_FINANCIAL" localSheetId="92">Time!$B$25:$F$25</definedName>
    <definedName name="ME_FINANCIAL" localSheetId="106">'Total Summary'!$B$25:$F$25</definedName>
    <definedName name="ME_FINANCIAL" localSheetId="93">Underwriters!$B$25:$F$25</definedName>
    <definedName name="ME_FINANCIAL" localSheetId="94">Unison!$B$25:$F$25</definedName>
    <definedName name="ME_FINANCIAL" localSheetId="95">'United Republic'!$B$25:$F$25</definedName>
    <definedName name="ME_FINANCIAL" localSheetId="96">'Universal Health Care'!$B$25:$F$25</definedName>
    <definedName name="ME_FINANCIAL" localSheetId="97">'Universal Life'!$B$25:$F$25</definedName>
    <definedName name="ME_FINANCIAL" localSheetId="98">Universe!$B$25:$F$25</definedName>
    <definedName name="ME_FINANCIAL" localSheetId="99">Villanova!$B$25:$F$25</definedName>
    <definedName name="MI_FINANCIAL" localSheetId="0">'Alabama Life'!$B$28:$F$28</definedName>
    <definedName name="MI_FINANCIAL" localSheetId="5">'Amer Life Asr'!$B$28:$F$28</definedName>
    <definedName name="MI_FINANCIAL" localSheetId="8">'Amer Std Life Acc'!$B$28:$F$28</definedName>
    <definedName name="MI_FINANCIAL" localSheetId="1">'American Chambers'!$B$28:$F$28</definedName>
    <definedName name="MI_FINANCIAL" localSheetId="2">'American Community'!$B$28:$F$28</definedName>
    <definedName name="MI_FINANCIAL" localSheetId="3">'American Educators'!$B$28:$F$28</definedName>
    <definedName name="MI_FINANCIAL" localSheetId="4">'American Integrity'!$B$28:$F$28</definedName>
    <definedName name="MI_FINANCIAL" localSheetId="6">'American Medical'!$B$28:$F$28</definedName>
    <definedName name="MI_FINANCIAL" localSheetId="7">'American Network'!$B$28:$F$28</definedName>
    <definedName name="MI_FINANCIAL" localSheetId="9">AmerWstrn!$B$28:$F$28</definedName>
    <definedName name="MI_FINANCIAL" localSheetId="10">'AMS Life'!$B$28:$F$28</definedName>
    <definedName name="MI_FINANCIAL" localSheetId="11">'Andrew Jackson'!$B$28:$F$28</definedName>
    <definedName name="MI_FINANCIAL" localSheetId="12">'Bankers Commercial'!$B$28:$F$28</definedName>
    <definedName name="MI_FINANCIAL" localSheetId="13">'Bankers Life'!$B$28:$F$28</definedName>
    <definedName name="MI_FINANCIAL" localSheetId="14">Benicorp!$B$28:$F$28</definedName>
    <definedName name="MI_FINANCIAL" localSheetId="15">'Booker T Washington'!$B$28:$F$28</definedName>
    <definedName name="MI_FINANCIAL" localSheetId="16">Centennial!$B$28:$F$28</definedName>
    <definedName name="MI_FINANCIAL" localSheetId="18">'CO Bankers'!$B$28:$F$28</definedName>
    <definedName name="MI_FINANCIAL" localSheetId="17">'Coastal States'!$B$28:$F$28</definedName>
    <definedName name="MI_FINANCIAL" localSheetId="19">'Colorado Health'!$B$28:$F$28</definedName>
    <definedName name="MI_FINANCIAL" localSheetId="20">'Compass (dbs Meritus)'!$B$28:$F$28</definedName>
    <definedName name="MI_FINANCIAL" localSheetId="21">'Confed Life &amp; Annty (CLIAC)'!$B$28:$F$28</definedName>
    <definedName name="MI_FINANCIAL" localSheetId="22">'Confed Life (CLIC)'!$B$28:$F$28</definedName>
    <definedName name="MI_FINANCIAL" localSheetId="23">'Consolidated National'!$B$28:$F$28</definedName>
    <definedName name="MI_FINANCIAL" localSheetId="24">'Consumers Choice'!$B$28:$F$28</definedName>
    <definedName name="MI_FINANCIAL" localSheetId="25">'Consumers Mutual'!$B$28:$F$28</definedName>
    <definedName name="MI_FINANCIAL" localSheetId="26">'Consumers United'!$B$28:$F$28</definedName>
    <definedName name="MI_FINANCIAL" localSheetId="27">CoOportunity!$B$28:$F$28</definedName>
    <definedName name="MI_FINANCIAL" localSheetId="28">'Coordinated Hlth'!$B$28:$F$28</definedName>
    <definedName name="MI_FINANCIAL" localSheetId="29">'Corporate Life'!$B$28:$F$28</definedName>
    <definedName name="MI_FINANCIAL" localSheetId="30">'Diamond Benefits'!$B$28:$F$28</definedName>
    <definedName name="MI_FINANCIAL" localSheetId="31">'EBL Life'!$B$28:$F$28</definedName>
    <definedName name="MI_FINANCIAL" localSheetId="33">ELNY!$B$28:$F$28</definedName>
    <definedName name="MI_FINANCIAL" localSheetId="32">'Executive Life'!$B$28:$F$28</definedName>
    <definedName name="MI_FINANCIAL" localSheetId="34">'Family Guaranty'!$B$28:$F$28</definedName>
    <definedName name="MI_FINANCIAL" localSheetId="35">'Farmers &amp; Ranchers'!$B$28:$F$28</definedName>
    <definedName name="MI_FINANCIAL" localSheetId="36">'Fidelity Bankers'!$B$28:$F$28</definedName>
    <definedName name="MI_FINANCIAL" localSheetId="37">'Fidelity Mutual'!$B$28:$F$28</definedName>
    <definedName name="MI_FINANCIAL" localSheetId="38">'First Capital'!$B$28:$F$28</definedName>
    <definedName name="MI_FINANCIAL" localSheetId="39">'First Natl'!$B$28:$F$28</definedName>
    <definedName name="MI_FINANCIAL" localSheetId="40">'First Natl (Thrnr)'!$B$28:$F$28</definedName>
    <definedName name="MI_FINANCIAL" localSheetId="41">'Franklin American'!$B$28:$F$28</definedName>
    <definedName name="MI_FINANCIAL" localSheetId="42">'Franklin Protective'!$B$28:$F$28</definedName>
    <definedName name="MI_FINANCIAL" localSheetId="43">'Freelancers CO-OP'!$B$28:$F$28</definedName>
    <definedName name="MI_FINANCIAL" localSheetId="44">Freestone!$B$28:$F$28</definedName>
    <definedName name="MI_FINANCIAL" localSheetId="45">'George Washington'!$B$28:$F$28</definedName>
    <definedName name="MI_FINANCIAL" localSheetId="46">'Golden State'!$B$28:$F$28</definedName>
    <definedName name="MI_FINANCIAL" localSheetId="47">'Guarantee Security'!$B$28:$F$28</definedName>
    <definedName name="MI_FINANCIAL" localSheetId="48">HealthyCT!$B$28:$F$28</definedName>
    <definedName name="MI_FINANCIAL" localSheetId="49">Imerica!$B$28:$F$28</definedName>
    <definedName name="MI_FINANCIAL" localSheetId="50">'Inter-American'!$B$28:$F$28</definedName>
    <definedName name="MI_FINANCIAL" localSheetId="51">'International Fin'!$B$28:$F$28</definedName>
    <definedName name="MI_FINANCIAL" localSheetId="52">'Investment Life of America'!$B$28:$F$28</definedName>
    <definedName name="MI_FINANCIAL" localSheetId="53">'Investors Equity'!$B$28:$F$28</definedName>
    <definedName name="MI_FINANCIAL" localSheetId="54">'Kentucky Central'!$B$28:$F$28</definedName>
    <definedName name="MI_FINANCIAL" localSheetId="55">'Land of Lincoln'!$B$28:$F$28</definedName>
    <definedName name="MI_FINANCIAL" localSheetId="56">Legion!$B$28:$F$28</definedName>
    <definedName name="MI_FINANCIAL" localSheetId="57">'Life Health America'!$B$28:$F$28</definedName>
    <definedName name="MI_FINANCIAL" localSheetId="58">'Lincoln Memorial'!$B$28:$F$28</definedName>
    <definedName name="MI_FINANCIAL" localSheetId="59">'London Pac'!$B$28:$F$28</definedName>
    <definedName name="MI_FINANCIAL" localSheetId="60">Lumbermens!$B$28:$F$28</definedName>
    <definedName name="MI_FINANCIAL" localSheetId="61">'Medical Savings'!$B$28:$F$28</definedName>
    <definedName name="MI_FINANCIAL" localSheetId="62">'Memorial Service'!$B$28:$F$28</definedName>
    <definedName name="MI_FINANCIAL" localSheetId="63">Midcontinent!$B$28:$F$28</definedName>
    <definedName name="MI_FINANCIAL" localSheetId="64">'Midwest Life'!$B$28:$F$28</definedName>
    <definedName name="MI_FINANCIAL" localSheetId="65">'Monarch Life'!$B$28:$F$28</definedName>
    <definedName name="MI_FINANCIAL" localSheetId="66">'Mutual Benefit'!$B$28:$F$28</definedName>
    <definedName name="MI_FINANCIAL" localSheetId="67">'Mutual Security'!$B$28:$F$28</definedName>
    <definedName name="MI_FINANCIAL" localSheetId="68">'National Affiliated'!$B$28:$F$28</definedName>
    <definedName name="MI_FINANCIAL" localSheetId="70">'National Heritage'!$B$28:$F$28</definedName>
    <definedName name="MI_FINANCIAL" localSheetId="71">'National States'!$B$28:$F$28</definedName>
    <definedName name="MI_FINANCIAL" localSheetId="69">'Natl American'!$B$28:$F$28</definedName>
    <definedName name="MI_FINANCIAL" localSheetId="72">'New Jersey Life'!$B$28:$F$28</definedName>
    <definedName name="MI_FINANCIAL" localSheetId="74">NNIC!$B$28:$F$28</definedName>
    <definedName name="MI_FINANCIAL" localSheetId="73">'North Carolina Mutual'!$B$28:$F$28</definedName>
    <definedName name="MI_FINANCIAL" localSheetId="75">'Old Colony Life'!$B$28:$F$28</definedName>
    <definedName name="MI_FINANCIAL" localSheetId="76">'Old Faithful'!$B$28:$F$28</definedName>
    <definedName name="MI_FINANCIAL" localSheetId="77">'Pacific Standard'!$B$28:$F$28</definedName>
    <definedName name="MI_FINANCIAL" localSheetId="78">'Pavonia Life'!$B$28:$F$28</definedName>
    <definedName name="MI_FINANCIAL" localSheetId="79">'Pen  Treaty'!$B$28:$F$28</definedName>
    <definedName name="MI_FINANCIAL" localSheetId="80">'Red Rock'!$B$28:$F$28</definedName>
    <definedName name="MI_FINANCIAL" localSheetId="81">Reliance!$B$28:$F$28</definedName>
    <definedName name="MI_FINANCIAL" localSheetId="82">SeeChange!$B$28:$F$28</definedName>
    <definedName name="MI_FINANCIAL" localSheetId="83">'Senior American'!$B$28:$F$28</definedName>
    <definedName name="MI_FINANCIAL" localSheetId="84">Settlers!$B$28:$F$28</definedName>
    <definedName name="MI_FINANCIAL" localSheetId="85">Shenandoah!$B$28:$F$28</definedName>
    <definedName name="MI_FINANCIAL" localSheetId="86">'Southland National Life'!$B$28:$F$28</definedName>
    <definedName name="MI_FINANCIAL" localSheetId="87">'Standard Life IN'!$B$28:$F$28</definedName>
    <definedName name="MI_FINANCIAL" localSheetId="88">'States General'!$B$28:$F$28</definedName>
    <definedName name="MI_FINANCIAL" localSheetId="89">Statesman!$B$28:$F$28</definedName>
    <definedName name="MI_FINANCIAL" localSheetId="90">'Summit National'!$B$28:$F$28</definedName>
    <definedName name="MI_FINANCIAL" localSheetId="91">Supreme!$B$28:$F$28</definedName>
    <definedName name="MI_FINANCIAL" localSheetId="92">Time!$B$28:$F$28</definedName>
    <definedName name="MI_FINANCIAL" localSheetId="106">'Total Summary'!$B$28:$F$28</definedName>
    <definedName name="MI_FINANCIAL" localSheetId="93">Underwriters!$B$28:$F$28</definedName>
    <definedName name="MI_FINANCIAL" localSheetId="94">Unison!$B$28:$F$28</definedName>
    <definedName name="MI_FINANCIAL" localSheetId="95">'United Republic'!$B$28:$F$28</definedName>
    <definedName name="MI_FINANCIAL" localSheetId="96">'Universal Health Care'!$B$28:$F$28</definedName>
    <definedName name="MI_FINANCIAL" localSheetId="97">'Universal Life'!$B$28:$F$28</definedName>
    <definedName name="MI_FINANCIAL" localSheetId="98">Universe!$B$28:$F$28</definedName>
    <definedName name="MI_FINANCIAL" localSheetId="99">Villanova!$B$28:$F$28</definedName>
    <definedName name="MN_FINANCIAL" localSheetId="0">'Alabama Life'!$B$29:$F$29</definedName>
    <definedName name="MN_FINANCIAL" localSheetId="5">'Amer Life Asr'!$B$29:$F$29</definedName>
    <definedName name="MN_FINANCIAL" localSheetId="8">'Amer Std Life Acc'!$B$29:$F$29</definedName>
    <definedName name="MN_FINANCIAL" localSheetId="1">'American Chambers'!$B$29:$F$29</definedName>
    <definedName name="MN_FINANCIAL" localSheetId="2">'American Community'!$B$29:$F$29</definedName>
    <definedName name="MN_FINANCIAL" localSheetId="3">'American Educators'!$B$29:$F$29</definedName>
    <definedName name="MN_FINANCIAL" localSheetId="4">'American Integrity'!$B$29:$F$29</definedName>
    <definedName name="MN_FINANCIAL" localSheetId="6">'American Medical'!$B$29:$F$29</definedName>
    <definedName name="MN_FINANCIAL" localSheetId="7">'American Network'!$B$29:$F$29</definedName>
    <definedName name="MN_FINANCIAL" localSheetId="9">AmerWstrn!$B$29:$F$29</definedName>
    <definedName name="MN_FINANCIAL" localSheetId="10">'AMS Life'!$B$29:$F$29</definedName>
    <definedName name="MN_FINANCIAL" localSheetId="11">'Andrew Jackson'!$B$29:$F$29</definedName>
    <definedName name="MN_FINANCIAL" localSheetId="12">'Bankers Commercial'!$B$29:$F$29</definedName>
    <definedName name="MN_FINANCIAL" localSheetId="13">'Bankers Life'!$B$29:$F$29</definedName>
    <definedName name="MN_FINANCIAL" localSheetId="14">Benicorp!$B$29:$F$29</definedName>
    <definedName name="MN_FINANCIAL" localSheetId="15">'Booker T Washington'!$B$29:$F$29</definedName>
    <definedName name="MN_FINANCIAL" localSheetId="16">Centennial!$B$29:$F$29</definedName>
    <definedName name="MN_FINANCIAL" localSheetId="18">'CO Bankers'!$B$29:$F$29</definedName>
    <definedName name="MN_FINANCIAL" localSheetId="17">'Coastal States'!$B$29:$F$29</definedName>
    <definedName name="MN_FINANCIAL" localSheetId="19">'Colorado Health'!$B$29:$F$29</definedName>
    <definedName name="MN_FINANCIAL" localSheetId="20">'Compass (dbs Meritus)'!$B$29:$F$29</definedName>
    <definedName name="MN_FINANCIAL" localSheetId="21">'Confed Life &amp; Annty (CLIAC)'!$B$29:$F$29</definedName>
    <definedName name="MN_FINANCIAL" localSheetId="22">'Confed Life (CLIC)'!$B$29:$F$29</definedName>
    <definedName name="MN_FINANCIAL" localSheetId="23">'Consolidated National'!$B$29:$F$29</definedName>
    <definedName name="MN_FINANCIAL" localSheetId="24">'Consumers Choice'!$B$29:$F$29</definedName>
    <definedName name="MN_FINANCIAL" localSheetId="25">'Consumers Mutual'!$B$29:$F$29</definedName>
    <definedName name="MN_FINANCIAL" localSheetId="26">'Consumers United'!$B$29:$F$29</definedName>
    <definedName name="MN_FINANCIAL" localSheetId="27">CoOportunity!$B$29:$F$29</definedName>
    <definedName name="MN_FINANCIAL" localSheetId="28">'Coordinated Hlth'!$B$29:$F$29</definedName>
    <definedName name="MN_FINANCIAL" localSheetId="29">'Corporate Life'!$B$29:$F$29</definedName>
    <definedName name="MN_FINANCIAL" localSheetId="30">'Diamond Benefits'!$B$29:$F$29</definedName>
    <definedName name="MN_FINANCIAL" localSheetId="31">'EBL Life'!$B$29:$F$29</definedName>
    <definedName name="MN_FINANCIAL" localSheetId="33">ELNY!$B$29:$F$29</definedName>
    <definedName name="MN_FINANCIAL" localSheetId="32">'Executive Life'!$B$29:$F$29</definedName>
    <definedName name="MN_FINANCIAL" localSheetId="34">'Family Guaranty'!$B$29:$F$29</definedName>
    <definedName name="MN_FINANCIAL" localSheetId="35">'Farmers &amp; Ranchers'!$B$29:$F$29</definedName>
    <definedName name="MN_FINANCIAL" localSheetId="36">'Fidelity Bankers'!$B$29:$F$29</definedName>
    <definedName name="MN_FINANCIAL" localSheetId="37">'Fidelity Mutual'!$B$29:$F$29</definedName>
    <definedName name="MN_FINANCIAL" localSheetId="38">'First Capital'!$B$29:$F$29</definedName>
    <definedName name="MN_FINANCIAL" localSheetId="39">'First Natl'!$B$29:$F$29</definedName>
    <definedName name="MN_FINANCIAL" localSheetId="40">'First Natl (Thrnr)'!$B$29:$F$29</definedName>
    <definedName name="MN_FINANCIAL" localSheetId="41">'Franklin American'!$B$29:$F$29</definedName>
    <definedName name="MN_FINANCIAL" localSheetId="42">'Franklin Protective'!$B$29:$F$29</definedName>
    <definedName name="MN_FINANCIAL" localSheetId="43">'Freelancers CO-OP'!$B$29:$F$29</definedName>
    <definedName name="MN_FINANCIAL" localSheetId="44">Freestone!$B$29:$F$29</definedName>
    <definedName name="MN_FINANCIAL" localSheetId="45">'George Washington'!$B$29:$F$29</definedName>
    <definedName name="MN_FINANCIAL" localSheetId="46">'Golden State'!$B$29:$F$29</definedName>
    <definedName name="MN_FINANCIAL" localSheetId="47">'Guarantee Security'!$B$29:$F$29</definedName>
    <definedName name="MN_FINANCIAL" localSheetId="48">HealthyCT!$B$29:$F$29</definedName>
    <definedName name="MN_FINANCIAL" localSheetId="49">Imerica!$B$29:$F$29</definedName>
    <definedName name="MN_FINANCIAL" localSheetId="50">'Inter-American'!$B$29:$F$29</definedName>
    <definedName name="MN_FINANCIAL" localSheetId="51">'International Fin'!$B$29:$F$29</definedName>
    <definedName name="MN_FINANCIAL" localSheetId="52">'Investment Life of America'!$B$29:$F$29</definedName>
    <definedName name="MN_FINANCIAL" localSheetId="53">'Investors Equity'!$B$29:$F$29</definedName>
    <definedName name="MN_FINANCIAL" localSheetId="54">'Kentucky Central'!$B$29:$F$29</definedName>
    <definedName name="MN_FINANCIAL" localSheetId="55">'Land of Lincoln'!$B$29:$F$29</definedName>
    <definedName name="MN_FINANCIAL" localSheetId="56">Legion!$B$29:$F$29</definedName>
    <definedName name="MN_FINANCIAL" localSheetId="57">'Life Health America'!$B$29:$F$29</definedName>
    <definedName name="MN_FINANCIAL" localSheetId="58">'Lincoln Memorial'!$B$29:$F$29</definedName>
    <definedName name="MN_FINANCIAL" localSheetId="59">'London Pac'!$B$29:$F$29</definedName>
    <definedName name="MN_FINANCIAL" localSheetId="60">Lumbermens!$B$29:$F$29</definedName>
    <definedName name="MN_FINANCIAL" localSheetId="61">'Medical Savings'!$B$29:$F$29</definedName>
    <definedName name="MN_FINANCIAL" localSheetId="62">'Memorial Service'!$B$29:$F$29</definedName>
    <definedName name="MN_FINANCIAL" localSheetId="63">Midcontinent!$B$29:$F$29</definedName>
    <definedName name="MN_FINANCIAL" localSheetId="64">'Midwest Life'!$B$29:$F$29</definedName>
    <definedName name="MN_FINANCIAL" localSheetId="65">'Monarch Life'!$B$29:$F$29</definedName>
    <definedName name="MN_FINANCIAL" localSheetId="66">'Mutual Benefit'!$B$29:$F$29</definedName>
    <definedName name="MN_FINANCIAL" localSheetId="67">'Mutual Security'!$B$29:$F$29</definedName>
    <definedName name="MN_FINANCIAL" localSheetId="68">'National Affiliated'!$B$29:$F$29</definedName>
    <definedName name="MN_FINANCIAL" localSheetId="70">'National Heritage'!$B$29:$F$29</definedName>
    <definedName name="MN_FINANCIAL" localSheetId="71">'National States'!$B$29:$F$29</definedName>
    <definedName name="MN_FINANCIAL" localSheetId="69">'Natl American'!$B$29:$F$29</definedName>
    <definedName name="MN_FINANCIAL" localSheetId="72">'New Jersey Life'!$B$29:$F$29</definedName>
    <definedName name="MN_FINANCIAL" localSheetId="74">NNIC!$B$29:$F$29</definedName>
    <definedName name="MN_FINANCIAL" localSheetId="73">'North Carolina Mutual'!$B$29:$F$29</definedName>
    <definedName name="MN_FINANCIAL" localSheetId="75">'Old Colony Life'!$B$29:$F$29</definedName>
    <definedName name="MN_FINANCIAL" localSheetId="76">'Old Faithful'!$B$29:$F$29</definedName>
    <definedName name="MN_FINANCIAL" localSheetId="77">'Pacific Standard'!$B$29:$F$29</definedName>
    <definedName name="MN_FINANCIAL" localSheetId="78">'Pavonia Life'!$B$29:$F$29</definedName>
    <definedName name="MN_FINANCIAL" localSheetId="79">'Pen  Treaty'!$B$29:$F$29</definedName>
    <definedName name="MN_FINANCIAL" localSheetId="80">'Red Rock'!$B$29:$F$29</definedName>
    <definedName name="MN_FINANCIAL" localSheetId="81">Reliance!$B$29:$F$29</definedName>
    <definedName name="MN_FINANCIAL" localSheetId="82">SeeChange!$B$29:$F$29</definedName>
    <definedName name="MN_FINANCIAL" localSheetId="83">'Senior American'!$B$29:$F$29</definedName>
    <definedName name="MN_FINANCIAL" localSheetId="84">Settlers!$B$29:$F$29</definedName>
    <definedName name="MN_FINANCIAL" localSheetId="85">Shenandoah!$B$29:$F$29</definedName>
    <definedName name="MN_FINANCIAL" localSheetId="86">'Southland National Life'!$B$29:$F$29</definedName>
    <definedName name="MN_FINANCIAL" localSheetId="87">'Standard Life IN'!$B$29:$F$29</definedName>
    <definedName name="MN_FINANCIAL" localSheetId="88">'States General'!$B$29:$F$29</definedName>
    <definedName name="MN_FINANCIAL" localSheetId="89">Statesman!$B$29:$F$29</definedName>
    <definedName name="MN_FINANCIAL" localSheetId="90">'Summit National'!$B$29:$F$29</definedName>
    <definedName name="MN_FINANCIAL" localSheetId="91">Supreme!$B$29:$F$29</definedName>
    <definedName name="MN_FINANCIAL" localSheetId="92">Time!$B$29:$F$29</definedName>
    <definedName name="MN_FINANCIAL" localSheetId="106">'Total Summary'!$B$29:$F$29</definedName>
    <definedName name="MN_FINANCIAL" localSheetId="93">Underwriters!$B$29:$F$29</definedName>
    <definedName name="MN_FINANCIAL" localSheetId="94">Unison!$B$29:$F$29</definedName>
    <definedName name="MN_FINANCIAL" localSheetId="95">'United Republic'!$B$29:$F$29</definedName>
    <definedName name="MN_FINANCIAL" localSheetId="96">'Universal Health Care'!$B$29:$F$29</definedName>
    <definedName name="MN_FINANCIAL" localSheetId="97">'Universal Life'!$B$29:$F$29</definedName>
    <definedName name="MN_FINANCIAL" localSheetId="98">Universe!$B$29:$F$29</definedName>
    <definedName name="MN_FINANCIAL" localSheetId="99">Villanova!$B$29:$F$29</definedName>
    <definedName name="MO_FINANCIAL" localSheetId="0">'Alabama Life'!$B$31:$F$31</definedName>
    <definedName name="MO_FINANCIAL" localSheetId="5">'Amer Life Asr'!$B$31:$F$31</definedName>
    <definedName name="MO_FINANCIAL" localSheetId="8">'Amer Std Life Acc'!$B$31:$F$31</definedName>
    <definedName name="MO_FINANCIAL" localSheetId="1">'American Chambers'!$B$31:$F$31</definedName>
    <definedName name="MO_FINANCIAL" localSheetId="2">'American Community'!$B$31:$F$31</definedName>
    <definedName name="MO_FINANCIAL" localSheetId="3">'American Educators'!$B$31:$F$31</definedName>
    <definedName name="MO_FINANCIAL" localSheetId="4">'American Integrity'!$B$31:$F$31</definedName>
    <definedName name="MO_FINANCIAL" localSheetId="6">'American Medical'!$B$31:$F$31</definedName>
    <definedName name="MO_FINANCIAL" localSheetId="7">'American Network'!$B$31:$F$31</definedName>
    <definedName name="MO_FINANCIAL" localSheetId="9">AmerWstrn!$B$31:$F$31</definedName>
    <definedName name="MO_FINANCIAL" localSheetId="10">'AMS Life'!$B$31:$F$31</definedName>
    <definedName name="MO_FINANCIAL" localSheetId="11">'Andrew Jackson'!$B$31:$F$31</definedName>
    <definedName name="MO_FINANCIAL" localSheetId="12">'Bankers Commercial'!$B$31:$F$31</definedName>
    <definedName name="MO_FINANCIAL" localSheetId="13">'Bankers Life'!$B$31:$F$31</definedName>
    <definedName name="MO_FINANCIAL" localSheetId="14">Benicorp!$B$31:$F$31</definedName>
    <definedName name="MO_FINANCIAL" localSheetId="15">'Booker T Washington'!$B$31:$F$31</definedName>
    <definedName name="MO_FINANCIAL" localSheetId="16">Centennial!$B$31:$F$31</definedName>
    <definedName name="MO_FINANCIAL" localSheetId="18">'CO Bankers'!$B$31:$F$31</definedName>
    <definedName name="MO_FINANCIAL" localSheetId="17">'Coastal States'!$B$31:$F$31</definedName>
    <definedName name="MO_FINANCIAL" localSheetId="19">'Colorado Health'!$B$31:$F$31</definedName>
    <definedName name="MO_FINANCIAL" localSheetId="20">'Compass (dbs Meritus)'!$B$31:$F$31</definedName>
    <definedName name="MO_FINANCIAL" localSheetId="21">'Confed Life &amp; Annty (CLIAC)'!$B$31:$F$31</definedName>
    <definedName name="MO_FINANCIAL" localSheetId="22">'Confed Life (CLIC)'!$B$31:$F$31</definedName>
    <definedName name="MO_FINANCIAL" localSheetId="23">'Consolidated National'!$B$31:$F$31</definedName>
    <definedName name="MO_FINANCIAL" localSheetId="24">'Consumers Choice'!$B$31:$F$31</definedName>
    <definedName name="MO_FINANCIAL" localSheetId="25">'Consumers Mutual'!$B$31:$F$31</definedName>
    <definedName name="MO_FINANCIAL" localSheetId="26">'Consumers United'!$B$31:$F$31</definedName>
    <definedName name="MO_FINANCIAL" localSheetId="27">CoOportunity!$B$31:$F$31</definedName>
    <definedName name="MO_FINANCIAL" localSheetId="28">'Coordinated Hlth'!$B$31:$F$31</definedName>
    <definedName name="MO_FINANCIAL" localSheetId="29">'Corporate Life'!$B$31:$F$31</definedName>
    <definedName name="MO_FINANCIAL" localSheetId="30">'Diamond Benefits'!$B$31:$F$31</definedName>
    <definedName name="MO_FINANCIAL" localSheetId="31">'EBL Life'!$B$31:$F$31</definedName>
    <definedName name="MO_FINANCIAL" localSheetId="33">ELNY!$B$31:$F$31</definedName>
    <definedName name="MO_FINANCIAL" localSheetId="32">'Executive Life'!$B$31:$F$31</definedName>
    <definedName name="MO_FINANCIAL" localSheetId="34">'Family Guaranty'!$B$31:$F$31</definedName>
    <definedName name="MO_FINANCIAL" localSheetId="35">'Farmers &amp; Ranchers'!$B$31:$F$31</definedName>
    <definedName name="MO_FINANCIAL" localSheetId="36">'Fidelity Bankers'!$B$31:$F$31</definedName>
    <definedName name="MO_FINANCIAL" localSheetId="37">'Fidelity Mutual'!$B$31:$F$31</definedName>
    <definedName name="MO_FINANCIAL" localSheetId="38">'First Capital'!$B$31:$F$31</definedName>
    <definedName name="MO_FINANCIAL" localSheetId="39">'First Natl'!$B$31:$F$31</definedName>
    <definedName name="MO_FINANCIAL" localSheetId="40">'First Natl (Thrnr)'!$B$31:$F$31</definedName>
    <definedName name="MO_FINANCIAL" localSheetId="41">'Franklin American'!$B$31:$F$31</definedName>
    <definedName name="MO_FINANCIAL" localSheetId="42">'Franklin Protective'!$B$31:$F$31</definedName>
    <definedName name="MO_FINANCIAL" localSheetId="43">'Freelancers CO-OP'!$B$31:$F$31</definedName>
    <definedName name="MO_FINANCIAL" localSheetId="44">Freestone!$B$31:$F$31</definedName>
    <definedName name="MO_FINANCIAL" localSheetId="45">'George Washington'!$B$31:$F$31</definedName>
    <definedName name="MO_FINANCIAL" localSheetId="46">'Golden State'!$B$31:$F$31</definedName>
    <definedName name="MO_FINANCIAL" localSheetId="47">'Guarantee Security'!$B$31:$F$31</definedName>
    <definedName name="MO_FINANCIAL" localSheetId="48">HealthyCT!$B$31:$F$31</definedName>
    <definedName name="MO_FINANCIAL" localSheetId="49">Imerica!$B$31:$F$31</definedName>
    <definedName name="MO_FINANCIAL" localSheetId="50">'Inter-American'!$B$31:$F$31</definedName>
    <definedName name="MO_FINANCIAL" localSheetId="51">'International Fin'!$B$31:$F$31</definedName>
    <definedName name="MO_FINANCIAL" localSheetId="52">'Investment Life of America'!$B$31:$F$31</definedName>
    <definedName name="MO_FINANCIAL" localSheetId="53">'Investors Equity'!$B$31:$F$31</definedName>
    <definedName name="MO_FINANCIAL" localSheetId="54">'Kentucky Central'!$B$31:$F$31</definedName>
    <definedName name="MO_FINANCIAL" localSheetId="55">'Land of Lincoln'!$B$31:$F$31</definedName>
    <definedName name="MO_FINANCIAL" localSheetId="56">Legion!$B$31:$F$31</definedName>
    <definedName name="MO_FINANCIAL" localSheetId="57">'Life Health America'!$B$31:$F$31</definedName>
    <definedName name="MO_FINANCIAL" localSheetId="58">'Lincoln Memorial'!$B$31:$F$31</definedName>
    <definedName name="MO_FINANCIAL" localSheetId="59">'London Pac'!$B$31:$F$31</definedName>
    <definedName name="MO_FINANCIAL" localSheetId="60">Lumbermens!$B$31:$F$31</definedName>
    <definedName name="MO_FINANCIAL" localSheetId="61">'Medical Savings'!$B$31:$F$31</definedName>
    <definedName name="MO_FINANCIAL" localSheetId="62">'Memorial Service'!$B$31:$F$31</definedName>
    <definedName name="MO_FINANCIAL" localSheetId="63">Midcontinent!$B$31:$F$31</definedName>
    <definedName name="MO_FINANCIAL" localSheetId="64">'Midwest Life'!$B$31:$F$31</definedName>
    <definedName name="MO_FINANCIAL" localSheetId="65">'Monarch Life'!$B$31:$F$31</definedName>
    <definedName name="MO_FINANCIAL" localSheetId="66">'Mutual Benefit'!$B$31:$F$31</definedName>
    <definedName name="MO_FINANCIAL" localSheetId="67">'Mutual Security'!$B$31:$F$31</definedName>
    <definedName name="MO_FINANCIAL" localSheetId="68">'National Affiliated'!$B$31:$F$31</definedName>
    <definedName name="MO_FINANCIAL" localSheetId="70">'National Heritage'!$B$31:$F$31</definedName>
    <definedName name="MO_FINANCIAL" localSheetId="71">'National States'!$B$31:$F$31</definedName>
    <definedName name="MO_FINANCIAL" localSheetId="69">'Natl American'!$B$31:$F$31</definedName>
    <definedName name="MO_FINANCIAL" localSheetId="72">'New Jersey Life'!$B$31:$F$31</definedName>
    <definedName name="MO_FINANCIAL" localSheetId="74">NNIC!$B$31:$F$31</definedName>
    <definedName name="MO_FINANCIAL" localSheetId="73">'North Carolina Mutual'!$B$31:$F$31</definedName>
    <definedName name="MO_FINANCIAL" localSheetId="75">'Old Colony Life'!$B$31:$F$31</definedName>
    <definedName name="MO_FINANCIAL" localSheetId="76">'Old Faithful'!$B$31:$F$31</definedName>
    <definedName name="MO_FINANCIAL" localSheetId="77">'Pacific Standard'!$B$31:$F$31</definedName>
    <definedName name="MO_FINANCIAL" localSheetId="78">'Pavonia Life'!$B$31:$F$31</definedName>
    <definedName name="MO_FINANCIAL" localSheetId="79">'Pen  Treaty'!$B$31:$F$31</definedName>
    <definedName name="MO_FINANCIAL" localSheetId="80">'Red Rock'!$B$31:$F$31</definedName>
    <definedName name="MO_FINANCIAL" localSheetId="81">Reliance!$B$31:$F$31</definedName>
    <definedName name="MO_FINANCIAL" localSheetId="82">SeeChange!$B$31:$F$31</definedName>
    <definedName name="MO_FINANCIAL" localSheetId="83">'Senior American'!$B$31:$F$31</definedName>
    <definedName name="MO_FINANCIAL" localSheetId="84">Settlers!$B$31:$F$31</definedName>
    <definedName name="MO_FINANCIAL" localSheetId="85">Shenandoah!$B$31:$F$31</definedName>
    <definedName name="MO_FINANCIAL" localSheetId="86">'Southland National Life'!$B$31:$F$31</definedName>
    <definedName name="MO_FINANCIAL" localSheetId="87">'Standard Life IN'!$B$31:$F$31</definedName>
    <definedName name="MO_FINANCIAL" localSheetId="88">'States General'!$B$31:$F$31</definedName>
    <definedName name="MO_FINANCIAL" localSheetId="89">Statesman!$B$31:$F$31</definedName>
    <definedName name="MO_FINANCIAL" localSheetId="90">'Summit National'!$B$31:$F$31</definedName>
    <definedName name="MO_FINANCIAL" localSheetId="91">Supreme!$B$31:$F$31</definedName>
    <definedName name="MO_FINANCIAL" localSheetId="92">Time!$B$31:$F$31</definedName>
    <definedName name="MO_FINANCIAL" localSheetId="106">'Total Summary'!$B$31:$F$31</definedName>
    <definedName name="MO_FINANCIAL" localSheetId="93">Underwriters!$B$31:$F$31</definedName>
    <definedName name="MO_FINANCIAL" localSheetId="94">Unison!$B$31:$F$31</definedName>
    <definedName name="MO_FINANCIAL" localSheetId="95">'United Republic'!$B$31:$F$31</definedName>
    <definedName name="MO_FINANCIAL" localSheetId="96">'Universal Health Care'!$B$31:$F$31</definedName>
    <definedName name="MO_FINANCIAL" localSheetId="97">'Universal Life'!$B$31:$F$31</definedName>
    <definedName name="MO_FINANCIAL" localSheetId="98">Universe!$B$31:$F$31</definedName>
    <definedName name="MO_FINANCIAL" localSheetId="99">Villanova!$B$31:$F$31</definedName>
    <definedName name="MS_FINANCIAL" localSheetId="0">'Alabama Life'!$B$30:$F$30</definedName>
    <definedName name="MS_FINANCIAL" localSheetId="5">'Amer Life Asr'!$B$30:$F$30</definedName>
    <definedName name="MS_FINANCIAL" localSheetId="8">'Amer Std Life Acc'!$B$30:$F$30</definedName>
    <definedName name="MS_FINANCIAL" localSheetId="1">'American Chambers'!$B$30:$F$30</definedName>
    <definedName name="MS_FINANCIAL" localSheetId="2">'American Community'!$B$30:$F$30</definedName>
    <definedName name="MS_FINANCIAL" localSheetId="3">'American Educators'!$B$30:$F$30</definedName>
    <definedName name="MS_FINANCIAL" localSheetId="4">'American Integrity'!$B$30:$F$30</definedName>
    <definedName name="MS_FINANCIAL" localSheetId="6">'American Medical'!$B$30:$F$30</definedName>
    <definedName name="MS_FINANCIAL" localSheetId="7">'American Network'!$B$30:$F$30</definedName>
    <definedName name="MS_FINANCIAL" localSheetId="9">AmerWstrn!$B$30:$F$30</definedName>
    <definedName name="MS_FINANCIAL" localSheetId="10">'AMS Life'!$B$30:$F$30</definedName>
    <definedName name="MS_FINANCIAL" localSheetId="11">'Andrew Jackson'!$B$30:$F$30</definedName>
    <definedName name="MS_FINANCIAL" localSheetId="12">'Bankers Commercial'!$B$30:$F$30</definedName>
    <definedName name="MS_FINANCIAL" localSheetId="13">'Bankers Life'!$B$30:$F$30</definedName>
    <definedName name="MS_FINANCIAL" localSheetId="14">Benicorp!$B$30:$F$30</definedName>
    <definedName name="MS_FINANCIAL" localSheetId="15">'Booker T Washington'!$B$30:$F$30</definedName>
    <definedName name="MS_FINANCIAL" localSheetId="16">Centennial!$B$30:$F$30</definedName>
    <definedName name="MS_FINANCIAL" localSheetId="18">'CO Bankers'!$B$30:$F$30</definedName>
    <definedName name="MS_FINANCIAL" localSheetId="17">'Coastal States'!$B$30:$F$30</definedName>
    <definedName name="MS_FINANCIAL" localSheetId="19">'Colorado Health'!$B$30:$F$30</definedName>
    <definedName name="MS_FINANCIAL" localSheetId="20">'Compass (dbs Meritus)'!$B$30:$F$30</definedName>
    <definedName name="MS_FINANCIAL" localSheetId="21">'Confed Life &amp; Annty (CLIAC)'!$B$30:$F$30</definedName>
    <definedName name="MS_FINANCIAL" localSheetId="22">'Confed Life (CLIC)'!$B$30:$F$30</definedName>
    <definedName name="MS_FINANCIAL" localSheetId="23">'Consolidated National'!$B$30:$F$30</definedName>
    <definedName name="MS_FINANCIAL" localSheetId="24">'Consumers Choice'!$B$30:$F$30</definedName>
    <definedName name="MS_FINANCIAL" localSheetId="25">'Consumers Mutual'!$B$30:$F$30</definedName>
    <definedName name="MS_FINANCIAL" localSheetId="26">'Consumers United'!$B$30:$F$30</definedName>
    <definedName name="MS_FINANCIAL" localSheetId="27">CoOportunity!$B$30:$F$30</definedName>
    <definedName name="MS_FINANCIAL" localSheetId="28">'Coordinated Hlth'!$B$30:$F$30</definedName>
    <definedName name="MS_FINANCIAL" localSheetId="29">'Corporate Life'!$B$30:$F$30</definedName>
    <definedName name="MS_FINANCIAL" localSheetId="30">'Diamond Benefits'!$B$30:$F$30</definedName>
    <definedName name="MS_FINANCIAL" localSheetId="31">'EBL Life'!$B$30:$F$30</definedName>
    <definedName name="MS_FINANCIAL" localSheetId="33">ELNY!$B$30:$F$30</definedName>
    <definedName name="MS_FINANCIAL" localSheetId="32">'Executive Life'!$B$30:$F$30</definedName>
    <definedName name="MS_FINANCIAL" localSheetId="34">'Family Guaranty'!$B$30:$F$30</definedName>
    <definedName name="MS_FINANCIAL" localSheetId="35">'Farmers &amp; Ranchers'!$B$30:$F$30</definedName>
    <definedName name="MS_FINANCIAL" localSheetId="36">'Fidelity Bankers'!$B$30:$F$30</definedName>
    <definedName name="MS_FINANCIAL" localSheetId="37">'Fidelity Mutual'!$B$30:$F$30</definedName>
    <definedName name="MS_FINANCIAL" localSheetId="38">'First Capital'!$B$30:$F$30</definedName>
    <definedName name="MS_FINANCIAL" localSheetId="39">'First Natl'!$B$30:$F$30</definedName>
    <definedName name="MS_FINANCIAL" localSheetId="40">'First Natl (Thrnr)'!$B$30:$F$30</definedName>
    <definedName name="MS_FINANCIAL" localSheetId="41">'Franklin American'!$B$30:$F$30</definedName>
    <definedName name="MS_FINANCIAL" localSheetId="42">'Franklin Protective'!$B$30:$F$30</definedName>
    <definedName name="MS_FINANCIAL" localSheetId="43">'Freelancers CO-OP'!$B$30:$F$30</definedName>
    <definedName name="MS_FINANCIAL" localSheetId="44">Freestone!$B$30:$F$30</definedName>
    <definedName name="MS_FINANCIAL" localSheetId="45">'George Washington'!$B$30:$F$30</definedName>
    <definedName name="MS_FINANCIAL" localSheetId="46">'Golden State'!$B$30:$F$30</definedName>
    <definedName name="MS_FINANCIAL" localSheetId="47">'Guarantee Security'!$B$30:$F$30</definedName>
    <definedName name="MS_FINANCIAL" localSheetId="48">HealthyCT!$B$30:$F$30</definedName>
    <definedName name="MS_FINANCIAL" localSheetId="49">Imerica!$B$30:$F$30</definedName>
    <definedName name="MS_FINANCIAL" localSheetId="50">'Inter-American'!$B$30:$F$30</definedName>
    <definedName name="MS_FINANCIAL" localSheetId="51">'International Fin'!$B$30:$F$30</definedName>
    <definedName name="MS_FINANCIAL" localSheetId="52">'Investment Life of America'!$B$30:$F$30</definedName>
    <definedName name="MS_FINANCIAL" localSheetId="53">'Investors Equity'!$B$30:$F$30</definedName>
    <definedName name="MS_FINANCIAL" localSheetId="54">'Kentucky Central'!$B$30:$F$30</definedName>
    <definedName name="MS_FINANCIAL" localSheetId="55">'Land of Lincoln'!$B$30:$F$30</definedName>
    <definedName name="MS_FINANCIAL" localSheetId="56">Legion!$B$30:$F$30</definedName>
    <definedName name="MS_FINANCIAL" localSheetId="57">'Life Health America'!$B$30:$F$30</definedName>
    <definedName name="MS_FINANCIAL" localSheetId="58">'Lincoln Memorial'!$B$30:$F$30</definedName>
    <definedName name="MS_FINANCIAL" localSheetId="59">'London Pac'!$B$30:$F$30</definedName>
    <definedName name="MS_FINANCIAL" localSheetId="60">Lumbermens!$B$30:$F$30</definedName>
    <definedName name="MS_FINANCIAL" localSheetId="61">'Medical Savings'!$B$30:$F$30</definedName>
    <definedName name="MS_FINANCIAL" localSheetId="62">'Memorial Service'!$B$30:$F$30</definedName>
    <definedName name="MS_FINANCIAL" localSheetId="63">Midcontinent!$B$30:$F$30</definedName>
    <definedName name="MS_FINANCIAL" localSheetId="64">'Midwest Life'!$B$30:$F$30</definedName>
    <definedName name="MS_FINANCIAL" localSheetId="65">'Monarch Life'!$B$30:$F$30</definedName>
    <definedName name="MS_FINANCIAL" localSheetId="66">'Mutual Benefit'!$B$30:$F$30</definedName>
    <definedName name="MS_FINANCIAL" localSheetId="67">'Mutual Security'!$B$30:$F$30</definedName>
    <definedName name="MS_FINANCIAL" localSheetId="68">'National Affiliated'!$B$30:$F$30</definedName>
    <definedName name="MS_FINANCIAL" localSheetId="70">'National Heritage'!$B$30:$F$30</definedName>
    <definedName name="MS_FINANCIAL" localSheetId="71">'National States'!$B$30:$F$30</definedName>
    <definedName name="MS_FINANCIAL" localSheetId="69">'Natl American'!$B$30:$F$30</definedName>
    <definedName name="MS_FINANCIAL" localSheetId="72">'New Jersey Life'!$B$30:$F$30</definedName>
    <definedName name="MS_FINANCIAL" localSheetId="74">NNIC!$B$30:$F$30</definedName>
    <definedName name="MS_FINANCIAL" localSheetId="73">'North Carolina Mutual'!$B$30:$F$30</definedName>
    <definedName name="MS_FINANCIAL" localSheetId="75">'Old Colony Life'!$B$30:$F$30</definedName>
    <definedName name="MS_FINANCIAL" localSheetId="76">'Old Faithful'!$B$30:$F$30</definedName>
    <definedName name="MS_FINANCIAL" localSheetId="77">'Pacific Standard'!$B$30:$F$30</definedName>
    <definedName name="MS_FINANCIAL" localSheetId="78">'Pavonia Life'!$B$30:$F$30</definedName>
    <definedName name="MS_FINANCIAL" localSheetId="79">'Pen  Treaty'!$B$30:$F$30</definedName>
    <definedName name="MS_FINANCIAL" localSheetId="80">'Red Rock'!$B$30:$F$30</definedName>
    <definedName name="MS_FINANCIAL" localSheetId="81">Reliance!$B$30:$F$30</definedName>
    <definedName name="MS_FINANCIAL" localSheetId="82">SeeChange!$B$30:$F$30</definedName>
    <definedName name="MS_FINANCIAL" localSheetId="83">'Senior American'!$B$30:$F$30</definedName>
    <definedName name="MS_FINANCIAL" localSheetId="84">Settlers!$B$30:$F$30</definedName>
    <definedName name="MS_FINANCIAL" localSheetId="85">Shenandoah!$B$30:$F$30</definedName>
    <definedName name="MS_FINANCIAL" localSheetId="86">'Southland National Life'!$B$30:$F$30</definedName>
    <definedName name="MS_FINANCIAL" localSheetId="87">'Standard Life IN'!$B$30:$F$30</definedName>
    <definedName name="MS_FINANCIAL" localSheetId="88">'States General'!$B$30:$F$30</definedName>
    <definedName name="MS_FINANCIAL" localSheetId="89">Statesman!$B$30:$F$30</definedName>
    <definedName name="MS_FINANCIAL" localSheetId="90">'Summit National'!$B$30:$F$30</definedName>
    <definedName name="MS_FINANCIAL" localSheetId="91">Supreme!$B$30:$F$30</definedName>
    <definedName name="MS_FINANCIAL" localSheetId="92">Time!$B$30:$F$30</definedName>
    <definedName name="MS_FINANCIAL" localSheetId="106">'Total Summary'!$B$30:$F$30</definedName>
    <definedName name="MS_FINANCIAL" localSheetId="93">Underwriters!$B$30:$F$30</definedName>
    <definedName name="MS_FINANCIAL" localSheetId="94">Unison!$B$30:$F$30</definedName>
    <definedName name="MS_FINANCIAL" localSheetId="95">'United Republic'!$B$30:$F$30</definedName>
    <definedName name="MS_FINANCIAL" localSheetId="96">'Universal Health Care'!$B$30:$F$30</definedName>
    <definedName name="MS_FINANCIAL" localSheetId="97">'Universal Life'!$B$30:$F$30</definedName>
    <definedName name="MS_FINANCIAL" localSheetId="98">Universe!$B$30:$F$30</definedName>
    <definedName name="MS_FINANCIAL" localSheetId="99">Villanova!$B$30:$F$30</definedName>
    <definedName name="MT_FINANCIAL" localSheetId="0">'Alabama Life'!$B$32:$F$32</definedName>
    <definedName name="MT_FINANCIAL" localSheetId="5">'Amer Life Asr'!$B$32:$F$32</definedName>
    <definedName name="MT_FINANCIAL" localSheetId="8">'Amer Std Life Acc'!$B$32:$F$32</definedName>
    <definedName name="MT_FINANCIAL" localSheetId="1">'American Chambers'!$B$32:$F$32</definedName>
    <definedName name="MT_FINANCIAL" localSheetId="2">'American Community'!$B$32:$F$32</definedName>
    <definedName name="MT_FINANCIAL" localSheetId="3">'American Educators'!$B$32:$F$32</definedName>
    <definedName name="MT_FINANCIAL" localSheetId="4">'American Integrity'!$B$32:$F$32</definedName>
    <definedName name="MT_FINANCIAL" localSheetId="6">'American Medical'!$B$32:$F$32</definedName>
    <definedName name="MT_FINANCIAL" localSheetId="7">'American Network'!$B$32:$F$32</definedName>
    <definedName name="MT_FINANCIAL" localSheetId="9">AmerWstrn!$B$32:$F$32</definedName>
    <definedName name="MT_FINANCIAL" localSheetId="10">'AMS Life'!$B$32:$F$32</definedName>
    <definedName name="MT_FINANCIAL" localSheetId="11">'Andrew Jackson'!$B$32:$F$32</definedName>
    <definedName name="MT_FINANCIAL" localSheetId="12">'Bankers Commercial'!$B$32:$F$32</definedName>
    <definedName name="MT_FINANCIAL" localSheetId="13">'Bankers Life'!$B$32:$F$32</definedName>
    <definedName name="MT_FINANCIAL" localSheetId="14">Benicorp!$B$32:$F$32</definedName>
    <definedName name="MT_FINANCIAL" localSheetId="15">'Booker T Washington'!$B$32:$F$32</definedName>
    <definedName name="MT_FINANCIAL" localSheetId="16">Centennial!$B$32:$F$32</definedName>
    <definedName name="MT_FINANCIAL" localSheetId="18">'CO Bankers'!$B$32:$F$32</definedName>
    <definedName name="MT_FINANCIAL" localSheetId="17">'Coastal States'!$B$32:$F$32</definedName>
    <definedName name="MT_FINANCIAL" localSheetId="19">'Colorado Health'!$B$32:$F$32</definedName>
    <definedName name="MT_FINANCIAL" localSheetId="20">'Compass (dbs Meritus)'!$B$32:$F$32</definedName>
    <definedName name="MT_FINANCIAL" localSheetId="21">'Confed Life &amp; Annty (CLIAC)'!$B$32:$F$32</definedName>
    <definedName name="MT_FINANCIAL" localSheetId="22">'Confed Life (CLIC)'!$B$32:$F$32</definedName>
    <definedName name="MT_FINANCIAL" localSheetId="23">'Consolidated National'!$B$32:$F$32</definedName>
    <definedName name="MT_FINANCIAL" localSheetId="24">'Consumers Choice'!$B$32:$F$32</definedName>
    <definedName name="MT_FINANCIAL" localSheetId="25">'Consumers Mutual'!$B$32:$F$32</definedName>
    <definedName name="MT_FINANCIAL" localSheetId="26">'Consumers United'!$B$32:$F$32</definedName>
    <definedName name="MT_FINANCIAL" localSheetId="27">CoOportunity!$B$32:$F$32</definedName>
    <definedName name="MT_FINANCIAL" localSheetId="28">'Coordinated Hlth'!$B$32:$F$32</definedName>
    <definedName name="MT_FINANCIAL" localSheetId="29">'Corporate Life'!$B$32:$F$32</definedName>
    <definedName name="MT_FINANCIAL" localSheetId="30">'Diamond Benefits'!$B$32:$F$32</definedName>
    <definedName name="MT_FINANCIAL" localSheetId="31">'EBL Life'!$B$32:$F$32</definedName>
    <definedName name="MT_FINANCIAL" localSheetId="33">ELNY!$B$32:$F$32</definedName>
    <definedName name="MT_FINANCIAL" localSheetId="32">'Executive Life'!$B$32:$F$32</definedName>
    <definedName name="MT_FINANCIAL" localSheetId="34">'Family Guaranty'!$B$32:$F$32</definedName>
    <definedName name="MT_FINANCIAL" localSheetId="35">'Farmers &amp; Ranchers'!$B$32:$F$32</definedName>
    <definedName name="MT_FINANCIAL" localSheetId="36">'Fidelity Bankers'!$B$32:$F$32</definedName>
    <definedName name="MT_FINANCIAL" localSheetId="37">'Fidelity Mutual'!$B$32:$F$32</definedName>
    <definedName name="MT_FINANCIAL" localSheetId="38">'First Capital'!$B$32:$F$32</definedName>
    <definedName name="MT_FINANCIAL" localSheetId="39">'First Natl'!$B$32:$F$32</definedName>
    <definedName name="MT_FINANCIAL" localSheetId="40">'First Natl (Thrnr)'!$B$32:$F$32</definedName>
    <definedName name="MT_FINANCIAL" localSheetId="41">'Franklin American'!$B$32:$F$32</definedName>
    <definedName name="MT_FINANCIAL" localSheetId="42">'Franklin Protective'!$B$32:$F$32</definedName>
    <definedName name="MT_FINANCIAL" localSheetId="43">'Freelancers CO-OP'!$B$32:$F$32</definedName>
    <definedName name="MT_FINANCIAL" localSheetId="44">Freestone!$B$32:$F$32</definedName>
    <definedName name="MT_FINANCIAL" localSheetId="45">'George Washington'!$B$32:$F$32</definedName>
    <definedName name="MT_FINANCIAL" localSheetId="46">'Golden State'!$B$32:$F$32</definedName>
    <definedName name="MT_FINANCIAL" localSheetId="47">'Guarantee Security'!$B$32:$F$32</definedName>
    <definedName name="MT_FINANCIAL" localSheetId="48">HealthyCT!$B$32:$F$32</definedName>
    <definedName name="MT_FINANCIAL" localSheetId="49">Imerica!$B$32:$F$32</definedName>
    <definedName name="MT_FINANCIAL" localSheetId="50">'Inter-American'!$B$32:$F$32</definedName>
    <definedName name="MT_FINANCIAL" localSheetId="51">'International Fin'!$B$32:$F$32</definedName>
    <definedName name="MT_FINANCIAL" localSheetId="52">'Investment Life of America'!$B$32:$F$32</definedName>
    <definedName name="MT_FINANCIAL" localSheetId="53">'Investors Equity'!$B$32:$F$32</definedName>
    <definedName name="MT_FINANCIAL" localSheetId="54">'Kentucky Central'!$B$32:$F$32</definedName>
    <definedName name="MT_FINANCIAL" localSheetId="55">'Land of Lincoln'!$B$32:$F$32</definedName>
    <definedName name="MT_FINANCIAL" localSheetId="56">Legion!$B$32:$F$32</definedName>
    <definedName name="MT_FINANCIAL" localSheetId="57">'Life Health America'!$B$32:$F$32</definedName>
    <definedName name="MT_FINANCIAL" localSheetId="58">'Lincoln Memorial'!$B$32:$F$32</definedName>
    <definedName name="MT_FINANCIAL" localSheetId="59">'London Pac'!$B$32:$F$32</definedName>
    <definedName name="MT_FINANCIAL" localSheetId="60">Lumbermens!$B$32:$F$32</definedName>
    <definedName name="MT_FINANCIAL" localSheetId="61">'Medical Savings'!$B$32:$F$32</definedName>
    <definedName name="MT_FINANCIAL" localSheetId="62">'Memorial Service'!$B$32:$F$32</definedName>
    <definedName name="MT_FINANCIAL" localSheetId="63">Midcontinent!$B$32:$F$32</definedName>
    <definedName name="MT_FINANCIAL" localSheetId="64">'Midwest Life'!$B$32:$F$32</definedName>
    <definedName name="MT_FINANCIAL" localSheetId="65">'Monarch Life'!$B$32:$F$32</definedName>
    <definedName name="MT_FINANCIAL" localSheetId="66">'Mutual Benefit'!$B$32:$F$32</definedName>
    <definedName name="MT_FINANCIAL" localSheetId="67">'Mutual Security'!$B$32:$F$32</definedName>
    <definedName name="MT_FINANCIAL" localSheetId="68">'National Affiliated'!$B$32:$F$32</definedName>
    <definedName name="MT_FINANCIAL" localSheetId="70">'National Heritage'!$B$32:$F$32</definedName>
    <definedName name="MT_FINANCIAL" localSheetId="71">'National States'!$B$32:$F$32</definedName>
    <definedName name="MT_FINANCIAL" localSheetId="69">'Natl American'!$B$32:$F$32</definedName>
    <definedName name="MT_FINANCIAL" localSheetId="72">'New Jersey Life'!$B$32:$F$32</definedName>
    <definedName name="MT_FINANCIAL" localSheetId="74">NNIC!$B$32:$F$32</definedName>
    <definedName name="MT_FINANCIAL" localSheetId="73">'North Carolina Mutual'!$B$32:$F$32</definedName>
    <definedName name="MT_FINANCIAL" localSheetId="75">'Old Colony Life'!$B$32:$F$32</definedName>
    <definedName name="MT_FINANCIAL" localSheetId="76">'Old Faithful'!$B$32:$F$32</definedName>
    <definedName name="MT_FINANCIAL" localSheetId="77">'Pacific Standard'!$B$32:$F$32</definedName>
    <definedName name="MT_FINANCIAL" localSheetId="78">'Pavonia Life'!$B$32:$F$32</definedName>
    <definedName name="MT_FINANCIAL" localSheetId="79">'Pen  Treaty'!$B$32:$F$32</definedName>
    <definedName name="MT_FINANCIAL" localSheetId="80">'Red Rock'!$B$32:$F$32</definedName>
    <definedName name="MT_FINANCIAL" localSheetId="81">Reliance!$B$32:$F$32</definedName>
    <definedName name="MT_FINANCIAL" localSheetId="82">SeeChange!$B$32:$F$32</definedName>
    <definedName name="MT_FINANCIAL" localSheetId="83">'Senior American'!$B$32:$F$32</definedName>
    <definedName name="MT_FINANCIAL" localSheetId="84">Settlers!$B$32:$F$32</definedName>
    <definedName name="MT_FINANCIAL" localSheetId="85">Shenandoah!$B$32:$F$32</definedName>
    <definedName name="MT_FINANCIAL" localSheetId="86">'Southland National Life'!$B$32:$F$32</definedName>
    <definedName name="MT_FINANCIAL" localSheetId="87">'Standard Life IN'!$B$32:$F$32</definedName>
    <definedName name="MT_FINANCIAL" localSheetId="88">'States General'!$B$32:$F$32</definedName>
    <definedName name="MT_FINANCIAL" localSheetId="89">Statesman!$B$32:$F$32</definedName>
    <definedName name="MT_FINANCIAL" localSheetId="90">'Summit National'!$B$32:$F$32</definedName>
    <definedName name="MT_FINANCIAL" localSheetId="91">Supreme!$B$32:$F$32</definedName>
    <definedName name="MT_FINANCIAL" localSheetId="92">Time!$B$32:$F$32</definedName>
    <definedName name="MT_FINANCIAL" localSheetId="106">'Total Summary'!$B$32:$F$32</definedName>
    <definedName name="MT_FINANCIAL" localSheetId="93">Underwriters!$B$32:$F$32</definedName>
    <definedName name="MT_FINANCIAL" localSheetId="94">Unison!$B$32:$F$32</definedName>
    <definedName name="MT_FINANCIAL" localSheetId="95">'United Republic'!$B$32:$F$32</definedName>
    <definedName name="MT_FINANCIAL" localSheetId="96">'Universal Health Care'!$B$32:$F$32</definedName>
    <definedName name="MT_FINANCIAL" localSheetId="97">'Universal Life'!$B$32:$F$32</definedName>
    <definedName name="MT_FINANCIAL" localSheetId="98">Universe!$B$32:$F$32</definedName>
    <definedName name="MT_FINANCIAL" localSheetId="99">Villanova!$B$32:$F$32</definedName>
    <definedName name="NC_FINANCIAL" localSheetId="0">'Alabama Life'!$B$39:$F$39</definedName>
    <definedName name="NC_FINANCIAL" localSheetId="5">'Amer Life Asr'!$B$39:$F$39</definedName>
    <definedName name="NC_FINANCIAL" localSheetId="8">'Amer Std Life Acc'!$B$39:$F$39</definedName>
    <definedName name="NC_FINANCIAL" localSheetId="1">'American Chambers'!$B$39:$F$39</definedName>
    <definedName name="NC_FINANCIAL" localSheetId="2">'American Community'!$B$39:$F$39</definedName>
    <definedName name="NC_FINANCIAL" localSheetId="3">'American Educators'!$B$39:$F$39</definedName>
    <definedName name="NC_FINANCIAL" localSheetId="4">'American Integrity'!$B$39:$F$39</definedName>
    <definedName name="NC_FINANCIAL" localSheetId="6">'American Medical'!$B$39:$F$39</definedName>
    <definedName name="NC_FINANCIAL" localSheetId="7">'American Network'!$B$39:$F$39</definedName>
    <definedName name="NC_FINANCIAL" localSheetId="9">AmerWstrn!$B$39:$F$39</definedName>
    <definedName name="NC_FINANCIAL" localSheetId="10">'AMS Life'!$B$39:$F$39</definedName>
    <definedName name="NC_FINANCIAL" localSheetId="11">'Andrew Jackson'!$B$39:$F$39</definedName>
    <definedName name="NC_FINANCIAL" localSheetId="12">'Bankers Commercial'!$B$39:$F$39</definedName>
    <definedName name="NC_FINANCIAL" localSheetId="13">'Bankers Life'!$B$39:$F$39</definedName>
    <definedName name="NC_FINANCIAL" localSheetId="14">Benicorp!$B$39:$F$39</definedName>
    <definedName name="NC_FINANCIAL" localSheetId="15">'Booker T Washington'!$B$39:$F$39</definedName>
    <definedName name="NC_FINANCIAL" localSheetId="16">Centennial!$B$39:$F$39</definedName>
    <definedName name="NC_FINANCIAL" localSheetId="18">'CO Bankers'!$B$39:$F$39</definedName>
    <definedName name="NC_FINANCIAL" localSheetId="17">'Coastal States'!$B$39:$F$39</definedName>
    <definedName name="NC_FINANCIAL" localSheetId="19">'Colorado Health'!$B$39:$F$39</definedName>
    <definedName name="NC_FINANCIAL" localSheetId="20">'Compass (dbs Meritus)'!$B$39:$F$39</definedName>
    <definedName name="NC_FINANCIAL" localSheetId="21">'Confed Life &amp; Annty (CLIAC)'!$B$39:$F$39</definedName>
    <definedName name="NC_FINANCIAL" localSheetId="22">'Confed Life (CLIC)'!$B$39:$F$39</definedName>
    <definedName name="NC_FINANCIAL" localSheetId="23">'Consolidated National'!$B$39:$F$39</definedName>
    <definedName name="NC_FINANCIAL" localSheetId="24">'Consumers Choice'!$B$39:$F$39</definedName>
    <definedName name="NC_FINANCIAL" localSheetId="25">'Consumers Mutual'!$B$39:$F$39</definedName>
    <definedName name="NC_FINANCIAL" localSheetId="26">'Consumers United'!$B$39:$F$39</definedName>
    <definedName name="NC_FINANCIAL" localSheetId="27">CoOportunity!$B$39:$F$39</definedName>
    <definedName name="NC_FINANCIAL" localSheetId="28">'Coordinated Hlth'!$B$39:$F$39</definedName>
    <definedName name="NC_FINANCIAL" localSheetId="29">'Corporate Life'!$B$39:$F$39</definedName>
    <definedName name="NC_FINANCIAL" localSheetId="30">'Diamond Benefits'!$B$39:$F$39</definedName>
    <definedName name="NC_FINANCIAL" localSheetId="31">'EBL Life'!$B$39:$F$39</definedName>
    <definedName name="NC_FINANCIAL" localSheetId="33">ELNY!$B$39:$F$39</definedName>
    <definedName name="NC_FINANCIAL" localSheetId="32">'Executive Life'!$B$39:$F$39</definedName>
    <definedName name="NC_FINANCIAL" localSheetId="34">'Family Guaranty'!$B$39:$F$39</definedName>
    <definedName name="NC_FINANCIAL" localSheetId="35">'Farmers &amp; Ranchers'!$B$39:$F$39</definedName>
    <definedName name="NC_FINANCIAL" localSheetId="36">'Fidelity Bankers'!$B$39:$F$39</definedName>
    <definedName name="NC_FINANCIAL" localSheetId="37">'Fidelity Mutual'!$B$39:$F$39</definedName>
    <definedName name="NC_FINANCIAL" localSheetId="38">'First Capital'!$B$39:$F$39</definedName>
    <definedName name="NC_FINANCIAL" localSheetId="39">'First Natl'!$B$39:$F$39</definedName>
    <definedName name="NC_FINANCIAL" localSheetId="40">'First Natl (Thrnr)'!$B$39:$F$39</definedName>
    <definedName name="NC_FINANCIAL" localSheetId="41">'Franklin American'!$B$39:$F$39</definedName>
    <definedName name="NC_FINANCIAL" localSheetId="42">'Franklin Protective'!$B$39:$F$39</definedName>
    <definedName name="NC_FINANCIAL" localSheetId="43">'Freelancers CO-OP'!$B$39:$F$39</definedName>
    <definedName name="NC_FINANCIAL" localSheetId="44">Freestone!$B$39:$F$39</definedName>
    <definedName name="NC_FINANCIAL" localSheetId="45">'George Washington'!$B$39:$F$39</definedName>
    <definedName name="NC_FINANCIAL" localSheetId="46">'Golden State'!$B$39:$F$39</definedName>
    <definedName name="NC_FINANCIAL" localSheetId="47">'Guarantee Security'!$B$39:$F$39</definedName>
    <definedName name="NC_FINANCIAL" localSheetId="48">HealthyCT!$B$39:$F$39</definedName>
    <definedName name="NC_FINANCIAL" localSheetId="49">Imerica!$B$39:$F$39</definedName>
    <definedName name="NC_FINANCIAL" localSheetId="50">'Inter-American'!$B$39:$F$39</definedName>
    <definedName name="NC_FINANCIAL" localSheetId="51">'International Fin'!$B$39:$F$39</definedName>
    <definedName name="NC_FINANCIAL" localSheetId="52">'Investment Life of America'!$B$39:$F$39</definedName>
    <definedName name="NC_FINANCIAL" localSheetId="53">'Investors Equity'!$B$39:$F$39</definedName>
    <definedName name="NC_FINANCIAL" localSheetId="54">'Kentucky Central'!$B$39:$F$39</definedName>
    <definedName name="NC_FINANCIAL" localSheetId="55">'Land of Lincoln'!$B$39:$F$39</definedName>
    <definedName name="NC_FINANCIAL" localSheetId="56">Legion!$B$39:$F$39</definedName>
    <definedName name="NC_FINANCIAL" localSheetId="57">'Life Health America'!$B$39:$F$39</definedName>
    <definedName name="NC_FINANCIAL" localSheetId="58">'Lincoln Memorial'!$B$39:$F$39</definedName>
    <definedName name="NC_FINANCIAL" localSheetId="59">'London Pac'!$B$39:$F$39</definedName>
    <definedName name="NC_FINANCIAL" localSheetId="60">Lumbermens!$B$39:$F$39</definedName>
    <definedName name="NC_FINANCIAL" localSheetId="61">'Medical Savings'!$B$39:$F$39</definedName>
    <definedName name="NC_FINANCIAL" localSheetId="62">'Memorial Service'!$B$39:$F$39</definedName>
    <definedName name="NC_FINANCIAL" localSheetId="63">Midcontinent!$B$39:$F$39</definedName>
    <definedName name="NC_FINANCIAL" localSheetId="64">'Midwest Life'!$B$39:$F$39</definedName>
    <definedName name="NC_FINANCIAL" localSheetId="65">'Monarch Life'!$B$39:$F$39</definedName>
    <definedName name="NC_FINANCIAL" localSheetId="66">'Mutual Benefit'!$B$39:$F$39</definedName>
    <definedName name="NC_FINANCIAL" localSheetId="67">'Mutual Security'!$B$39:$F$39</definedName>
    <definedName name="NC_FINANCIAL" localSheetId="68">'National Affiliated'!$B$39:$F$39</definedName>
    <definedName name="NC_FINANCIAL" localSheetId="70">'National Heritage'!$B$39:$F$39</definedName>
    <definedName name="NC_FINANCIAL" localSheetId="71">'National States'!$B$39:$F$39</definedName>
    <definedName name="NC_FINANCIAL" localSheetId="69">'Natl American'!$B$39:$F$39</definedName>
    <definedName name="NC_FINANCIAL" localSheetId="72">'New Jersey Life'!$B$39:$F$39</definedName>
    <definedName name="NC_FINANCIAL" localSheetId="74">NNIC!$B$39:$F$39</definedName>
    <definedName name="NC_FINANCIAL" localSheetId="73">'North Carolina Mutual'!$B$39:$F$39</definedName>
    <definedName name="NC_FINANCIAL" localSheetId="75">'Old Colony Life'!$B$39:$F$39</definedName>
    <definedName name="NC_FINANCIAL" localSheetId="76">'Old Faithful'!$B$39:$F$39</definedName>
    <definedName name="NC_FINANCIAL" localSheetId="77">'Pacific Standard'!$B$39:$F$39</definedName>
    <definedName name="NC_FINANCIAL" localSheetId="78">'Pavonia Life'!$B$39:$F$39</definedName>
    <definedName name="NC_FINANCIAL" localSheetId="79">'Pen  Treaty'!$B$39:$F$39</definedName>
    <definedName name="NC_FINANCIAL" localSheetId="80">'Red Rock'!$B$39:$F$39</definedName>
    <definedName name="NC_FINANCIAL" localSheetId="81">Reliance!$B$39:$F$39</definedName>
    <definedName name="NC_FINANCIAL" localSheetId="82">SeeChange!$B$39:$F$39</definedName>
    <definedName name="NC_FINANCIAL" localSheetId="83">'Senior American'!$B$39:$F$39</definedName>
    <definedName name="NC_FINANCIAL" localSheetId="84">Settlers!$B$39:$F$39</definedName>
    <definedName name="NC_FINANCIAL" localSheetId="85">Shenandoah!$B$39:$F$39</definedName>
    <definedName name="NC_FINANCIAL" localSheetId="86">'Southland National Life'!$B$39:$F$39</definedName>
    <definedName name="NC_FINANCIAL" localSheetId="87">'Standard Life IN'!$B$39:$F$39</definedName>
    <definedName name="NC_FINANCIAL" localSheetId="88">'States General'!$B$39:$F$39</definedName>
    <definedName name="NC_FINANCIAL" localSheetId="89">Statesman!$B$39:$F$39</definedName>
    <definedName name="NC_FINANCIAL" localSheetId="90">'Summit National'!$B$39:$F$39</definedName>
    <definedName name="NC_FINANCIAL" localSheetId="91">Supreme!$B$39:$F$39</definedName>
    <definedName name="NC_FINANCIAL" localSheetId="92">Time!$B$39:$F$39</definedName>
    <definedName name="NC_FINANCIAL" localSheetId="106">'Total Summary'!$B$39:$F$39</definedName>
    <definedName name="NC_FINANCIAL" localSheetId="93">Underwriters!$B$39:$F$39</definedName>
    <definedName name="NC_FINANCIAL" localSheetId="94">Unison!$B$39:$F$39</definedName>
    <definedName name="NC_FINANCIAL" localSheetId="95">'United Republic'!$B$39:$F$39</definedName>
    <definedName name="NC_FINANCIAL" localSheetId="96">'Universal Health Care'!$B$39:$F$39</definedName>
    <definedName name="NC_FINANCIAL" localSheetId="97">'Universal Life'!$B$39:$F$39</definedName>
    <definedName name="NC_FINANCIAL" localSheetId="98">Universe!$B$39:$F$39</definedName>
    <definedName name="NC_FINANCIAL" localSheetId="99">Villanova!$B$39:$F$39</definedName>
    <definedName name="ND_FINANCIAL" localSheetId="0">'Alabama Life'!$B$40:$F$40</definedName>
    <definedName name="ND_FINANCIAL" localSheetId="5">'Amer Life Asr'!$B$40:$F$40</definedName>
    <definedName name="ND_FINANCIAL" localSheetId="8">'Amer Std Life Acc'!$B$40:$F$40</definedName>
    <definedName name="ND_FINANCIAL" localSheetId="1">'American Chambers'!$B$40:$F$40</definedName>
    <definedName name="ND_FINANCIAL" localSheetId="2">'American Community'!$B$40:$F$40</definedName>
    <definedName name="ND_FINANCIAL" localSheetId="3">'American Educators'!$B$40:$F$40</definedName>
    <definedName name="ND_FINANCIAL" localSheetId="4">'American Integrity'!$B$40:$F$40</definedName>
    <definedName name="ND_FINANCIAL" localSheetId="6">'American Medical'!$B$40:$F$40</definedName>
    <definedName name="ND_FINANCIAL" localSheetId="7">'American Network'!$B$40:$F$40</definedName>
    <definedName name="ND_FINANCIAL" localSheetId="9">AmerWstrn!$B$40:$F$40</definedName>
    <definedName name="ND_FINANCIAL" localSheetId="10">'AMS Life'!$B$40:$F$40</definedName>
    <definedName name="ND_FINANCIAL" localSheetId="11">'Andrew Jackson'!$B$40:$F$40</definedName>
    <definedName name="ND_FINANCIAL" localSheetId="12">'Bankers Commercial'!$B$40:$F$40</definedName>
    <definedName name="ND_FINANCIAL" localSheetId="13">'Bankers Life'!$B$40:$F$40</definedName>
    <definedName name="ND_FINANCIAL" localSheetId="14">Benicorp!$B$40:$F$40</definedName>
    <definedName name="ND_FINANCIAL" localSheetId="15">'Booker T Washington'!$B$40:$F$40</definedName>
    <definedName name="ND_FINANCIAL" localSheetId="16">Centennial!$B$40:$F$40</definedName>
    <definedName name="ND_FINANCIAL" localSheetId="18">'CO Bankers'!$B$40:$F$40</definedName>
    <definedName name="ND_FINANCIAL" localSheetId="17">'Coastal States'!$B$40:$F$40</definedName>
    <definedName name="ND_FINANCIAL" localSheetId="19">'Colorado Health'!$B$40:$F$40</definedName>
    <definedName name="ND_FINANCIAL" localSheetId="20">'Compass (dbs Meritus)'!$B$40:$F$40</definedName>
    <definedName name="ND_FINANCIAL" localSheetId="21">'Confed Life &amp; Annty (CLIAC)'!$B$40:$F$40</definedName>
    <definedName name="ND_FINANCIAL" localSheetId="22">'Confed Life (CLIC)'!$B$40:$F$40</definedName>
    <definedName name="ND_FINANCIAL" localSheetId="23">'Consolidated National'!$B$40:$F$40</definedName>
    <definedName name="ND_FINANCIAL" localSheetId="24">'Consumers Choice'!$B$40:$F$40</definedName>
    <definedName name="ND_FINANCIAL" localSheetId="25">'Consumers Mutual'!$B$40:$F$40</definedName>
    <definedName name="ND_FINANCIAL" localSheetId="26">'Consumers United'!$B$40:$F$40</definedName>
    <definedName name="ND_FINANCIAL" localSheetId="27">CoOportunity!$B$40:$F$40</definedName>
    <definedName name="ND_FINANCIAL" localSheetId="28">'Coordinated Hlth'!$B$40:$F$40</definedName>
    <definedName name="ND_FINANCIAL" localSheetId="29">'Corporate Life'!$B$40:$F$40</definedName>
    <definedName name="ND_FINANCIAL" localSheetId="30">'Diamond Benefits'!$B$40:$F$40</definedName>
    <definedName name="ND_FINANCIAL" localSheetId="31">'EBL Life'!$B$40:$F$40</definedName>
    <definedName name="ND_FINANCIAL" localSheetId="33">ELNY!$B$40:$F$40</definedName>
    <definedName name="ND_FINANCIAL" localSheetId="32">'Executive Life'!$B$40:$F$40</definedName>
    <definedName name="ND_FINANCIAL" localSheetId="34">'Family Guaranty'!$B$40:$F$40</definedName>
    <definedName name="ND_FINANCIAL" localSheetId="35">'Farmers &amp; Ranchers'!$B$40:$F$40</definedName>
    <definedName name="ND_FINANCIAL" localSheetId="36">'Fidelity Bankers'!$B$40:$F$40</definedName>
    <definedName name="ND_FINANCIAL" localSheetId="37">'Fidelity Mutual'!$B$40:$F$40</definedName>
    <definedName name="ND_FINANCIAL" localSheetId="38">'First Capital'!$B$40:$F$40</definedName>
    <definedName name="ND_FINANCIAL" localSheetId="39">'First Natl'!$B$40:$F$40</definedName>
    <definedName name="ND_FINANCIAL" localSheetId="40">'First Natl (Thrnr)'!$B$40:$F$40</definedName>
    <definedName name="ND_FINANCIAL" localSheetId="41">'Franklin American'!$B$40:$F$40</definedName>
    <definedName name="ND_FINANCIAL" localSheetId="42">'Franklin Protective'!$B$40:$F$40</definedName>
    <definedName name="ND_FINANCIAL" localSheetId="43">'Freelancers CO-OP'!$B$40:$F$40</definedName>
    <definedName name="ND_FINANCIAL" localSheetId="44">Freestone!$B$40:$F$40</definedName>
    <definedName name="ND_FINANCIAL" localSheetId="45">'George Washington'!$B$40:$F$40</definedName>
    <definedName name="ND_FINANCIAL" localSheetId="46">'Golden State'!$B$40:$F$40</definedName>
    <definedName name="ND_FINANCIAL" localSheetId="47">'Guarantee Security'!$B$40:$F$40</definedName>
    <definedName name="ND_FINANCIAL" localSheetId="48">HealthyCT!$B$40:$F$40</definedName>
    <definedName name="ND_FINANCIAL" localSheetId="49">Imerica!$B$40:$F$40</definedName>
    <definedName name="ND_FINANCIAL" localSheetId="50">'Inter-American'!$B$40:$F$40</definedName>
    <definedName name="ND_FINANCIAL" localSheetId="51">'International Fin'!$B$40:$F$40</definedName>
    <definedName name="ND_FINANCIAL" localSheetId="52">'Investment Life of America'!$B$40:$F$40</definedName>
    <definedName name="ND_FINANCIAL" localSheetId="53">'Investors Equity'!$B$40:$F$40</definedName>
    <definedName name="ND_FINANCIAL" localSheetId="54">'Kentucky Central'!$B$40:$F$40</definedName>
    <definedName name="ND_FINANCIAL" localSheetId="55">'Land of Lincoln'!$B$40:$F$40</definedName>
    <definedName name="ND_FINANCIAL" localSheetId="56">Legion!$B$40:$F$40</definedName>
    <definedName name="ND_FINANCIAL" localSheetId="57">'Life Health America'!$B$40:$F$40</definedName>
    <definedName name="ND_FINANCIAL" localSheetId="58">'Lincoln Memorial'!$B$40:$F$40</definedName>
    <definedName name="ND_FINANCIAL" localSheetId="59">'London Pac'!$B$40:$F$40</definedName>
    <definedName name="ND_FINANCIAL" localSheetId="60">Lumbermens!$B$40:$F$40</definedName>
    <definedName name="ND_FINANCIAL" localSheetId="61">'Medical Savings'!$B$40:$F$40</definedName>
    <definedName name="ND_FINANCIAL" localSheetId="62">'Memorial Service'!$B$40:$F$40</definedName>
    <definedName name="ND_FINANCIAL" localSheetId="63">Midcontinent!$B$40:$F$40</definedName>
    <definedName name="ND_FINANCIAL" localSheetId="64">'Midwest Life'!$B$40:$F$40</definedName>
    <definedName name="ND_FINANCIAL" localSheetId="65">'Monarch Life'!$B$40:$F$40</definedName>
    <definedName name="ND_FINANCIAL" localSheetId="66">'Mutual Benefit'!$B$40:$F$40</definedName>
    <definedName name="ND_FINANCIAL" localSheetId="67">'Mutual Security'!$B$40:$F$40</definedName>
    <definedName name="ND_FINANCIAL" localSheetId="68">'National Affiliated'!$B$40:$F$40</definedName>
    <definedName name="ND_FINANCIAL" localSheetId="70">'National Heritage'!$B$40:$F$40</definedName>
    <definedName name="ND_FINANCIAL" localSheetId="71">'National States'!$B$40:$F$40</definedName>
    <definedName name="ND_FINANCIAL" localSheetId="69">'Natl American'!$B$40:$F$40</definedName>
    <definedName name="ND_FINANCIAL" localSheetId="72">'New Jersey Life'!$B$40:$F$40</definedName>
    <definedName name="ND_FINANCIAL" localSheetId="74">NNIC!$B$40:$F$40</definedName>
    <definedName name="ND_FINANCIAL" localSheetId="73">'North Carolina Mutual'!$B$40:$F$40</definedName>
    <definedName name="ND_FINANCIAL" localSheetId="75">'Old Colony Life'!$B$40:$F$40</definedName>
    <definedName name="ND_FINANCIAL" localSheetId="76">'Old Faithful'!$B$40:$F$40</definedName>
    <definedName name="ND_FINANCIAL" localSheetId="77">'Pacific Standard'!$B$40:$F$40</definedName>
    <definedName name="ND_FINANCIAL" localSheetId="78">'Pavonia Life'!$B$40:$F$40</definedName>
    <definedName name="ND_FINANCIAL" localSheetId="79">'Pen  Treaty'!$B$40:$F$40</definedName>
    <definedName name="ND_FINANCIAL" localSheetId="80">'Red Rock'!$B$40:$F$40</definedName>
    <definedName name="ND_FINANCIAL" localSheetId="81">Reliance!$B$40:$F$40</definedName>
    <definedName name="ND_FINANCIAL" localSheetId="82">SeeChange!$B$40:$F$40</definedName>
    <definedName name="ND_FINANCIAL" localSheetId="83">'Senior American'!$B$40:$F$40</definedName>
    <definedName name="ND_FINANCIAL" localSheetId="84">Settlers!$B$40:$F$40</definedName>
    <definedName name="ND_FINANCIAL" localSheetId="85">Shenandoah!$B$40:$F$40</definedName>
    <definedName name="ND_FINANCIAL" localSheetId="86">'Southland National Life'!$B$40:$F$40</definedName>
    <definedName name="ND_FINANCIAL" localSheetId="87">'Standard Life IN'!$B$40:$F$40</definedName>
    <definedName name="ND_FINANCIAL" localSheetId="88">'States General'!$B$40:$F$40</definedName>
    <definedName name="ND_FINANCIAL" localSheetId="89">Statesman!$B$40:$F$40</definedName>
    <definedName name="ND_FINANCIAL" localSheetId="90">'Summit National'!$B$40:$F$40</definedName>
    <definedName name="ND_FINANCIAL" localSheetId="91">Supreme!$B$40:$F$40</definedName>
    <definedName name="ND_FINANCIAL" localSheetId="92">Time!$B$40:$F$40</definedName>
    <definedName name="ND_FINANCIAL" localSheetId="106">'Total Summary'!$B$40:$F$40</definedName>
    <definedName name="ND_FINANCIAL" localSheetId="93">Underwriters!$B$40:$F$40</definedName>
    <definedName name="ND_FINANCIAL" localSheetId="94">Unison!$B$40:$F$40</definedName>
    <definedName name="ND_FINANCIAL" localSheetId="95">'United Republic'!$B$40:$F$40</definedName>
    <definedName name="ND_FINANCIAL" localSheetId="96">'Universal Health Care'!$B$40:$F$40</definedName>
    <definedName name="ND_FINANCIAL" localSheetId="97">'Universal Life'!$B$40:$F$40</definedName>
    <definedName name="ND_FINANCIAL" localSheetId="98">Universe!$B$40:$F$40</definedName>
    <definedName name="ND_FINANCIAL" localSheetId="99">Villanova!$B$40:$F$40</definedName>
    <definedName name="NE_FINANCIAL" localSheetId="0">'Alabama Life'!$B$33:$F$33</definedName>
    <definedName name="NE_FINANCIAL" localSheetId="5">'Amer Life Asr'!$B$33:$F$33</definedName>
    <definedName name="NE_FINANCIAL" localSheetId="8">'Amer Std Life Acc'!$B$33:$F$33</definedName>
    <definedName name="NE_FINANCIAL" localSheetId="1">'American Chambers'!$B$33:$F$33</definedName>
    <definedName name="NE_FINANCIAL" localSheetId="2">'American Community'!$B$33:$F$33</definedName>
    <definedName name="NE_FINANCIAL" localSheetId="3">'American Educators'!$B$33:$F$33</definedName>
    <definedName name="NE_FINANCIAL" localSheetId="4">'American Integrity'!$B$33:$F$33</definedName>
    <definedName name="NE_FINANCIAL" localSheetId="6">'American Medical'!$B$33:$F$33</definedName>
    <definedName name="NE_FINANCIAL" localSheetId="7">'American Network'!$B$33:$F$33</definedName>
    <definedName name="NE_FINANCIAL" localSheetId="9">AmerWstrn!$B$33:$F$33</definedName>
    <definedName name="NE_FINANCIAL" localSheetId="10">'AMS Life'!$B$33:$F$33</definedName>
    <definedName name="NE_FINANCIAL" localSheetId="11">'Andrew Jackson'!$B$33:$F$33</definedName>
    <definedName name="NE_FINANCIAL" localSheetId="12">'Bankers Commercial'!$B$33:$F$33</definedName>
    <definedName name="NE_FINANCIAL" localSheetId="13">'Bankers Life'!$B$33:$F$33</definedName>
    <definedName name="NE_FINANCIAL" localSheetId="14">Benicorp!$B$33:$F$33</definedName>
    <definedName name="NE_FINANCIAL" localSheetId="15">'Booker T Washington'!$B$33:$F$33</definedName>
    <definedName name="NE_FINANCIAL" localSheetId="16">Centennial!$B$33:$F$33</definedName>
    <definedName name="NE_FINANCIAL" localSheetId="18">'CO Bankers'!$B$33:$F$33</definedName>
    <definedName name="NE_FINANCIAL" localSheetId="17">'Coastal States'!$B$33:$F$33</definedName>
    <definedName name="NE_FINANCIAL" localSheetId="19">'Colorado Health'!$B$33:$F$33</definedName>
    <definedName name="NE_FINANCIAL" localSheetId="20">'Compass (dbs Meritus)'!$B$33:$F$33</definedName>
    <definedName name="NE_FINANCIAL" localSheetId="21">'Confed Life &amp; Annty (CLIAC)'!$B$33:$F$33</definedName>
    <definedName name="NE_FINANCIAL" localSheetId="22">'Confed Life (CLIC)'!$B$33:$F$33</definedName>
    <definedName name="NE_FINANCIAL" localSheetId="23">'Consolidated National'!$B$33:$F$33</definedName>
    <definedName name="NE_FINANCIAL" localSheetId="24">'Consumers Choice'!$B$33:$F$33</definedName>
    <definedName name="NE_FINANCIAL" localSheetId="25">'Consumers Mutual'!$B$33:$F$33</definedName>
    <definedName name="NE_FINANCIAL" localSheetId="26">'Consumers United'!$B$33:$F$33</definedName>
    <definedName name="NE_FINANCIAL" localSheetId="27">CoOportunity!$B$33:$F$33</definedName>
    <definedName name="NE_FINANCIAL" localSheetId="28">'Coordinated Hlth'!$B$33:$F$33</definedName>
    <definedName name="NE_FINANCIAL" localSheetId="29">'Corporate Life'!$B$33:$F$33</definedName>
    <definedName name="NE_FINANCIAL" localSheetId="30">'Diamond Benefits'!$B$33:$F$33</definedName>
    <definedName name="NE_FINANCIAL" localSheetId="31">'EBL Life'!$B$33:$F$33</definedName>
    <definedName name="NE_FINANCIAL" localSheetId="33">ELNY!$B$33:$F$33</definedName>
    <definedName name="NE_FINANCIAL" localSheetId="32">'Executive Life'!$B$33:$F$33</definedName>
    <definedName name="NE_FINANCIAL" localSheetId="34">'Family Guaranty'!$B$33:$F$33</definedName>
    <definedName name="NE_FINANCIAL" localSheetId="35">'Farmers &amp; Ranchers'!$B$33:$F$33</definedName>
    <definedName name="NE_FINANCIAL" localSheetId="36">'Fidelity Bankers'!$B$33:$F$33</definedName>
    <definedName name="NE_FINANCIAL" localSheetId="37">'Fidelity Mutual'!$B$33:$F$33</definedName>
    <definedName name="NE_FINANCIAL" localSheetId="38">'First Capital'!$B$33:$F$33</definedName>
    <definedName name="NE_FINANCIAL" localSheetId="39">'First Natl'!$B$33:$F$33</definedName>
    <definedName name="NE_FINANCIAL" localSheetId="40">'First Natl (Thrnr)'!$B$33:$F$33</definedName>
    <definedName name="NE_FINANCIAL" localSheetId="41">'Franklin American'!$B$33:$F$33</definedName>
    <definedName name="NE_FINANCIAL" localSheetId="42">'Franklin Protective'!$B$33:$F$33</definedName>
    <definedName name="NE_FINANCIAL" localSheetId="43">'Freelancers CO-OP'!$B$33:$F$33</definedName>
    <definedName name="NE_FINANCIAL" localSheetId="44">Freestone!$B$33:$F$33</definedName>
    <definedName name="NE_FINANCIAL" localSheetId="45">'George Washington'!$B$33:$F$33</definedName>
    <definedName name="NE_FINANCIAL" localSheetId="46">'Golden State'!$B$33:$F$33</definedName>
    <definedName name="NE_FINANCIAL" localSheetId="47">'Guarantee Security'!$B$33:$F$33</definedName>
    <definedName name="NE_FINANCIAL" localSheetId="48">HealthyCT!$B$33:$F$33</definedName>
    <definedName name="NE_FINANCIAL" localSheetId="49">Imerica!$B$33:$F$33</definedName>
    <definedName name="NE_FINANCIAL" localSheetId="50">'Inter-American'!$B$33:$F$33</definedName>
    <definedName name="NE_FINANCIAL" localSheetId="51">'International Fin'!$B$33:$F$33</definedName>
    <definedName name="NE_FINANCIAL" localSheetId="52">'Investment Life of America'!$B$33:$F$33</definedName>
    <definedName name="NE_FINANCIAL" localSheetId="53">'Investors Equity'!$B$33:$F$33</definedName>
    <definedName name="NE_FINANCIAL" localSheetId="54">'Kentucky Central'!$B$33:$F$33</definedName>
    <definedName name="NE_FINANCIAL" localSheetId="55">'Land of Lincoln'!$B$33:$F$33</definedName>
    <definedName name="NE_FINANCIAL" localSheetId="56">Legion!$B$33:$F$33</definedName>
    <definedName name="NE_FINANCIAL" localSheetId="57">'Life Health America'!$B$33:$F$33</definedName>
    <definedName name="NE_FINANCIAL" localSheetId="58">'Lincoln Memorial'!$B$33:$F$33</definedName>
    <definedName name="NE_FINANCIAL" localSheetId="59">'London Pac'!$B$33:$F$33</definedName>
    <definedName name="NE_FINANCIAL" localSheetId="60">Lumbermens!$B$33:$F$33</definedName>
    <definedName name="NE_FINANCIAL" localSheetId="61">'Medical Savings'!$B$33:$F$33</definedName>
    <definedName name="NE_FINANCIAL" localSheetId="62">'Memorial Service'!$B$33:$F$33</definedName>
    <definedName name="NE_FINANCIAL" localSheetId="63">Midcontinent!$B$33:$F$33</definedName>
    <definedName name="NE_FINANCIAL" localSheetId="64">'Midwest Life'!$B$33:$F$33</definedName>
    <definedName name="NE_FINANCIAL" localSheetId="65">'Monarch Life'!$B$33:$F$33</definedName>
    <definedName name="NE_FINANCIAL" localSheetId="66">'Mutual Benefit'!$B$33:$F$33</definedName>
    <definedName name="NE_FINANCIAL" localSheetId="67">'Mutual Security'!$B$33:$F$33</definedName>
    <definedName name="NE_FINANCIAL" localSheetId="68">'National Affiliated'!$B$33:$F$33</definedName>
    <definedName name="NE_FINANCIAL" localSheetId="70">'National Heritage'!$B$33:$F$33</definedName>
    <definedName name="NE_FINANCIAL" localSheetId="71">'National States'!$B$33:$F$33</definedName>
    <definedName name="NE_FINANCIAL" localSheetId="69">'Natl American'!$B$33:$F$33</definedName>
    <definedName name="NE_FINANCIAL" localSheetId="72">'New Jersey Life'!$B$33:$F$33</definedName>
    <definedName name="NE_FINANCIAL" localSheetId="74">NNIC!$B$33:$F$33</definedName>
    <definedName name="NE_FINANCIAL" localSheetId="73">'North Carolina Mutual'!$B$33:$F$33</definedName>
    <definedName name="NE_FINANCIAL" localSheetId="75">'Old Colony Life'!$B$33:$F$33</definedName>
    <definedName name="NE_FINANCIAL" localSheetId="76">'Old Faithful'!$B$33:$F$33</definedName>
    <definedName name="NE_FINANCIAL" localSheetId="77">'Pacific Standard'!$B$33:$F$33</definedName>
    <definedName name="NE_FINANCIAL" localSheetId="78">'Pavonia Life'!$B$33:$F$33</definedName>
    <definedName name="NE_FINANCIAL" localSheetId="79">'Pen  Treaty'!$B$33:$F$33</definedName>
    <definedName name="NE_FINANCIAL" localSheetId="80">'Red Rock'!$B$33:$F$33</definedName>
    <definedName name="NE_FINANCIAL" localSheetId="81">Reliance!$B$33:$F$33</definedName>
    <definedName name="NE_FINANCIAL" localSheetId="82">SeeChange!$B$33:$F$33</definedName>
    <definedName name="NE_FINANCIAL" localSheetId="83">'Senior American'!$B$33:$F$33</definedName>
    <definedName name="NE_FINANCIAL" localSheetId="84">Settlers!$B$33:$F$33</definedName>
    <definedName name="NE_FINANCIAL" localSheetId="85">Shenandoah!$B$33:$F$33</definedName>
    <definedName name="NE_FINANCIAL" localSheetId="86">'Southland National Life'!$B$33:$F$33</definedName>
    <definedName name="NE_FINANCIAL" localSheetId="87">'Standard Life IN'!$B$33:$F$33</definedName>
    <definedName name="NE_FINANCIAL" localSheetId="88">'States General'!$B$33:$F$33</definedName>
    <definedName name="NE_FINANCIAL" localSheetId="89">Statesman!$B$33:$F$33</definedName>
    <definedName name="NE_FINANCIAL" localSheetId="90">'Summit National'!$B$33:$F$33</definedName>
    <definedName name="NE_FINANCIAL" localSheetId="91">Supreme!$B$33:$F$33</definedName>
    <definedName name="NE_FINANCIAL" localSheetId="92">Time!$B$33:$F$33</definedName>
    <definedName name="NE_FINANCIAL" localSheetId="106">'Total Summary'!$B$33:$F$33</definedName>
    <definedName name="NE_FINANCIAL" localSheetId="93">Underwriters!$B$33:$F$33</definedName>
    <definedName name="NE_FINANCIAL" localSheetId="94">Unison!$B$33:$F$33</definedName>
    <definedName name="NE_FINANCIAL" localSheetId="95">'United Republic'!$B$33:$F$33</definedName>
    <definedName name="NE_FINANCIAL" localSheetId="96">'Universal Health Care'!$B$33:$F$33</definedName>
    <definedName name="NE_FINANCIAL" localSheetId="97">'Universal Life'!$B$33:$F$33</definedName>
    <definedName name="NE_FINANCIAL" localSheetId="98">Universe!$B$33:$F$33</definedName>
    <definedName name="NE_FINANCIAL" localSheetId="99">Villanova!$B$33:$F$33</definedName>
    <definedName name="NH_FINANCIAL" localSheetId="0">'Alabama Life'!$B$35:$F$35</definedName>
    <definedName name="NH_FINANCIAL" localSheetId="5">'Amer Life Asr'!$B$35:$F$35</definedName>
    <definedName name="NH_FINANCIAL" localSheetId="8">'Amer Std Life Acc'!$B$35:$F$35</definedName>
    <definedName name="NH_FINANCIAL" localSheetId="1">'American Chambers'!$B$35:$F$35</definedName>
    <definedName name="NH_FINANCIAL" localSheetId="2">'American Community'!$B$35:$F$35</definedName>
    <definedName name="NH_FINANCIAL" localSheetId="3">'American Educators'!$B$35:$F$35</definedName>
    <definedName name="NH_FINANCIAL" localSheetId="4">'American Integrity'!$B$35:$F$35</definedName>
    <definedName name="NH_FINANCIAL" localSheetId="6">'American Medical'!$B$35:$F$35</definedName>
    <definedName name="NH_FINANCIAL" localSheetId="7">'American Network'!$B$35:$F$35</definedName>
    <definedName name="NH_FINANCIAL" localSheetId="9">AmerWstrn!$B$35:$F$35</definedName>
    <definedName name="NH_FINANCIAL" localSheetId="10">'AMS Life'!$B$35:$F$35</definedName>
    <definedName name="NH_FINANCIAL" localSheetId="11">'Andrew Jackson'!$B$35:$F$35</definedName>
    <definedName name="NH_FINANCIAL" localSheetId="12">'Bankers Commercial'!$B$35:$F$35</definedName>
    <definedName name="NH_FINANCIAL" localSheetId="13">'Bankers Life'!$B$35:$F$35</definedName>
    <definedName name="NH_FINANCIAL" localSheetId="14">Benicorp!$B$35:$F$35</definedName>
    <definedName name="NH_FINANCIAL" localSheetId="15">'Booker T Washington'!$B$35:$F$35</definedName>
    <definedName name="NH_FINANCIAL" localSheetId="16">Centennial!$B$35:$F$35</definedName>
    <definedName name="NH_FINANCIAL" localSheetId="18">'CO Bankers'!$B$35:$F$35</definedName>
    <definedName name="NH_FINANCIAL" localSheetId="17">'Coastal States'!$B$35:$F$35</definedName>
    <definedName name="NH_FINANCIAL" localSheetId="19">'Colorado Health'!$B$35:$F$35</definedName>
    <definedName name="NH_FINANCIAL" localSheetId="20">'Compass (dbs Meritus)'!$B$35:$F$35</definedName>
    <definedName name="NH_FINANCIAL" localSheetId="21">'Confed Life &amp; Annty (CLIAC)'!$B$35:$F$35</definedName>
    <definedName name="NH_FINANCIAL" localSheetId="22">'Confed Life (CLIC)'!$B$35:$F$35</definedName>
    <definedName name="NH_FINANCIAL" localSheetId="23">'Consolidated National'!$B$35:$F$35</definedName>
    <definedName name="NH_FINANCIAL" localSheetId="24">'Consumers Choice'!$B$35:$F$35</definedName>
    <definedName name="NH_FINANCIAL" localSheetId="25">'Consumers Mutual'!$B$35:$F$35</definedName>
    <definedName name="NH_FINANCIAL" localSheetId="26">'Consumers United'!$B$35:$F$35</definedName>
    <definedName name="NH_FINANCIAL" localSheetId="27">CoOportunity!$B$35:$F$35</definedName>
    <definedName name="NH_FINANCIAL" localSheetId="28">'Coordinated Hlth'!$B$35:$F$35</definedName>
    <definedName name="NH_FINANCIAL" localSheetId="29">'Corporate Life'!$B$35:$F$35</definedName>
    <definedName name="NH_FINANCIAL" localSheetId="30">'Diamond Benefits'!$B$35:$F$35</definedName>
    <definedName name="NH_FINANCIAL" localSheetId="31">'EBL Life'!$B$35:$F$35</definedName>
    <definedName name="NH_FINANCIAL" localSheetId="33">ELNY!$B$35:$F$35</definedName>
    <definedName name="NH_FINANCIAL" localSheetId="32">'Executive Life'!$B$35:$F$35</definedName>
    <definedName name="NH_FINANCIAL" localSheetId="34">'Family Guaranty'!$B$35:$F$35</definedName>
    <definedName name="NH_FINANCIAL" localSheetId="35">'Farmers &amp; Ranchers'!$B$35:$F$35</definedName>
    <definedName name="NH_FINANCIAL" localSheetId="36">'Fidelity Bankers'!$B$35:$F$35</definedName>
    <definedName name="NH_FINANCIAL" localSheetId="37">'Fidelity Mutual'!$B$35:$F$35</definedName>
    <definedName name="NH_FINANCIAL" localSheetId="38">'First Capital'!$B$35:$F$35</definedName>
    <definedName name="NH_FINANCIAL" localSheetId="39">'First Natl'!$B$35:$F$35</definedName>
    <definedName name="NH_FINANCIAL" localSheetId="40">'First Natl (Thrnr)'!$B$35:$F$35</definedName>
    <definedName name="NH_FINANCIAL" localSheetId="41">'Franklin American'!$B$35:$F$35</definedName>
    <definedName name="NH_FINANCIAL" localSheetId="42">'Franklin Protective'!$B$35:$F$35</definedName>
    <definedName name="NH_FINANCIAL" localSheetId="43">'Freelancers CO-OP'!$B$35:$F$35</definedName>
    <definedName name="NH_FINANCIAL" localSheetId="44">Freestone!$B$35:$F$35</definedName>
    <definedName name="NH_FINANCIAL" localSheetId="45">'George Washington'!$B$35:$F$35</definedName>
    <definedName name="NH_FINANCIAL" localSheetId="46">'Golden State'!$B$35:$F$35</definedName>
    <definedName name="NH_FINANCIAL" localSheetId="47">'Guarantee Security'!$B$35:$F$35</definedName>
    <definedName name="NH_FINANCIAL" localSheetId="48">HealthyCT!$B$35:$F$35</definedName>
    <definedName name="NH_FINANCIAL" localSheetId="49">Imerica!$B$35:$F$35</definedName>
    <definedName name="NH_FINANCIAL" localSheetId="50">'Inter-American'!$B$35:$F$35</definedName>
    <definedName name="NH_FINANCIAL" localSheetId="51">'International Fin'!$B$35:$F$35</definedName>
    <definedName name="NH_FINANCIAL" localSheetId="52">'Investment Life of America'!$B$35:$F$35</definedName>
    <definedName name="NH_FINANCIAL" localSheetId="53">'Investors Equity'!$B$35:$F$35</definedName>
    <definedName name="NH_FINANCIAL" localSheetId="54">'Kentucky Central'!$B$35:$F$35</definedName>
    <definedName name="NH_FINANCIAL" localSheetId="55">'Land of Lincoln'!$B$35:$F$35</definedName>
    <definedName name="NH_FINANCIAL" localSheetId="56">Legion!$B$35:$F$35</definedName>
    <definedName name="NH_FINANCIAL" localSheetId="57">'Life Health America'!$B$35:$F$35</definedName>
    <definedName name="NH_FINANCIAL" localSheetId="58">'Lincoln Memorial'!$B$35:$F$35</definedName>
    <definedName name="NH_FINANCIAL" localSheetId="59">'London Pac'!$B$35:$F$35</definedName>
    <definedName name="NH_FINANCIAL" localSheetId="60">Lumbermens!$B$35:$F$35</definedName>
    <definedName name="NH_FINANCIAL" localSheetId="61">'Medical Savings'!$B$35:$F$35</definedName>
    <definedName name="NH_FINANCIAL" localSheetId="62">'Memorial Service'!$B$35:$F$35</definedName>
    <definedName name="NH_FINANCIAL" localSheetId="63">Midcontinent!$B$35:$F$35</definedName>
    <definedName name="NH_FINANCIAL" localSheetId="64">'Midwest Life'!$B$35:$F$35</definedName>
    <definedName name="NH_FINANCIAL" localSheetId="65">'Monarch Life'!$B$35:$F$35</definedName>
    <definedName name="NH_FINANCIAL" localSheetId="66">'Mutual Benefit'!$B$35:$F$35</definedName>
    <definedName name="NH_FINANCIAL" localSheetId="67">'Mutual Security'!$B$35:$F$35</definedName>
    <definedName name="NH_FINANCIAL" localSheetId="68">'National Affiliated'!$B$35:$F$35</definedName>
    <definedName name="NH_FINANCIAL" localSheetId="70">'National Heritage'!$B$35:$F$35</definedName>
    <definedName name="NH_FINANCIAL" localSheetId="71">'National States'!$B$35:$F$35</definedName>
    <definedName name="NH_FINANCIAL" localSheetId="69">'Natl American'!$B$35:$F$35</definedName>
    <definedName name="NH_FINANCIAL" localSheetId="72">'New Jersey Life'!$B$35:$F$35</definedName>
    <definedName name="NH_FINANCIAL" localSheetId="74">NNIC!$B$35:$F$35</definedName>
    <definedName name="NH_FINANCIAL" localSheetId="73">'North Carolina Mutual'!$B$35:$F$35</definedName>
    <definedName name="NH_FINANCIAL" localSheetId="75">'Old Colony Life'!$B$35:$F$35</definedName>
    <definedName name="NH_FINANCIAL" localSheetId="76">'Old Faithful'!$B$35:$F$35</definedName>
    <definedName name="NH_FINANCIAL" localSheetId="77">'Pacific Standard'!$B$35:$F$35</definedName>
    <definedName name="NH_FINANCIAL" localSheetId="78">'Pavonia Life'!$B$35:$F$35</definedName>
    <definedName name="NH_FINANCIAL" localSheetId="79">'Pen  Treaty'!$B$35:$F$35</definedName>
    <definedName name="NH_FINANCIAL" localSheetId="80">'Red Rock'!$B$35:$F$35</definedName>
    <definedName name="NH_FINANCIAL" localSheetId="81">Reliance!$B$35:$F$35</definedName>
    <definedName name="NH_FINANCIAL" localSheetId="82">SeeChange!$B$35:$F$35</definedName>
    <definedName name="NH_FINANCIAL" localSheetId="83">'Senior American'!$B$35:$F$35</definedName>
    <definedName name="NH_FINANCIAL" localSheetId="84">Settlers!$B$35:$F$35</definedName>
    <definedName name="NH_FINANCIAL" localSheetId="85">Shenandoah!$B$35:$F$35</definedName>
    <definedName name="NH_FINANCIAL" localSheetId="86">'Southland National Life'!$B$35:$F$35</definedName>
    <definedName name="NH_FINANCIAL" localSheetId="87">'Standard Life IN'!$B$35:$F$35</definedName>
    <definedName name="NH_FINANCIAL" localSheetId="88">'States General'!$B$35:$F$35</definedName>
    <definedName name="NH_FINANCIAL" localSheetId="89">Statesman!$B$35:$F$35</definedName>
    <definedName name="NH_FINANCIAL" localSheetId="90">'Summit National'!$B$35:$F$35</definedName>
    <definedName name="NH_FINANCIAL" localSheetId="91">Supreme!$B$35:$F$35</definedName>
    <definedName name="NH_FINANCIAL" localSheetId="92">Time!$B$35:$F$35</definedName>
    <definedName name="NH_FINANCIAL" localSheetId="106">'Total Summary'!$B$35:$F$35</definedName>
    <definedName name="NH_FINANCIAL" localSheetId="93">Underwriters!$B$35:$F$35</definedName>
    <definedName name="NH_FINANCIAL" localSheetId="94">Unison!$B$35:$F$35</definedName>
    <definedName name="NH_FINANCIAL" localSheetId="95">'United Republic'!$B$35:$F$35</definedName>
    <definedName name="NH_FINANCIAL" localSheetId="96">'Universal Health Care'!$B$35:$F$35</definedName>
    <definedName name="NH_FINANCIAL" localSheetId="97">'Universal Life'!$B$35:$F$35</definedName>
    <definedName name="NH_FINANCIAL" localSheetId="98">Universe!$B$35:$F$35</definedName>
    <definedName name="NH_FINANCIAL" localSheetId="99">Villanova!$B$35:$F$35</definedName>
    <definedName name="NJ_FINANCIAL" localSheetId="0">'Alabama Life'!$B$36:$F$36</definedName>
    <definedName name="NJ_FINANCIAL" localSheetId="5">'Amer Life Asr'!$B$36:$F$36</definedName>
    <definedName name="NJ_FINANCIAL" localSheetId="8">'Amer Std Life Acc'!$B$36:$F$36</definedName>
    <definedName name="NJ_FINANCIAL" localSheetId="1">'American Chambers'!$B$36:$F$36</definedName>
    <definedName name="NJ_FINANCIAL" localSheetId="2">'American Community'!$B$36:$F$36</definedName>
    <definedName name="NJ_FINANCIAL" localSheetId="3">'American Educators'!$B$36:$F$36</definedName>
    <definedName name="NJ_FINANCIAL" localSheetId="4">'American Integrity'!$B$36:$F$36</definedName>
    <definedName name="NJ_FINANCIAL" localSheetId="6">'American Medical'!$B$36:$F$36</definedName>
    <definedName name="NJ_FINANCIAL" localSheetId="7">'American Network'!$B$36:$F$36</definedName>
    <definedName name="NJ_FINANCIAL" localSheetId="9">AmerWstrn!$B$36:$F$36</definedName>
    <definedName name="NJ_FINANCIAL" localSheetId="10">'AMS Life'!$B$36:$F$36</definedName>
    <definedName name="NJ_FINANCIAL" localSheetId="11">'Andrew Jackson'!$B$36:$F$36</definedName>
    <definedName name="NJ_FINANCIAL" localSheetId="12">'Bankers Commercial'!$B$36:$F$36</definedName>
    <definedName name="NJ_FINANCIAL" localSheetId="13">'Bankers Life'!$B$36:$F$36</definedName>
    <definedName name="NJ_FINANCIAL" localSheetId="14">Benicorp!$B$36:$F$36</definedName>
    <definedName name="NJ_FINANCIAL" localSheetId="15">'Booker T Washington'!$B$36:$F$36</definedName>
    <definedName name="NJ_FINANCIAL" localSheetId="16">Centennial!$B$36:$F$36</definedName>
    <definedName name="NJ_FINANCIAL" localSheetId="18">'CO Bankers'!$B$36:$F$36</definedName>
    <definedName name="NJ_FINANCIAL" localSheetId="17">'Coastal States'!$B$36:$F$36</definedName>
    <definedName name="NJ_FINANCIAL" localSheetId="19">'Colorado Health'!$B$36:$F$36</definedName>
    <definedName name="NJ_FINANCIAL" localSheetId="20">'Compass (dbs Meritus)'!$B$36:$F$36</definedName>
    <definedName name="NJ_FINANCIAL" localSheetId="21">'Confed Life &amp; Annty (CLIAC)'!$B$36:$F$36</definedName>
    <definedName name="NJ_FINANCIAL" localSheetId="22">'Confed Life (CLIC)'!$B$36:$F$36</definedName>
    <definedName name="NJ_FINANCIAL" localSheetId="23">'Consolidated National'!$B$36:$F$36</definedName>
    <definedName name="NJ_FINANCIAL" localSheetId="24">'Consumers Choice'!$B$36:$F$36</definedName>
    <definedName name="NJ_FINANCIAL" localSheetId="25">'Consumers Mutual'!$B$36:$F$36</definedName>
    <definedName name="NJ_FINANCIAL" localSheetId="26">'Consumers United'!$B$36:$F$36</definedName>
    <definedName name="NJ_FINANCIAL" localSheetId="27">CoOportunity!$B$36:$F$36</definedName>
    <definedName name="NJ_FINANCIAL" localSheetId="28">'Coordinated Hlth'!$B$36:$F$36</definedName>
    <definedName name="NJ_FINANCIAL" localSheetId="29">'Corporate Life'!$B$36:$F$36</definedName>
    <definedName name="NJ_FINANCIAL" localSheetId="30">'Diamond Benefits'!$B$36:$F$36</definedName>
    <definedName name="NJ_FINANCIAL" localSheetId="31">'EBL Life'!$B$36:$F$36</definedName>
    <definedName name="NJ_FINANCIAL" localSheetId="33">ELNY!$B$36:$F$36</definedName>
    <definedName name="NJ_FINANCIAL" localSheetId="32">'Executive Life'!$B$36:$F$36</definedName>
    <definedName name="NJ_FINANCIAL" localSheetId="34">'Family Guaranty'!$B$36:$F$36</definedName>
    <definedName name="NJ_FINANCIAL" localSheetId="35">'Farmers &amp; Ranchers'!$B$36:$F$36</definedName>
    <definedName name="NJ_FINANCIAL" localSheetId="36">'Fidelity Bankers'!$B$36:$F$36</definedName>
    <definedName name="NJ_FINANCIAL" localSheetId="37">'Fidelity Mutual'!$B$36:$F$36</definedName>
    <definedName name="NJ_FINANCIAL" localSheetId="38">'First Capital'!$B$36:$F$36</definedName>
    <definedName name="NJ_FINANCIAL" localSheetId="39">'First Natl'!$B$36:$F$36</definedName>
    <definedName name="NJ_FINANCIAL" localSheetId="40">'First Natl (Thrnr)'!$B$36:$F$36</definedName>
    <definedName name="NJ_FINANCIAL" localSheetId="41">'Franklin American'!$B$36:$F$36</definedName>
    <definedName name="NJ_FINANCIAL" localSheetId="42">'Franklin Protective'!$B$36:$F$36</definedName>
    <definedName name="NJ_FINANCIAL" localSheetId="43">'Freelancers CO-OP'!$B$36:$F$36</definedName>
    <definedName name="NJ_FINANCIAL" localSheetId="44">Freestone!$B$36:$F$36</definedName>
    <definedName name="NJ_FINANCIAL" localSheetId="45">'George Washington'!$B$36:$F$36</definedName>
    <definedName name="NJ_FINANCIAL" localSheetId="46">'Golden State'!$B$36:$F$36</definedName>
    <definedName name="NJ_FINANCIAL" localSheetId="47">'Guarantee Security'!$B$36:$F$36</definedName>
    <definedName name="NJ_FINANCIAL" localSheetId="48">HealthyCT!$B$36:$F$36</definedName>
    <definedName name="NJ_FINANCIAL" localSheetId="49">Imerica!$B$36:$F$36</definedName>
    <definedName name="NJ_FINANCIAL" localSheetId="50">'Inter-American'!$B$36:$F$36</definedName>
    <definedName name="NJ_FINANCIAL" localSheetId="51">'International Fin'!$B$36:$F$36</definedName>
    <definedName name="NJ_FINANCIAL" localSheetId="52">'Investment Life of America'!$B$36:$F$36</definedName>
    <definedName name="NJ_FINANCIAL" localSheetId="53">'Investors Equity'!$B$36:$F$36</definedName>
    <definedName name="NJ_FINANCIAL" localSheetId="54">'Kentucky Central'!$B$36:$F$36</definedName>
    <definedName name="NJ_FINANCIAL" localSheetId="55">'Land of Lincoln'!$B$36:$F$36</definedName>
    <definedName name="NJ_FINANCIAL" localSheetId="56">Legion!$B$36:$F$36</definedName>
    <definedName name="NJ_FINANCIAL" localSheetId="57">'Life Health America'!$B$36:$F$36</definedName>
    <definedName name="NJ_FINANCIAL" localSheetId="58">'Lincoln Memorial'!$B$36:$F$36</definedName>
    <definedName name="NJ_FINANCIAL" localSheetId="59">'London Pac'!$B$36:$F$36</definedName>
    <definedName name="NJ_FINANCIAL" localSheetId="60">Lumbermens!$B$36:$F$36</definedName>
    <definedName name="NJ_FINANCIAL" localSheetId="61">'Medical Savings'!$B$36:$F$36</definedName>
    <definedName name="NJ_FINANCIAL" localSheetId="62">'Memorial Service'!$B$36:$F$36</definedName>
    <definedName name="NJ_FINANCIAL" localSheetId="63">Midcontinent!$B$36:$F$36</definedName>
    <definedName name="NJ_FINANCIAL" localSheetId="64">'Midwest Life'!$B$36:$F$36</definedName>
    <definedName name="NJ_FINANCIAL" localSheetId="65">'Monarch Life'!$B$36:$F$36</definedName>
    <definedName name="NJ_FINANCIAL" localSheetId="66">'Mutual Benefit'!$B$36:$F$36</definedName>
    <definedName name="NJ_FINANCIAL" localSheetId="67">'Mutual Security'!$B$36:$F$36</definedName>
    <definedName name="NJ_FINANCIAL" localSheetId="68">'National Affiliated'!$B$36:$F$36</definedName>
    <definedName name="NJ_FINANCIAL" localSheetId="70">'National Heritage'!$B$36:$F$36</definedName>
    <definedName name="NJ_FINANCIAL" localSheetId="71">'National States'!$B$36:$F$36</definedName>
    <definedName name="NJ_FINANCIAL" localSheetId="69">'Natl American'!$B$36:$F$36</definedName>
    <definedName name="NJ_FINANCIAL" localSheetId="72">'New Jersey Life'!$B$36:$F$36</definedName>
    <definedName name="NJ_FINANCIAL" localSheetId="74">NNIC!$B$36:$F$36</definedName>
    <definedName name="NJ_FINANCIAL" localSheetId="73">'North Carolina Mutual'!$B$36:$F$36</definedName>
    <definedName name="NJ_FINANCIAL" localSheetId="75">'Old Colony Life'!$B$36:$F$36</definedName>
    <definedName name="NJ_FINANCIAL" localSheetId="76">'Old Faithful'!$B$36:$F$36</definedName>
    <definedName name="NJ_FINANCIAL" localSheetId="77">'Pacific Standard'!$B$36:$F$36</definedName>
    <definedName name="NJ_FINANCIAL" localSheetId="78">'Pavonia Life'!$B$36:$F$36</definedName>
    <definedName name="NJ_FINANCIAL" localSheetId="79">'Pen  Treaty'!$B$36:$F$36</definedName>
    <definedName name="NJ_FINANCIAL" localSheetId="80">'Red Rock'!$B$36:$F$36</definedName>
    <definedName name="NJ_FINANCIAL" localSheetId="81">Reliance!$B$36:$F$36</definedName>
    <definedName name="NJ_FINANCIAL" localSheetId="82">SeeChange!$B$36:$F$36</definedName>
    <definedName name="NJ_FINANCIAL" localSheetId="83">'Senior American'!$B$36:$F$36</definedName>
    <definedName name="NJ_FINANCIAL" localSheetId="84">Settlers!$B$36:$F$36</definedName>
    <definedName name="NJ_FINANCIAL" localSheetId="85">Shenandoah!$B$36:$F$36</definedName>
    <definedName name="NJ_FINANCIAL" localSheetId="86">'Southland National Life'!$B$36:$F$36</definedName>
    <definedName name="NJ_FINANCIAL" localSheetId="87">'Standard Life IN'!$B$36:$F$36</definedName>
    <definedName name="NJ_FINANCIAL" localSheetId="88">'States General'!$B$36:$F$36</definedName>
    <definedName name="NJ_FINANCIAL" localSheetId="89">Statesman!$B$36:$F$36</definedName>
    <definedName name="NJ_FINANCIAL" localSheetId="90">'Summit National'!$B$36:$F$36</definedName>
    <definedName name="NJ_FINANCIAL" localSheetId="91">Supreme!$B$36:$F$36</definedName>
    <definedName name="NJ_FINANCIAL" localSheetId="92">Time!$B$36:$F$36</definedName>
    <definedName name="NJ_FINANCIAL" localSheetId="106">'Total Summary'!$B$36:$F$36</definedName>
    <definedName name="NJ_FINANCIAL" localSheetId="93">Underwriters!$B$36:$F$36</definedName>
    <definedName name="NJ_FINANCIAL" localSheetId="94">Unison!$B$36:$F$36</definedName>
    <definedName name="NJ_FINANCIAL" localSheetId="95">'United Republic'!$B$36:$F$36</definedName>
    <definedName name="NJ_FINANCIAL" localSheetId="96">'Universal Health Care'!$B$36:$F$36</definedName>
    <definedName name="NJ_FINANCIAL" localSheetId="97">'Universal Life'!$B$36:$F$36</definedName>
    <definedName name="NJ_FINANCIAL" localSheetId="98">Universe!$B$36:$F$36</definedName>
    <definedName name="NJ_FINANCIAL" localSheetId="99">Villanova!$B$36:$F$36</definedName>
    <definedName name="NM_FINANCIAL" localSheetId="0">'Alabama Life'!$B$37:$F$37</definedName>
    <definedName name="NM_FINANCIAL" localSheetId="5">'Amer Life Asr'!$B$37:$F$37</definedName>
    <definedName name="NM_FINANCIAL" localSheetId="8">'Amer Std Life Acc'!$B$37:$F$37</definedName>
    <definedName name="NM_FINANCIAL" localSheetId="1">'American Chambers'!$B$37:$F$37</definedName>
    <definedName name="NM_FINANCIAL" localSheetId="2">'American Community'!$B$37:$F$37</definedName>
    <definedName name="NM_FINANCIAL" localSheetId="3">'American Educators'!$B$37:$F$37</definedName>
    <definedName name="NM_FINANCIAL" localSheetId="4">'American Integrity'!$B$37:$F$37</definedName>
    <definedName name="NM_FINANCIAL" localSheetId="6">'American Medical'!$B$37:$F$37</definedName>
    <definedName name="NM_FINANCIAL" localSheetId="7">'American Network'!$B$37:$F$37</definedName>
    <definedName name="NM_FINANCIAL" localSheetId="9">AmerWstrn!$B$37:$F$37</definedName>
    <definedName name="NM_FINANCIAL" localSheetId="10">'AMS Life'!$B$37:$F$37</definedName>
    <definedName name="NM_FINANCIAL" localSheetId="11">'Andrew Jackson'!$B$37:$F$37</definedName>
    <definedName name="NM_FINANCIAL" localSheetId="12">'Bankers Commercial'!$B$37:$F$37</definedName>
    <definedName name="NM_FINANCIAL" localSheetId="13">'Bankers Life'!$B$37:$F$37</definedName>
    <definedName name="NM_FINANCIAL" localSheetId="14">Benicorp!$B$37:$F$37</definedName>
    <definedName name="NM_FINANCIAL" localSheetId="15">'Booker T Washington'!$B$37:$F$37</definedName>
    <definedName name="NM_FINANCIAL" localSheetId="16">Centennial!$B$37:$F$37</definedName>
    <definedName name="NM_FINANCIAL" localSheetId="18">'CO Bankers'!$B$37:$F$37</definedName>
    <definedName name="NM_FINANCIAL" localSheetId="17">'Coastal States'!$B$37:$F$37</definedName>
    <definedName name="NM_FINANCIAL" localSheetId="19">'Colorado Health'!$B$37:$F$37</definedName>
    <definedName name="NM_FINANCIAL" localSheetId="20">'Compass (dbs Meritus)'!$B$37:$F$37</definedName>
    <definedName name="NM_FINANCIAL" localSheetId="21">'Confed Life &amp; Annty (CLIAC)'!$B$37:$F$37</definedName>
    <definedName name="NM_FINANCIAL" localSheetId="22">'Confed Life (CLIC)'!$B$37:$F$37</definedName>
    <definedName name="NM_FINANCIAL" localSheetId="23">'Consolidated National'!$B$37:$F$37</definedName>
    <definedName name="NM_FINANCIAL" localSheetId="24">'Consumers Choice'!$B$37:$F$37</definedName>
    <definedName name="NM_FINANCIAL" localSheetId="25">'Consumers Mutual'!$B$37:$F$37</definedName>
    <definedName name="NM_FINANCIAL" localSheetId="26">'Consumers United'!$B$37:$F$37</definedName>
    <definedName name="NM_FINANCIAL" localSheetId="27">CoOportunity!$B$37:$F$37</definedName>
    <definedName name="NM_FINANCIAL" localSheetId="28">'Coordinated Hlth'!$B$37:$F$37</definedName>
    <definedName name="NM_FINANCIAL" localSheetId="29">'Corporate Life'!$B$37:$F$37</definedName>
    <definedName name="NM_FINANCIAL" localSheetId="30">'Diamond Benefits'!$B$37:$F$37</definedName>
    <definedName name="NM_FINANCIAL" localSheetId="31">'EBL Life'!$B$37:$F$37</definedName>
    <definedName name="NM_FINANCIAL" localSheetId="33">ELNY!$B$37:$F$37</definedName>
    <definedName name="NM_FINANCIAL" localSheetId="32">'Executive Life'!$B$37:$F$37</definedName>
    <definedName name="NM_FINANCIAL" localSheetId="34">'Family Guaranty'!$B$37:$F$37</definedName>
    <definedName name="NM_FINANCIAL" localSheetId="35">'Farmers &amp; Ranchers'!$B$37:$F$37</definedName>
    <definedName name="NM_FINANCIAL" localSheetId="36">'Fidelity Bankers'!$B$37:$F$37</definedName>
    <definedName name="NM_FINANCIAL" localSheetId="37">'Fidelity Mutual'!$B$37:$F$37</definedName>
    <definedName name="NM_FINANCIAL" localSheetId="38">'First Capital'!$B$37:$F$37</definedName>
    <definedName name="NM_FINANCIAL" localSheetId="39">'First Natl'!$B$37:$F$37</definedName>
    <definedName name="NM_FINANCIAL" localSheetId="40">'First Natl (Thrnr)'!$B$37:$F$37</definedName>
    <definedName name="NM_FINANCIAL" localSheetId="41">'Franklin American'!$B$37:$F$37</definedName>
    <definedName name="NM_FINANCIAL" localSheetId="42">'Franklin Protective'!$B$37:$F$37</definedName>
    <definedName name="NM_FINANCIAL" localSheetId="43">'Freelancers CO-OP'!$B$37:$F$37</definedName>
    <definedName name="NM_FINANCIAL" localSheetId="44">Freestone!$B$37:$F$37</definedName>
    <definedName name="NM_FINANCIAL" localSheetId="45">'George Washington'!$B$37:$F$37</definedName>
    <definedName name="NM_FINANCIAL" localSheetId="46">'Golden State'!$B$37:$F$37</definedName>
    <definedName name="NM_FINANCIAL" localSheetId="47">'Guarantee Security'!$B$37:$F$37</definedName>
    <definedName name="NM_FINANCIAL" localSheetId="48">HealthyCT!$B$37:$F$37</definedName>
    <definedName name="NM_FINANCIAL" localSheetId="49">Imerica!$B$37:$F$37</definedName>
    <definedName name="NM_FINANCIAL" localSheetId="50">'Inter-American'!$B$37:$F$37</definedName>
    <definedName name="NM_FINANCIAL" localSheetId="51">'International Fin'!$B$37:$F$37</definedName>
    <definedName name="NM_FINANCIAL" localSheetId="52">'Investment Life of America'!$B$37:$F$37</definedName>
    <definedName name="NM_FINANCIAL" localSheetId="53">'Investors Equity'!$B$37:$F$37</definedName>
    <definedName name="NM_FINANCIAL" localSheetId="54">'Kentucky Central'!$B$37:$F$37</definedName>
    <definedName name="NM_FINANCIAL" localSheetId="55">'Land of Lincoln'!$B$37:$F$37</definedName>
    <definedName name="NM_FINANCIAL" localSheetId="56">Legion!$B$37:$F$37</definedName>
    <definedName name="NM_FINANCIAL" localSheetId="57">'Life Health America'!$B$37:$F$37</definedName>
    <definedName name="NM_FINANCIAL" localSheetId="58">'Lincoln Memorial'!$B$37:$F$37</definedName>
    <definedName name="NM_FINANCIAL" localSheetId="59">'London Pac'!$B$37:$F$37</definedName>
    <definedName name="NM_FINANCIAL" localSheetId="60">Lumbermens!$B$37:$F$37</definedName>
    <definedName name="NM_FINANCIAL" localSheetId="61">'Medical Savings'!$B$37:$F$37</definedName>
    <definedName name="NM_FINANCIAL" localSheetId="62">'Memorial Service'!$B$37:$F$37</definedName>
    <definedName name="NM_FINANCIAL" localSheetId="63">Midcontinent!$B$37:$F$37</definedName>
    <definedName name="NM_FINANCIAL" localSheetId="64">'Midwest Life'!$B$37:$F$37</definedName>
    <definedName name="NM_FINANCIAL" localSheetId="65">'Monarch Life'!$B$37:$F$37</definedName>
    <definedName name="NM_FINANCIAL" localSheetId="66">'Mutual Benefit'!$B$37:$F$37</definedName>
    <definedName name="NM_FINANCIAL" localSheetId="67">'Mutual Security'!$B$37:$F$37</definedName>
    <definedName name="NM_FINANCIAL" localSheetId="68">'National Affiliated'!$B$37:$F$37</definedName>
    <definedName name="NM_FINANCIAL" localSheetId="70">'National Heritage'!$B$37:$F$37</definedName>
    <definedName name="NM_FINANCIAL" localSheetId="71">'National States'!$B$37:$F$37</definedName>
    <definedName name="NM_FINANCIAL" localSheetId="69">'Natl American'!$B$37:$F$37</definedName>
    <definedName name="NM_FINANCIAL" localSheetId="72">'New Jersey Life'!$B$37:$F$37</definedName>
    <definedName name="NM_FINANCIAL" localSheetId="74">NNIC!$B$37:$F$37</definedName>
    <definedName name="NM_FINANCIAL" localSheetId="73">'North Carolina Mutual'!$B$37:$F$37</definedName>
    <definedName name="NM_FINANCIAL" localSheetId="75">'Old Colony Life'!$B$37:$F$37</definedName>
    <definedName name="NM_FINANCIAL" localSheetId="76">'Old Faithful'!$B$37:$F$37</definedName>
    <definedName name="NM_FINANCIAL" localSheetId="77">'Pacific Standard'!$B$37:$F$37</definedName>
    <definedName name="NM_FINANCIAL" localSheetId="78">'Pavonia Life'!$B$37:$F$37</definedName>
    <definedName name="NM_FINANCIAL" localSheetId="79">'Pen  Treaty'!$B$37:$F$37</definedName>
    <definedName name="NM_FINANCIAL" localSheetId="80">'Red Rock'!$B$37:$F$37</definedName>
    <definedName name="NM_FINANCIAL" localSheetId="81">Reliance!$B$37:$F$37</definedName>
    <definedName name="NM_FINANCIAL" localSheetId="82">SeeChange!$B$37:$F$37</definedName>
    <definedName name="NM_FINANCIAL" localSheetId="83">'Senior American'!$B$37:$F$37</definedName>
    <definedName name="NM_FINANCIAL" localSheetId="84">Settlers!$B$37:$F$37</definedName>
    <definedName name="NM_FINANCIAL" localSheetId="85">Shenandoah!$B$37:$F$37</definedName>
    <definedName name="NM_FINANCIAL" localSheetId="86">'Southland National Life'!$B$37:$F$37</definedName>
    <definedName name="NM_FINANCIAL" localSheetId="87">'Standard Life IN'!$B$37:$F$37</definedName>
    <definedName name="NM_FINANCIAL" localSheetId="88">'States General'!$B$37:$F$37</definedName>
    <definedName name="NM_FINANCIAL" localSheetId="89">Statesman!$B$37:$F$37</definedName>
    <definedName name="NM_FINANCIAL" localSheetId="90">'Summit National'!$B$37:$F$37</definedName>
    <definedName name="NM_FINANCIAL" localSheetId="91">Supreme!$B$37:$F$37</definedName>
    <definedName name="NM_FINANCIAL" localSheetId="92">Time!$B$37:$F$37</definedName>
    <definedName name="NM_FINANCIAL" localSheetId="106">'Total Summary'!$B$37:$F$37</definedName>
    <definedName name="NM_FINANCIAL" localSheetId="93">Underwriters!$B$37:$F$37</definedName>
    <definedName name="NM_FINANCIAL" localSheetId="94">Unison!$B$37:$F$37</definedName>
    <definedName name="NM_FINANCIAL" localSheetId="95">'United Republic'!$B$37:$F$37</definedName>
    <definedName name="NM_FINANCIAL" localSheetId="96">'Universal Health Care'!$B$37:$F$37</definedName>
    <definedName name="NM_FINANCIAL" localSheetId="97">'Universal Life'!$B$37:$F$37</definedName>
    <definedName name="NM_FINANCIAL" localSheetId="98">Universe!$B$37:$F$37</definedName>
    <definedName name="NM_FINANCIAL" localSheetId="99">Villanova!$B$37:$F$37</definedName>
    <definedName name="NV_FINANCIAL" localSheetId="0">'Alabama Life'!$B$34:$F$34</definedName>
    <definedName name="NV_FINANCIAL" localSheetId="5">'Amer Life Asr'!$B$34:$F$34</definedName>
    <definedName name="NV_FINANCIAL" localSheetId="8">'Amer Std Life Acc'!$B$34:$F$34</definedName>
    <definedName name="NV_FINANCIAL" localSheetId="1">'American Chambers'!$B$34:$F$34</definedName>
    <definedName name="NV_FINANCIAL" localSheetId="2">'American Community'!$B$34:$F$34</definedName>
    <definedName name="NV_FINANCIAL" localSheetId="3">'American Educators'!$B$34:$F$34</definedName>
    <definedName name="NV_FINANCIAL" localSheetId="4">'American Integrity'!$B$34:$F$34</definedName>
    <definedName name="NV_FINANCIAL" localSheetId="6">'American Medical'!$B$34:$F$34</definedName>
    <definedName name="NV_FINANCIAL" localSheetId="7">'American Network'!$B$34:$F$34</definedName>
    <definedName name="NV_FINANCIAL" localSheetId="9">AmerWstrn!$B$34:$F$34</definedName>
    <definedName name="NV_FINANCIAL" localSheetId="10">'AMS Life'!$B$34:$F$34</definedName>
    <definedName name="NV_FINANCIAL" localSheetId="11">'Andrew Jackson'!$B$34:$F$34</definedName>
    <definedName name="NV_FINANCIAL" localSheetId="12">'Bankers Commercial'!$B$34:$F$34</definedName>
    <definedName name="NV_FINANCIAL" localSheetId="13">'Bankers Life'!$B$34:$F$34</definedName>
    <definedName name="NV_FINANCIAL" localSheetId="14">Benicorp!$B$34:$F$34</definedName>
    <definedName name="NV_FINANCIAL" localSheetId="15">'Booker T Washington'!$B$34:$F$34</definedName>
    <definedName name="NV_FINANCIAL" localSheetId="16">Centennial!$B$34:$F$34</definedName>
    <definedName name="NV_FINANCIAL" localSheetId="18">'CO Bankers'!$B$34:$F$34</definedName>
    <definedName name="NV_FINANCIAL" localSheetId="17">'Coastal States'!$B$34:$F$34</definedName>
    <definedName name="NV_FINANCIAL" localSheetId="19">'Colorado Health'!$B$34:$F$34</definedName>
    <definedName name="NV_FINANCIAL" localSheetId="20">'Compass (dbs Meritus)'!$B$34:$F$34</definedName>
    <definedName name="NV_FINANCIAL" localSheetId="21">'Confed Life &amp; Annty (CLIAC)'!$B$34:$F$34</definedName>
    <definedName name="NV_FINANCIAL" localSheetId="22">'Confed Life (CLIC)'!$B$34:$F$34</definedName>
    <definedName name="NV_FINANCIAL" localSheetId="23">'Consolidated National'!$B$34:$F$34</definedName>
    <definedName name="NV_FINANCIAL" localSheetId="24">'Consumers Choice'!$B$34:$F$34</definedName>
    <definedName name="NV_FINANCIAL" localSheetId="25">'Consumers Mutual'!$B$34:$F$34</definedName>
    <definedName name="NV_FINANCIAL" localSheetId="26">'Consumers United'!$B$34:$F$34</definedName>
    <definedName name="NV_FINANCIAL" localSheetId="27">CoOportunity!$B$34:$F$34</definedName>
    <definedName name="NV_FINANCIAL" localSheetId="28">'Coordinated Hlth'!$B$34:$F$34</definedName>
    <definedName name="NV_FINANCIAL" localSheetId="29">'Corporate Life'!$B$34:$F$34</definedName>
    <definedName name="NV_FINANCIAL" localSheetId="30">'Diamond Benefits'!$B$34:$F$34</definedName>
    <definedName name="NV_FINANCIAL" localSheetId="31">'EBL Life'!$B$34:$F$34</definedName>
    <definedName name="NV_FINANCIAL" localSheetId="33">ELNY!$B$34:$F$34</definedName>
    <definedName name="NV_FINANCIAL" localSheetId="32">'Executive Life'!$B$34:$F$34</definedName>
    <definedName name="NV_FINANCIAL" localSheetId="34">'Family Guaranty'!$B$34:$F$34</definedName>
    <definedName name="NV_FINANCIAL" localSheetId="35">'Farmers &amp; Ranchers'!$B$34:$F$34</definedName>
    <definedName name="NV_FINANCIAL" localSheetId="36">'Fidelity Bankers'!$B$34:$F$34</definedName>
    <definedName name="NV_FINANCIAL" localSheetId="37">'Fidelity Mutual'!$B$34:$F$34</definedName>
    <definedName name="NV_FINANCIAL" localSheetId="38">'First Capital'!$B$34:$F$34</definedName>
    <definedName name="NV_FINANCIAL" localSheetId="39">'First Natl'!$B$34:$F$34</definedName>
    <definedName name="NV_FINANCIAL" localSheetId="40">'First Natl (Thrnr)'!$B$34:$F$34</definedName>
    <definedName name="NV_FINANCIAL" localSheetId="41">'Franklin American'!$B$34:$F$34</definedName>
    <definedName name="NV_FINANCIAL" localSheetId="42">'Franklin Protective'!$B$34:$F$34</definedName>
    <definedName name="NV_FINANCIAL" localSheetId="43">'Freelancers CO-OP'!$B$34:$F$34</definedName>
    <definedName name="NV_FINANCIAL" localSheetId="44">Freestone!$B$34:$F$34</definedName>
    <definedName name="NV_FINANCIAL" localSheetId="45">'George Washington'!$B$34:$F$34</definedName>
    <definedName name="NV_FINANCIAL" localSheetId="46">'Golden State'!$B$34:$F$34</definedName>
    <definedName name="NV_FINANCIAL" localSheetId="47">'Guarantee Security'!$B$34:$F$34</definedName>
    <definedName name="NV_FINANCIAL" localSheetId="48">HealthyCT!$B$34:$F$34</definedName>
    <definedName name="NV_FINANCIAL" localSheetId="49">Imerica!$B$34:$F$34</definedName>
    <definedName name="NV_FINANCIAL" localSheetId="50">'Inter-American'!$B$34:$F$34</definedName>
    <definedName name="NV_FINANCIAL" localSheetId="51">'International Fin'!$B$34:$F$34</definedName>
    <definedName name="NV_FINANCIAL" localSheetId="52">'Investment Life of America'!$B$34:$F$34</definedName>
    <definedName name="NV_FINANCIAL" localSheetId="53">'Investors Equity'!$B$34:$F$34</definedName>
    <definedName name="NV_FINANCIAL" localSheetId="54">'Kentucky Central'!$B$34:$F$34</definedName>
    <definedName name="NV_FINANCIAL" localSheetId="55">'Land of Lincoln'!$B$34:$F$34</definedName>
    <definedName name="NV_FINANCIAL" localSheetId="56">Legion!$B$34:$F$34</definedName>
    <definedName name="NV_FINANCIAL" localSheetId="57">'Life Health America'!$B$34:$F$34</definedName>
    <definedName name="NV_FINANCIAL" localSheetId="58">'Lincoln Memorial'!$B$34:$F$34</definedName>
    <definedName name="NV_FINANCIAL" localSheetId="59">'London Pac'!$B$34:$F$34</definedName>
    <definedName name="NV_FINANCIAL" localSheetId="60">Lumbermens!$B$34:$F$34</definedName>
    <definedName name="NV_FINANCIAL" localSheetId="61">'Medical Savings'!$B$34:$F$34</definedName>
    <definedName name="NV_FINANCIAL" localSheetId="62">'Memorial Service'!$B$34:$F$34</definedName>
    <definedName name="NV_FINANCIAL" localSheetId="63">Midcontinent!$B$34:$F$34</definedName>
    <definedName name="NV_FINANCIAL" localSheetId="64">'Midwest Life'!$B$34:$F$34</definedName>
    <definedName name="NV_FINANCIAL" localSheetId="65">'Monarch Life'!$B$34:$F$34</definedName>
    <definedName name="NV_FINANCIAL" localSheetId="66">'Mutual Benefit'!$B$34:$F$34</definedName>
    <definedName name="NV_FINANCIAL" localSheetId="67">'Mutual Security'!$B$34:$F$34</definedName>
    <definedName name="NV_FINANCIAL" localSheetId="68">'National Affiliated'!$B$34:$F$34</definedName>
    <definedName name="NV_FINANCIAL" localSheetId="70">'National Heritage'!$B$34:$F$34</definedName>
    <definedName name="NV_FINANCIAL" localSheetId="71">'National States'!$B$34:$F$34</definedName>
    <definedName name="NV_FINANCIAL" localSheetId="69">'Natl American'!$B$34:$F$34</definedName>
    <definedName name="NV_FINANCIAL" localSheetId="72">'New Jersey Life'!$B$34:$F$34</definedName>
    <definedName name="NV_FINANCIAL" localSheetId="74">NNIC!$B$34:$F$34</definedName>
    <definedName name="NV_FINANCIAL" localSheetId="73">'North Carolina Mutual'!$B$34:$F$34</definedName>
    <definedName name="NV_FINANCIAL" localSheetId="75">'Old Colony Life'!$B$34:$F$34</definedName>
    <definedName name="NV_FINANCIAL" localSheetId="76">'Old Faithful'!$B$34:$F$34</definedName>
    <definedName name="NV_FINANCIAL" localSheetId="77">'Pacific Standard'!$B$34:$F$34</definedName>
    <definedName name="NV_FINANCIAL" localSheetId="78">'Pavonia Life'!$B$34:$F$34</definedName>
    <definedName name="NV_FINANCIAL" localSheetId="79">'Pen  Treaty'!$B$34:$F$34</definedName>
    <definedName name="NV_FINANCIAL" localSheetId="80">'Red Rock'!$B$34:$F$34</definedName>
    <definedName name="NV_FINANCIAL" localSheetId="81">Reliance!$B$34:$F$34</definedName>
    <definedName name="NV_FINANCIAL" localSheetId="82">SeeChange!$B$34:$F$34</definedName>
    <definedName name="NV_FINANCIAL" localSheetId="83">'Senior American'!$B$34:$F$34</definedName>
    <definedName name="NV_FINANCIAL" localSheetId="84">Settlers!$B$34:$F$34</definedName>
    <definedName name="NV_FINANCIAL" localSheetId="85">Shenandoah!$B$34:$F$34</definedName>
    <definedName name="NV_FINANCIAL" localSheetId="86">'Southland National Life'!$B$34:$F$34</definedName>
    <definedName name="NV_FINANCIAL" localSheetId="87">'Standard Life IN'!$B$34:$F$34</definedName>
    <definedName name="NV_FINANCIAL" localSheetId="88">'States General'!$B$34:$F$34</definedName>
    <definedName name="NV_FINANCIAL" localSheetId="89">Statesman!$B$34:$F$34</definedName>
    <definedName name="NV_FINANCIAL" localSheetId="90">'Summit National'!$B$34:$F$34</definedName>
    <definedName name="NV_FINANCIAL" localSheetId="91">Supreme!$B$34:$F$34</definedName>
    <definedName name="NV_FINANCIAL" localSheetId="92">Time!$B$34:$F$34</definedName>
    <definedName name="NV_FINANCIAL" localSheetId="106">'Total Summary'!$B$34:$F$34</definedName>
    <definedName name="NV_FINANCIAL" localSheetId="93">Underwriters!$B$34:$F$34</definedName>
    <definedName name="NV_FINANCIAL" localSheetId="94">Unison!$B$34:$F$34</definedName>
    <definedName name="NV_FINANCIAL" localSheetId="95">'United Republic'!$B$34:$F$34</definedName>
    <definedName name="NV_FINANCIAL" localSheetId="96">'Universal Health Care'!$B$34:$F$34</definedName>
    <definedName name="NV_FINANCIAL" localSheetId="97">'Universal Life'!$B$34:$F$34</definedName>
    <definedName name="NV_FINANCIAL" localSheetId="98">Universe!$B$34:$F$34</definedName>
    <definedName name="NV_FINANCIAL" localSheetId="99">Villanova!$B$34:$F$34</definedName>
    <definedName name="NY_FINANCIAL" localSheetId="0">'Alabama Life'!$B$38:$F$38</definedName>
    <definedName name="NY_FINANCIAL" localSheetId="5">'Amer Life Asr'!$B$38:$F$38</definedName>
    <definedName name="NY_FINANCIAL" localSheetId="8">'Amer Std Life Acc'!$B$38:$F$38</definedName>
    <definedName name="NY_FINANCIAL" localSheetId="1">'American Chambers'!$B$38:$F$38</definedName>
    <definedName name="NY_FINANCIAL" localSheetId="2">'American Community'!$B$38:$F$38</definedName>
    <definedName name="NY_FINANCIAL" localSheetId="3">'American Educators'!$B$38:$F$38</definedName>
    <definedName name="NY_FINANCIAL" localSheetId="4">'American Integrity'!$B$38:$F$38</definedName>
    <definedName name="NY_FINANCIAL" localSheetId="6">'American Medical'!$B$38:$F$38</definedName>
    <definedName name="NY_FINANCIAL" localSheetId="7">'American Network'!$B$38:$F$38</definedName>
    <definedName name="NY_FINANCIAL" localSheetId="9">AmerWstrn!$B$38:$F$38</definedName>
    <definedName name="NY_FINANCIAL" localSheetId="10">'AMS Life'!$B$38:$F$38</definedName>
    <definedName name="NY_FINANCIAL" localSheetId="11">'Andrew Jackson'!$B$38:$F$38</definedName>
    <definedName name="NY_FINANCIAL" localSheetId="12">'Bankers Commercial'!$B$38:$F$38</definedName>
    <definedName name="NY_FINANCIAL" localSheetId="13">'Bankers Life'!$B$38:$F$38</definedName>
    <definedName name="NY_FINANCIAL" localSheetId="14">Benicorp!$B$38:$F$38</definedName>
    <definedName name="NY_FINANCIAL" localSheetId="15">'Booker T Washington'!$B$38:$F$38</definedName>
    <definedName name="NY_FINANCIAL" localSheetId="16">Centennial!$B$38:$F$38</definedName>
    <definedName name="NY_FINANCIAL" localSheetId="18">'CO Bankers'!$B$38:$F$38</definedName>
    <definedName name="NY_FINANCIAL" localSheetId="17">'Coastal States'!$B$38:$F$38</definedName>
    <definedName name="NY_FINANCIAL" localSheetId="19">'Colorado Health'!$B$38:$F$38</definedName>
    <definedName name="NY_FINANCIAL" localSheetId="20">'Compass (dbs Meritus)'!$B$38:$F$38</definedName>
    <definedName name="NY_FINANCIAL" localSheetId="21">'Confed Life &amp; Annty (CLIAC)'!$B$38:$F$38</definedName>
    <definedName name="NY_FINANCIAL" localSheetId="22">'Confed Life (CLIC)'!$B$38:$F$38</definedName>
    <definedName name="NY_FINANCIAL" localSheetId="23">'Consolidated National'!$B$38:$F$38</definedName>
    <definedName name="NY_FINANCIAL" localSheetId="24">'Consumers Choice'!$B$38:$F$38</definedName>
    <definedName name="NY_FINANCIAL" localSheetId="25">'Consumers Mutual'!$B$38:$F$38</definedName>
    <definedName name="NY_FINANCIAL" localSheetId="26">'Consumers United'!$B$38:$F$38</definedName>
    <definedName name="NY_FINANCIAL" localSheetId="27">CoOportunity!$B$38:$F$38</definedName>
    <definedName name="NY_FINANCIAL" localSheetId="28">'Coordinated Hlth'!$B$38:$F$38</definedName>
    <definedName name="NY_FINANCIAL" localSheetId="29">'Corporate Life'!$B$38:$F$38</definedName>
    <definedName name="NY_FINANCIAL" localSheetId="30">'Diamond Benefits'!$B$38:$F$38</definedName>
    <definedName name="NY_FINANCIAL" localSheetId="31">'EBL Life'!$B$38:$F$38</definedName>
    <definedName name="NY_FINANCIAL" localSheetId="33">ELNY!$B$38:$F$38</definedName>
    <definedName name="NY_FINANCIAL" localSheetId="32">'Executive Life'!$B$38:$F$38</definedName>
    <definedName name="NY_FINANCIAL" localSheetId="34">'Family Guaranty'!$B$38:$F$38</definedName>
    <definedName name="NY_FINANCIAL" localSheetId="35">'Farmers &amp; Ranchers'!$B$38:$F$38</definedName>
    <definedName name="NY_FINANCIAL" localSheetId="36">'Fidelity Bankers'!$B$38:$F$38</definedName>
    <definedName name="NY_FINANCIAL" localSheetId="37">'Fidelity Mutual'!$B$38:$F$38</definedName>
    <definedName name="NY_FINANCIAL" localSheetId="38">'First Capital'!$B$38:$F$38</definedName>
    <definedName name="NY_FINANCIAL" localSheetId="39">'First Natl'!$B$38:$F$38</definedName>
    <definedName name="NY_FINANCIAL" localSheetId="40">'First Natl (Thrnr)'!$B$38:$F$38</definedName>
    <definedName name="NY_FINANCIAL" localSheetId="41">'Franklin American'!$B$38:$F$38</definedName>
    <definedName name="NY_FINANCIAL" localSheetId="42">'Franklin Protective'!$B$38:$F$38</definedName>
    <definedName name="NY_FINANCIAL" localSheetId="43">'Freelancers CO-OP'!$B$38:$F$38</definedName>
    <definedName name="NY_FINANCIAL" localSheetId="44">Freestone!$B$38:$F$38</definedName>
    <definedName name="NY_FINANCIAL" localSheetId="45">'George Washington'!$B$38:$F$38</definedName>
    <definedName name="NY_FINANCIAL" localSheetId="46">'Golden State'!$B$38:$F$38</definedName>
    <definedName name="NY_FINANCIAL" localSheetId="47">'Guarantee Security'!$B$38:$F$38</definedName>
    <definedName name="NY_FINANCIAL" localSheetId="48">HealthyCT!$B$38:$F$38</definedName>
    <definedName name="NY_FINANCIAL" localSheetId="49">Imerica!$B$38:$F$38</definedName>
    <definedName name="NY_FINANCIAL" localSheetId="50">'Inter-American'!$B$38:$F$38</definedName>
    <definedName name="NY_FINANCIAL" localSheetId="51">'International Fin'!$B$38:$F$38</definedName>
    <definedName name="NY_FINANCIAL" localSheetId="52">'Investment Life of America'!$B$38:$F$38</definedName>
    <definedName name="NY_FINANCIAL" localSheetId="53">'Investors Equity'!$B$38:$F$38</definedName>
    <definedName name="NY_FINANCIAL" localSheetId="54">'Kentucky Central'!$B$38:$F$38</definedName>
    <definedName name="NY_FINANCIAL" localSheetId="55">'Land of Lincoln'!$B$38:$F$38</definedName>
    <definedName name="NY_FINANCIAL" localSheetId="56">Legion!$B$38:$F$38</definedName>
    <definedName name="NY_FINANCIAL" localSheetId="57">'Life Health America'!$B$38:$F$38</definedName>
    <definedName name="NY_FINANCIAL" localSheetId="58">'Lincoln Memorial'!$B$38:$F$38</definedName>
    <definedName name="NY_FINANCIAL" localSheetId="59">'London Pac'!$B$38:$F$38</definedName>
    <definedName name="NY_FINANCIAL" localSheetId="60">Lumbermens!$B$38:$F$38</definedName>
    <definedName name="NY_FINANCIAL" localSheetId="61">'Medical Savings'!$B$38:$F$38</definedName>
    <definedName name="NY_FINANCIAL" localSheetId="62">'Memorial Service'!$B$38:$F$38</definedName>
    <definedName name="NY_FINANCIAL" localSheetId="63">Midcontinent!$B$38:$F$38</definedName>
    <definedName name="NY_FINANCIAL" localSheetId="64">'Midwest Life'!$B$38:$F$38</definedName>
    <definedName name="NY_FINANCIAL" localSheetId="65">'Monarch Life'!$B$38:$F$38</definedName>
    <definedName name="NY_FINANCIAL" localSheetId="66">'Mutual Benefit'!$B$38:$F$38</definedName>
    <definedName name="NY_FINANCIAL" localSheetId="67">'Mutual Security'!$B$38:$F$38</definedName>
    <definedName name="NY_FINANCIAL" localSheetId="68">'National Affiliated'!$B$38:$F$38</definedName>
    <definedName name="NY_FINANCIAL" localSheetId="70">'National Heritage'!$B$38:$F$38</definedName>
    <definedName name="NY_FINANCIAL" localSheetId="71">'National States'!$B$38:$F$38</definedName>
    <definedName name="NY_FINANCIAL" localSheetId="69">'Natl American'!$B$38:$F$38</definedName>
    <definedName name="NY_FINANCIAL" localSheetId="72">'New Jersey Life'!$B$38:$F$38</definedName>
    <definedName name="NY_FINANCIAL" localSheetId="74">NNIC!$B$38:$F$38</definedName>
    <definedName name="NY_FINANCIAL" localSheetId="73">'North Carolina Mutual'!$B$38:$F$38</definedName>
    <definedName name="NY_FINANCIAL" localSheetId="75">'Old Colony Life'!$B$38:$F$38</definedName>
    <definedName name="NY_FINANCIAL" localSheetId="76">'Old Faithful'!$B$38:$F$38</definedName>
    <definedName name="NY_FINANCIAL" localSheetId="77">'Pacific Standard'!$B$38:$F$38</definedName>
    <definedName name="NY_FINANCIAL" localSheetId="78">'Pavonia Life'!$B$38:$F$38</definedName>
    <definedName name="NY_FINANCIAL" localSheetId="79">'Pen  Treaty'!$B$38:$F$38</definedName>
    <definedName name="NY_FINANCIAL" localSheetId="80">'Red Rock'!$B$38:$F$38</definedName>
    <definedName name="NY_FINANCIAL" localSheetId="81">Reliance!$B$38:$F$38</definedName>
    <definedName name="NY_FINANCIAL" localSheetId="82">SeeChange!$B$38:$F$38</definedName>
    <definedName name="NY_FINANCIAL" localSheetId="83">'Senior American'!$B$38:$F$38</definedName>
    <definedName name="NY_FINANCIAL" localSheetId="84">Settlers!$B$38:$F$38</definedName>
    <definedName name="NY_FINANCIAL" localSheetId="85">Shenandoah!$B$38:$F$38</definedName>
    <definedName name="NY_FINANCIAL" localSheetId="86">'Southland National Life'!$B$38:$F$38</definedName>
    <definedName name="NY_FINANCIAL" localSheetId="87">'Standard Life IN'!$B$38:$F$38</definedName>
    <definedName name="NY_FINANCIAL" localSheetId="88">'States General'!$B$38:$F$38</definedName>
    <definedName name="NY_FINANCIAL" localSheetId="89">Statesman!$B$38:$F$38</definedName>
    <definedName name="NY_FINANCIAL" localSheetId="90">'Summit National'!$B$38:$F$38</definedName>
    <definedName name="NY_FINANCIAL" localSheetId="91">Supreme!$B$38:$F$38</definedName>
    <definedName name="NY_FINANCIAL" localSheetId="92">Time!$B$38:$F$38</definedName>
    <definedName name="NY_FINANCIAL" localSheetId="106">'Total Summary'!$B$38:$F$38</definedName>
    <definedName name="NY_FINANCIAL" localSheetId="93">Underwriters!$B$38:$F$38</definedName>
    <definedName name="NY_FINANCIAL" localSheetId="94">Unison!$B$38:$F$38</definedName>
    <definedName name="NY_FINANCIAL" localSheetId="95">'United Republic'!$B$38:$F$38</definedName>
    <definedName name="NY_FINANCIAL" localSheetId="96">'Universal Health Care'!$B$38:$F$38</definedName>
    <definedName name="NY_FINANCIAL" localSheetId="97">'Universal Life'!$B$38:$F$38</definedName>
    <definedName name="NY_FINANCIAL" localSheetId="98">Universe!$B$38:$F$38</definedName>
    <definedName name="NY_FINANCIAL" localSheetId="99">Villanova!$B$38:$F$38</definedName>
    <definedName name="OH_FINANCIAL" localSheetId="0">'Alabama Life'!$B$41:$F$41</definedName>
    <definedName name="OH_FINANCIAL" localSheetId="5">'Amer Life Asr'!$B$41:$F$41</definedName>
    <definedName name="OH_FINANCIAL" localSheetId="8">'Amer Std Life Acc'!$B$41:$F$41</definedName>
    <definedName name="OH_FINANCIAL" localSheetId="1">'American Chambers'!$B$41:$F$41</definedName>
    <definedName name="OH_FINANCIAL" localSheetId="2">'American Community'!$B$41:$F$41</definedName>
    <definedName name="OH_FINANCIAL" localSheetId="3">'American Educators'!$B$41:$F$41</definedName>
    <definedName name="OH_FINANCIAL" localSheetId="4">'American Integrity'!$B$41:$F$41</definedName>
    <definedName name="OH_FINANCIAL" localSheetId="6">'American Medical'!$B$41:$F$41</definedName>
    <definedName name="OH_FINANCIAL" localSheetId="7">'American Network'!$B$41:$F$41</definedName>
    <definedName name="OH_FINANCIAL" localSheetId="9">AmerWstrn!$B$41:$F$41</definedName>
    <definedName name="OH_FINANCIAL" localSheetId="10">'AMS Life'!$B$41:$F$41</definedName>
    <definedName name="OH_FINANCIAL" localSheetId="11">'Andrew Jackson'!$B$41:$F$41</definedName>
    <definedName name="OH_FINANCIAL" localSheetId="12">'Bankers Commercial'!$B$41:$F$41</definedName>
    <definedName name="OH_FINANCIAL" localSheetId="13">'Bankers Life'!$B$41:$F$41</definedName>
    <definedName name="OH_FINANCIAL" localSheetId="14">Benicorp!$B$41:$F$41</definedName>
    <definedName name="OH_FINANCIAL" localSheetId="15">'Booker T Washington'!$B$41:$F$41</definedName>
    <definedName name="OH_FINANCIAL" localSheetId="16">Centennial!$B$41:$F$41</definedName>
    <definedName name="OH_FINANCIAL" localSheetId="18">'CO Bankers'!$B$41:$F$41</definedName>
    <definedName name="OH_FINANCIAL" localSheetId="17">'Coastal States'!$B$41:$F$41</definedName>
    <definedName name="OH_FINANCIAL" localSheetId="19">'Colorado Health'!$B$41:$F$41</definedName>
    <definedName name="OH_FINANCIAL" localSheetId="20">'Compass (dbs Meritus)'!$B$41:$F$41</definedName>
    <definedName name="OH_FINANCIAL" localSheetId="21">'Confed Life &amp; Annty (CLIAC)'!$B$41:$F$41</definedName>
    <definedName name="OH_FINANCIAL" localSheetId="22">'Confed Life (CLIC)'!$B$41:$F$41</definedName>
    <definedName name="OH_FINANCIAL" localSheetId="23">'Consolidated National'!$B$41:$F$41</definedName>
    <definedName name="OH_FINANCIAL" localSheetId="24">'Consumers Choice'!$B$41:$F$41</definedName>
    <definedName name="OH_FINANCIAL" localSheetId="25">'Consumers Mutual'!$B$41:$F$41</definedName>
    <definedName name="OH_FINANCIAL" localSheetId="26">'Consumers United'!$B$41:$F$41</definedName>
    <definedName name="OH_FINANCIAL" localSheetId="27">CoOportunity!$B$41:$F$41</definedName>
    <definedName name="OH_FINANCIAL" localSheetId="28">'Coordinated Hlth'!$B$41:$F$41</definedName>
    <definedName name="OH_FINANCIAL" localSheetId="29">'Corporate Life'!$B$41:$F$41</definedName>
    <definedName name="OH_FINANCIAL" localSheetId="30">'Diamond Benefits'!$B$41:$F$41</definedName>
    <definedName name="OH_FINANCIAL" localSheetId="31">'EBL Life'!$B$41:$F$41</definedName>
    <definedName name="OH_FINANCIAL" localSheetId="33">ELNY!$B$41:$F$41</definedName>
    <definedName name="OH_FINANCIAL" localSheetId="32">'Executive Life'!$B$41:$F$41</definedName>
    <definedName name="OH_FINANCIAL" localSheetId="34">'Family Guaranty'!$B$41:$F$41</definedName>
    <definedName name="OH_FINANCIAL" localSheetId="35">'Farmers &amp; Ranchers'!$B$41:$F$41</definedName>
    <definedName name="OH_FINANCIAL" localSheetId="36">'Fidelity Bankers'!$B$41:$F$41</definedName>
    <definedName name="OH_FINANCIAL" localSheetId="37">'Fidelity Mutual'!$B$41:$F$41</definedName>
    <definedName name="OH_FINANCIAL" localSheetId="38">'First Capital'!$B$41:$F$41</definedName>
    <definedName name="OH_FINANCIAL" localSheetId="39">'First Natl'!$B$41:$F$41</definedName>
    <definedName name="OH_FINANCIAL" localSheetId="40">'First Natl (Thrnr)'!$B$41:$F$41</definedName>
    <definedName name="OH_FINANCIAL" localSheetId="41">'Franklin American'!$B$41:$F$41</definedName>
    <definedName name="OH_FINANCIAL" localSheetId="42">'Franklin Protective'!$B$41:$F$41</definedName>
    <definedName name="OH_FINANCIAL" localSheetId="43">'Freelancers CO-OP'!$B$41:$F$41</definedName>
    <definedName name="OH_FINANCIAL" localSheetId="44">Freestone!$B$41:$F$41</definedName>
    <definedName name="OH_FINANCIAL" localSheetId="45">'George Washington'!$B$41:$F$41</definedName>
    <definedName name="OH_FINANCIAL" localSheetId="46">'Golden State'!$B$41:$F$41</definedName>
    <definedName name="OH_FINANCIAL" localSheetId="47">'Guarantee Security'!$B$41:$F$41</definedName>
    <definedName name="OH_FINANCIAL" localSheetId="48">HealthyCT!$B$41:$F$41</definedName>
    <definedName name="OH_FINANCIAL" localSheetId="49">Imerica!$B$41:$F$41</definedName>
    <definedName name="OH_FINANCIAL" localSheetId="50">'Inter-American'!$B$41:$F$41</definedName>
    <definedName name="OH_FINANCIAL" localSheetId="51">'International Fin'!$B$41:$F$41</definedName>
    <definedName name="OH_FINANCIAL" localSheetId="52">'Investment Life of America'!$B$41:$F$41</definedName>
    <definedName name="OH_FINANCIAL" localSheetId="53">'Investors Equity'!$B$41:$F$41</definedName>
    <definedName name="OH_FINANCIAL" localSheetId="54">'Kentucky Central'!$B$41:$F$41</definedName>
    <definedName name="OH_FINANCIAL" localSheetId="55">'Land of Lincoln'!$B$41:$F$41</definedName>
    <definedName name="OH_FINANCIAL" localSheetId="56">Legion!$B$41:$F$41</definedName>
    <definedName name="OH_FINANCIAL" localSheetId="57">'Life Health America'!$B$41:$F$41</definedName>
    <definedName name="OH_FINANCIAL" localSheetId="58">'Lincoln Memorial'!$B$41:$F$41</definedName>
    <definedName name="OH_FINANCIAL" localSheetId="59">'London Pac'!$B$41:$F$41</definedName>
    <definedName name="OH_FINANCIAL" localSheetId="60">Lumbermens!$B$41:$F$41</definedName>
    <definedName name="OH_FINANCIAL" localSheetId="61">'Medical Savings'!$B$41:$F$41</definedName>
    <definedName name="OH_FINANCIAL" localSheetId="62">'Memorial Service'!$B$41:$F$41</definedName>
    <definedName name="OH_FINANCIAL" localSheetId="63">Midcontinent!$B$41:$F$41</definedName>
    <definedName name="OH_FINANCIAL" localSheetId="64">'Midwest Life'!$B$41:$F$41</definedName>
    <definedName name="OH_FINANCIAL" localSheetId="65">'Monarch Life'!$B$41:$F$41</definedName>
    <definedName name="OH_FINANCIAL" localSheetId="66">'Mutual Benefit'!$B$41:$F$41</definedName>
    <definedName name="OH_FINANCIAL" localSheetId="67">'Mutual Security'!$B$41:$F$41</definedName>
    <definedName name="OH_FINANCIAL" localSheetId="68">'National Affiliated'!$B$41:$F$41</definedName>
    <definedName name="OH_FINANCIAL" localSheetId="70">'National Heritage'!$B$41:$F$41</definedName>
    <definedName name="OH_FINANCIAL" localSheetId="71">'National States'!$B$41:$F$41</definedName>
    <definedName name="OH_FINANCIAL" localSheetId="69">'Natl American'!$B$41:$F$41</definedName>
    <definedName name="OH_FINANCIAL" localSheetId="72">'New Jersey Life'!$B$41:$F$41</definedName>
    <definedName name="OH_FINANCIAL" localSheetId="74">NNIC!$B$41:$F$41</definedName>
    <definedName name="OH_FINANCIAL" localSheetId="73">'North Carolina Mutual'!$B$41:$F$41</definedName>
    <definedName name="OH_FINANCIAL" localSheetId="75">'Old Colony Life'!$B$41:$F$41</definedName>
    <definedName name="OH_FINANCIAL" localSheetId="76">'Old Faithful'!$B$41:$F$41</definedName>
    <definedName name="OH_FINANCIAL" localSheetId="77">'Pacific Standard'!$B$41:$F$41</definedName>
    <definedName name="OH_FINANCIAL" localSheetId="78">'Pavonia Life'!$B$41:$F$41</definedName>
    <definedName name="OH_FINANCIAL" localSheetId="79">'Pen  Treaty'!$B$41:$F$41</definedName>
    <definedName name="OH_FINANCIAL" localSheetId="80">'Red Rock'!$B$41:$F$41</definedName>
    <definedName name="OH_FINANCIAL" localSheetId="81">Reliance!$B$41:$F$41</definedName>
    <definedName name="OH_FINANCIAL" localSheetId="82">SeeChange!$B$41:$F$41</definedName>
    <definedName name="OH_FINANCIAL" localSheetId="83">'Senior American'!$B$41:$F$41</definedName>
    <definedName name="OH_FINANCIAL" localSheetId="84">Settlers!$B$41:$F$41</definedName>
    <definedName name="OH_FINANCIAL" localSheetId="85">Shenandoah!$B$41:$F$41</definedName>
    <definedName name="OH_FINANCIAL" localSheetId="86">'Southland National Life'!$B$41:$F$41</definedName>
    <definedName name="OH_FINANCIAL" localSheetId="87">'Standard Life IN'!$B$41:$F$41</definedName>
    <definedName name="OH_FINANCIAL" localSheetId="88">'States General'!$B$41:$F$41</definedName>
    <definedName name="OH_FINANCIAL" localSheetId="89">Statesman!$B$41:$F$41</definedName>
    <definedName name="OH_FINANCIAL" localSheetId="90">'Summit National'!$B$41:$F$41</definedName>
    <definedName name="OH_FINANCIAL" localSheetId="91">Supreme!$B$41:$F$41</definedName>
    <definedName name="OH_FINANCIAL" localSheetId="92">Time!$B$41:$F$41</definedName>
    <definedName name="OH_FINANCIAL" localSheetId="106">'Total Summary'!$B$41:$F$41</definedName>
    <definedName name="OH_FINANCIAL" localSheetId="93">Underwriters!$B$41:$F$41</definedName>
    <definedName name="OH_FINANCIAL" localSheetId="94">Unison!$B$41:$F$41</definedName>
    <definedName name="OH_FINANCIAL" localSheetId="95">'United Republic'!$B$41:$F$41</definedName>
    <definedName name="OH_FINANCIAL" localSheetId="96">'Universal Health Care'!$B$41:$F$41</definedName>
    <definedName name="OH_FINANCIAL" localSheetId="97">'Universal Life'!$B$41:$F$41</definedName>
    <definedName name="OH_FINANCIAL" localSheetId="98">Universe!$B$41:$F$41</definedName>
    <definedName name="OH_FINANCIAL" localSheetId="99">Villanova!$B$41:$F$41</definedName>
    <definedName name="OK_FINANCIAL" localSheetId="0">'Alabama Life'!$B$42:$F$42</definedName>
    <definedName name="OK_FINANCIAL" localSheetId="5">'Amer Life Asr'!$B$42:$F$42</definedName>
    <definedName name="OK_FINANCIAL" localSheetId="8">'Amer Std Life Acc'!$B$42:$F$42</definedName>
    <definedName name="OK_FINANCIAL" localSheetId="1">'American Chambers'!$B$42:$F$42</definedName>
    <definedName name="OK_FINANCIAL" localSheetId="2">'American Community'!$B$42:$F$42</definedName>
    <definedName name="OK_FINANCIAL" localSheetId="3">'American Educators'!$B$42:$F$42</definedName>
    <definedName name="OK_FINANCIAL" localSheetId="4">'American Integrity'!$B$42:$F$42</definedName>
    <definedName name="OK_FINANCIAL" localSheetId="6">'American Medical'!$B$42:$F$42</definedName>
    <definedName name="OK_FINANCIAL" localSheetId="7">'American Network'!$B$42:$F$42</definedName>
    <definedName name="OK_FINANCIAL" localSheetId="9">AmerWstrn!$B$42:$F$42</definedName>
    <definedName name="OK_FINANCIAL" localSheetId="10">'AMS Life'!$B$42:$F$42</definedName>
    <definedName name="OK_FINANCIAL" localSheetId="11">'Andrew Jackson'!$B$42:$F$42</definedName>
    <definedName name="OK_FINANCIAL" localSheetId="12">'Bankers Commercial'!$B$42:$F$42</definedName>
    <definedName name="OK_FINANCIAL" localSheetId="13">'Bankers Life'!$B$42:$F$42</definedName>
    <definedName name="OK_FINANCIAL" localSheetId="14">Benicorp!$B$42:$F$42</definedName>
    <definedName name="OK_FINANCIAL" localSheetId="15">'Booker T Washington'!$B$42:$F$42</definedName>
    <definedName name="OK_FINANCIAL" localSheetId="16">Centennial!$B$42:$F$42</definedName>
    <definedName name="OK_FINANCIAL" localSheetId="18">'CO Bankers'!$B$42:$F$42</definedName>
    <definedName name="OK_FINANCIAL" localSheetId="17">'Coastal States'!$B$42:$F$42</definedName>
    <definedName name="OK_FINANCIAL" localSheetId="19">'Colorado Health'!$B$42:$F$42</definedName>
    <definedName name="OK_FINANCIAL" localSheetId="20">'Compass (dbs Meritus)'!$B$42:$F$42</definedName>
    <definedName name="OK_FINANCIAL" localSheetId="21">'Confed Life &amp; Annty (CLIAC)'!$B$42:$F$42</definedName>
    <definedName name="OK_FINANCIAL" localSheetId="22">'Confed Life (CLIC)'!$B$42:$F$42</definedName>
    <definedName name="OK_FINANCIAL" localSheetId="23">'Consolidated National'!$B$42:$F$42</definedName>
    <definedName name="OK_FINANCIAL" localSheetId="24">'Consumers Choice'!$B$42:$F$42</definedName>
    <definedName name="OK_FINANCIAL" localSheetId="25">'Consumers Mutual'!$B$42:$F$42</definedName>
    <definedName name="OK_FINANCIAL" localSheetId="26">'Consumers United'!$B$42:$F$42</definedName>
    <definedName name="OK_FINANCIAL" localSheetId="27">CoOportunity!$B$42:$F$42</definedName>
    <definedName name="OK_FINANCIAL" localSheetId="28">'Coordinated Hlth'!$B$42:$F$42</definedName>
    <definedName name="OK_FINANCIAL" localSheetId="29">'Corporate Life'!$B$42:$F$42</definedName>
    <definedName name="OK_FINANCIAL" localSheetId="30">'Diamond Benefits'!$B$42:$F$42</definedName>
    <definedName name="OK_FINANCIAL" localSheetId="31">'EBL Life'!$B$42:$F$42</definedName>
    <definedName name="OK_FINANCIAL" localSheetId="33">ELNY!$B$42:$F$42</definedName>
    <definedName name="OK_FINANCIAL" localSheetId="32">'Executive Life'!$B$42:$F$42</definedName>
    <definedName name="OK_FINANCIAL" localSheetId="34">'Family Guaranty'!$B$42:$F$42</definedName>
    <definedName name="OK_FINANCIAL" localSheetId="35">'Farmers &amp; Ranchers'!$B$42:$F$42</definedName>
    <definedName name="OK_FINANCIAL" localSheetId="36">'Fidelity Bankers'!$B$42:$F$42</definedName>
    <definedName name="OK_FINANCIAL" localSheetId="37">'Fidelity Mutual'!$B$42:$F$42</definedName>
    <definedName name="OK_FINANCIAL" localSheetId="38">'First Capital'!$B$42:$F$42</definedName>
    <definedName name="OK_FINANCIAL" localSheetId="39">'First Natl'!$B$42:$F$42</definedName>
    <definedName name="OK_FINANCIAL" localSheetId="40">'First Natl (Thrnr)'!$B$42:$F$42</definedName>
    <definedName name="OK_FINANCIAL" localSheetId="41">'Franklin American'!$B$42:$F$42</definedName>
    <definedName name="OK_FINANCIAL" localSheetId="42">'Franklin Protective'!$B$42:$F$42</definedName>
    <definedName name="OK_FINANCIAL" localSheetId="43">'Freelancers CO-OP'!$B$42:$F$42</definedName>
    <definedName name="OK_FINANCIAL" localSheetId="44">Freestone!$B$42:$F$42</definedName>
    <definedName name="OK_FINANCIAL" localSheetId="45">'George Washington'!$B$42:$F$42</definedName>
    <definedName name="OK_FINANCIAL" localSheetId="46">'Golden State'!$B$42:$F$42</definedName>
    <definedName name="OK_FINANCIAL" localSheetId="47">'Guarantee Security'!$B$42:$F$42</definedName>
    <definedName name="OK_FINANCIAL" localSheetId="48">HealthyCT!$B$42:$F$42</definedName>
    <definedName name="OK_FINANCIAL" localSheetId="49">Imerica!$B$42:$F$42</definedName>
    <definedName name="OK_FINANCIAL" localSheetId="50">'Inter-American'!$B$42:$F$42</definedName>
    <definedName name="OK_FINANCIAL" localSheetId="51">'International Fin'!$B$42:$F$42</definedName>
    <definedName name="OK_FINANCIAL" localSheetId="52">'Investment Life of America'!$B$42:$F$42</definedName>
    <definedName name="OK_FINANCIAL" localSheetId="53">'Investors Equity'!$B$42:$F$42</definedName>
    <definedName name="OK_FINANCIAL" localSheetId="54">'Kentucky Central'!$B$42:$F$42</definedName>
    <definedName name="OK_FINANCIAL" localSheetId="55">'Land of Lincoln'!$B$42:$F$42</definedName>
    <definedName name="OK_FINANCIAL" localSheetId="56">Legion!$B$42:$F$42</definedName>
    <definedName name="OK_FINANCIAL" localSheetId="57">'Life Health America'!$B$42:$F$42</definedName>
    <definedName name="OK_FINANCIAL" localSheetId="58">'Lincoln Memorial'!$B$42:$F$42</definedName>
    <definedName name="OK_FINANCIAL" localSheetId="59">'London Pac'!$B$42:$F$42</definedName>
    <definedName name="OK_FINANCIAL" localSheetId="60">Lumbermens!$B$42:$F$42</definedName>
    <definedName name="OK_FINANCIAL" localSheetId="61">'Medical Savings'!$B$42:$F$42</definedName>
    <definedName name="OK_FINANCIAL" localSheetId="62">'Memorial Service'!$B$42:$F$42</definedName>
    <definedName name="OK_FINANCIAL" localSheetId="63">Midcontinent!$B$42:$F$42</definedName>
    <definedName name="OK_FINANCIAL" localSheetId="64">'Midwest Life'!$B$42:$F$42</definedName>
    <definedName name="OK_FINANCIAL" localSheetId="65">'Monarch Life'!$B$42:$F$42</definedName>
    <definedName name="OK_FINANCIAL" localSheetId="66">'Mutual Benefit'!$B$42:$F$42</definedName>
    <definedName name="OK_FINANCIAL" localSheetId="67">'Mutual Security'!$B$42:$F$42</definedName>
    <definedName name="OK_FINANCIAL" localSheetId="68">'National Affiliated'!$B$42:$F$42</definedName>
    <definedName name="OK_FINANCIAL" localSheetId="70">'National Heritage'!$B$42:$F$42</definedName>
    <definedName name="OK_FINANCIAL" localSheetId="71">'National States'!$B$42:$F$42</definedName>
    <definedName name="OK_FINANCIAL" localSheetId="69">'Natl American'!$B$42:$F$42</definedName>
    <definedName name="OK_FINANCIAL" localSheetId="72">'New Jersey Life'!$B$42:$F$42</definedName>
    <definedName name="OK_FINANCIAL" localSheetId="74">NNIC!$B$42:$F$42</definedName>
    <definedName name="OK_FINANCIAL" localSheetId="73">'North Carolina Mutual'!$B$42:$F$42</definedName>
    <definedName name="OK_FINANCIAL" localSheetId="75">'Old Colony Life'!$B$42:$F$42</definedName>
    <definedName name="OK_FINANCIAL" localSheetId="76">'Old Faithful'!$B$42:$F$42</definedName>
    <definedName name="OK_FINANCIAL" localSheetId="77">'Pacific Standard'!$B$42:$F$42</definedName>
    <definedName name="OK_FINANCIAL" localSheetId="78">'Pavonia Life'!$B$42:$F$42</definedName>
    <definedName name="OK_FINANCIAL" localSheetId="79">'Pen  Treaty'!$B$42:$F$42</definedName>
    <definedName name="OK_FINANCIAL" localSheetId="80">'Red Rock'!$B$42:$F$42</definedName>
    <definedName name="OK_FINANCIAL" localSheetId="81">Reliance!$B$42:$F$42</definedName>
    <definedName name="OK_FINANCIAL" localSheetId="82">SeeChange!$B$42:$F$42</definedName>
    <definedName name="OK_FINANCIAL" localSheetId="83">'Senior American'!$B$42:$F$42</definedName>
    <definedName name="OK_FINANCIAL" localSheetId="84">Settlers!$B$42:$F$42</definedName>
    <definedName name="OK_FINANCIAL" localSheetId="85">Shenandoah!$B$42:$F$42</definedName>
    <definedName name="OK_FINANCIAL" localSheetId="86">'Southland National Life'!$B$42:$F$42</definedName>
    <definedName name="OK_FINANCIAL" localSheetId="87">'Standard Life IN'!$B$42:$F$42</definedName>
    <definedName name="OK_FINANCIAL" localSheetId="88">'States General'!$B$42:$F$42</definedName>
    <definedName name="OK_FINANCIAL" localSheetId="89">Statesman!$B$42:$F$42</definedName>
    <definedName name="OK_FINANCIAL" localSheetId="90">'Summit National'!$B$42:$F$42</definedName>
    <definedName name="OK_FINANCIAL" localSheetId="91">Supreme!$B$42:$F$42</definedName>
    <definedName name="OK_FINANCIAL" localSheetId="92">Time!$B$42:$F$42</definedName>
    <definedName name="OK_FINANCIAL" localSheetId="106">'Total Summary'!$B$42:$F$42</definedName>
    <definedName name="OK_FINANCIAL" localSheetId="93">Underwriters!$B$42:$F$42</definedName>
    <definedName name="OK_FINANCIAL" localSheetId="94">Unison!$B$42:$F$42</definedName>
    <definedName name="OK_FINANCIAL" localSheetId="95">'United Republic'!$B$42:$F$42</definedName>
    <definedName name="OK_FINANCIAL" localSheetId="96">'Universal Health Care'!$B$42:$F$42</definedName>
    <definedName name="OK_FINANCIAL" localSheetId="97">'Universal Life'!$B$42:$F$42</definedName>
    <definedName name="OK_FINANCIAL" localSheetId="98">Universe!$B$42:$F$42</definedName>
    <definedName name="OK_FINANCIAL" localSheetId="99">Villanova!$B$42:$F$42</definedName>
    <definedName name="OP_ALLOC_CALLED" localSheetId="100">Summary!$U$11:$U$28</definedName>
    <definedName name="OP_ALLOC_REFUNDED" localSheetId="100">Summary!$V$11:$V$28</definedName>
    <definedName name="OP_ALLOCATED" localSheetId="100">Summary!$I$11:$I$28</definedName>
    <definedName name="OP_CHANGE" localSheetId="100">Summary!$O$11:$O$28</definedName>
    <definedName name="OP_HEALTH" localSheetId="100">Summary!$J$11:$J$28</definedName>
    <definedName name="OP_HEALTH_CALLED" localSheetId="100">Summary!$X$11:$X$28</definedName>
    <definedName name="OP_HEALTH_REFUNDED" localSheetId="100">Summary!$Y$11:$Y$28</definedName>
    <definedName name="OP_LIFE" localSheetId="100">Summary!$H$11:$H$28</definedName>
    <definedName name="OP_LIFE_CALLED" localSheetId="100">Summary!$R$11:$R$28</definedName>
    <definedName name="OP_LIFE_REFUNDED" localSheetId="100">Summary!$S$11:$S$28</definedName>
    <definedName name="OP_LTC" localSheetId="100">Summary!$L$11:$L$28</definedName>
    <definedName name="OP_RECON" localSheetId="100">Summary!#REF!</definedName>
    <definedName name="OP_TOTAL" localSheetId="100">Summary!$M$11:$M$28</definedName>
    <definedName name="OP_TOTAL_PREV" localSheetId="100">Summary!$N$11:$N$28</definedName>
    <definedName name="OP_UNALLOC_CALLED" localSheetId="100">Summary!$AA$11:$AA$28</definedName>
    <definedName name="OP_UNALLOC_REFUNDED" localSheetId="100">Summary!$AB$11:$AB$28</definedName>
    <definedName name="OP_UNALLOCATED" localSheetId="100">Summary!$K$11:$K$28</definedName>
    <definedName name="OR_FINANCIAL" localSheetId="0">'Alabama Life'!$B$43:$F$43</definedName>
    <definedName name="OR_FINANCIAL" localSheetId="5">'Amer Life Asr'!$B$43:$F$43</definedName>
    <definedName name="OR_FINANCIAL" localSheetId="8">'Amer Std Life Acc'!$B$43:$F$43</definedName>
    <definedName name="OR_FINANCIAL" localSheetId="1">'American Chambers'!$B$43:$F$43</definedName>
    <definedName name="OR_FINANCIAL" localSheetId="2">'American Community'!$B$43:$F$43</definedName>
    <definedName name="OR_FINANCIAL" localSheetId="3">'American Educators'!$B$43:$F$43</definedName>
    <definedName name="OR_FINANCIAL" localSheetId="4">'American Integrity'!$B$43:$F$43</definedName>
    <definedName name="OR_FINANCIAL" localSheetId="6">'American Medical'!$B$43:$F$43</definedName>
    <definedName name="OR_FINANCIAL" localSheetId="7">'American Network'!$B$43:$F$43</definedName>
    <definedName name="OR_FINANCIAL" localSheetId="9">AmerWstrn!$B$43:$F$43</definedName>
    <definedName name="OR_FINANCIAL" localSheetId="10">'AMS Life'!$B$43:$F$43</definedName>
    <definedName name="OR_FINANCIAL" localSheetId="11">'Andrew Jackson'!$B$43:$F$43</definedName>
    <definedName name="OR_FINANCIAL" localSheetId="12">'Bankers Commercial'!$B$43:$F$43</definedName>
    <definedName name="OR_FINANCIAL" localSheetId="13">'Bankers Life'!$B$43:$F$43</definedName>
    <definedName name="OR_FINANCIAL" localSheetId="14">Benicorp!$B$43:$F$43</definedName>
    <definedName name="OR_FINANCIAL" localSheetId="15">'Booker T Washington'!$B$43:$F$43</definedName>
    <definedName name="OR_FINANCIAL" localSheetId="16">Centennial!$B$43:$F$43</definedName>
    <definedName name="OR_FINANCIAL" localSheetId="18">'CO Bankers'!$B$43:$F$43</definedName>
    <definedName name="OR_FINANCIAL" localSheetId="17">'Coastal States'!$B$43:$F$43</definedName>
    <definedName name="OR_FINANCIAL" localSheetId="19">'Colorado Health'!$B$43:$F$43</definedName>
    <definedName name="OR_FINANCIAL" localSheetId="20">'Compass (dbs Meritus)'!$B$43:$F$43</definedName>
    <definedName name="OR_FINANCIAL" localSheetId="21">'Confed Life &amp; Annty (CLIAC)'!$B$43:$F$43</definedName>
    <definedName name="OR_FINANCIAL" localSheetId="22">'Confed Life (CLIC)'!$B$43:$F$43</definedName>
    <definedName name="OR_FINANCIAL" localSheetId="23">'Consolidated National'!$B$43:$F$43</definedName>
    <definedName name="OR_FINANCIAL" localSheetId="24">'Consumers Choice'!$B$43:$F$43</definedName>
    <definedName name="OR_FINANCIAL" localSheetId="25">'Consumers Mutual'!$B$43:$F$43</definedName>
    <definedName name="OR_FINANCIAL" localSheetId="26">'Consumers United'!$B$43:$F$43</definedName>
    <definedName name="OR_FINANCIAL" localSheetId="27">CoOportunity!$B$43:$F$43</definedName>
    <definedName name="OR_FINANCIAL" localSheetId="28">'Coordinated Hlth'!$B$43:$F$43</definedName>
    <definedName name="OR_FINANCIAL" localSheetId="29">'Corporate Life'!$B$43:$F$43</definedName>
    <definedName name="OR_FINANCIAL" localSheetId="30">'Diamond Benefits'!$B$43:$F$43</definedName>
    <definedName name="OR_FINANCIAL" localSheetId="31">'EBL Life'!$B$43:$F$43</definedName>
    <definedName name="OR_FINANCIAL" localSheetId="33">ELNY!$B$43:$F$43</definedName>
    <definedName name="OR_FINANCIAL" localSheetId="32">'Executive Life'!$B$43:$F$43</definedName>
    <definedName name="OR_FINANCIAL" localSheetId="34">'Family Guaranty'!$B$43:$F$43</definedName>
    <definedName name="OR_FINANCIAL" localSheetId="35">'Farmers &amp; Ranchers'!$B$43:$F$43</definedName>
    <definedName name="OR_FINANCIAL" localSheetId="36">'Fidelity Bankers'!$B$43:$F$43</definedName>
    <definedName name="OR_FINANCIAL" localSheetId="37">'Fidelity Mutual'!$B$43:$F$43</definedName>
    <definedName name="OR_FINANCIAL" localSheetId="38">'First Capital'!$B$43:$F$43</definedName>
    <definedName name="OR_FINANCIAL" localSheetId="39">'First Natl'!$B$43:$F$43</definedName>
    <definedName name="OR_FINANCIAL" localSheetId="40">'First Natl (Thrnr)'!$B$43:$F$43</definedName>
    <definedName name="OR_FINANCIAL" localSheetId="41">'Franklin American'!$B$43:$F$43</definedName>
    <definedName name="OR_FINANCIAL" localSheetId="42">'Franklin Protective'!$B$43:$F$43</definedName>
    <definedName name="OR_FINANCIAL" localSheetId="43">'Freelancers CO-OP'!$B$43:$F$43</definedName>
    <definedName name="OR_FINANCIAL" localSheetId="44">Freestone!$B$43:$F$43</definedName>
    <definedName name="OR_FINANCIAL" localSheetId="45">'George Washington'!$B$43:$F$43</definedName>
    <definedName name="OR_FINANCIAL" localSheetId="46">'Golden State'!$B$43:$F$43</definedName>
    <definedName name="OR_FINANCIAL" localSheetId="47">'Guarantee Security'!$B$43:$F$43</definedName>
    <definedName name="OR_FINANCIAL" localSheetId="48">HealthyCT!$B$43:$F$43</definedName>
    <definedName name="OR_FINANCIAL" localSheetId="49">Imerica!$B$43:$F$43</definedName>
    <definedName name="OR_FINANCIAL" localSheetId="50">'Inter-American'!$B$43:$F$43</definedName>
    <definedName name="OR_FINANCIAL" localSheetId="51">'International Fin'!$B$43:$F$43</definedName>
    <definedName name="OR_FINANCIAL" localSheetId="52">'Investment Life of America'!$B$43:$F$43</definedName>
    <definedName name="OR_FINANCIAL" localSheetId="53">'Investors Equity'!$B$43:$F$43</definedName>
    <definedName name="OR_FINANCIAL" localSheetId="54">'Kentucky Central'!$B$43:$F$43</definedName>
    <definedName name="OR_FINANCIAL" localSheetId="55">'Land of Lincoln'!$B$43:$F$43</definedName>
    <definedName name="OR_FINANCIAL" localSheetId="56">Legion!$B$43:$F$43</definedName>
    <definedName name="OR_FINANCIAL" localSheetId="57">'Life Health America'!$B$43:$F$43</definedName>
    <definedName name="OR_FINANCIAL" localSheetId="58">'Lincoln Memorial'!$B$43:$F$43</definedName>
    <definedName name="OR_FINANCIAL" localSheetId="59">'London Pac'!$B$43:$F$43</definedName>
    <definedName name="OR_FINANCIAL" localSheetId="60">Lumbermens!$B$43:$F$43</definedName>
    <definedName name="OR_FINANCIAL" localSheetId="61">'Medical Savings'!$B$43:$F$43</definedName>
    <definedName name="OR_FINANCIAL" localSheetId="62">'Memorial Service'!$B$43:$F$43</definedName>
    <definedName name="OR_FINANCIAL" localSheetId="63">Midcontinent!$B$43:$F$43</definedName>
    <definedName name="OR_FINANCIAL" localSheetId="64">'Midwest Life'!$B$43:$F$43</definedName>
    <definedName name="OR_FINANCIAL" localSheetId="65">'Monarch Life'!$B$43:$F$43</definedName>
    <definedName name="OR_FINANCIAL" localSheetId="66">'Mutual Benefit'!$B$43:$F$43</definedName>
    <definedName name="OR_FINANCIAL" localSheetId="67">'Mutual Security'!$B$43:$F$43</definedName>
    <definedName name="OR_FINANCIAL" localSheetId="68">'National Affiliated'!$B$43:$F$43</definedName>
    <definedName name="OR_FINANCIAL" localSheetId="70">'National Heritage'!$B$43:$F$43</definedName>
    <definedName name="OR_FINANCIAL" localSheetId="71">'National States'!$B$43:$F$43</definedName>
    <definedName name="OR_FINANCIAL" localSheetId="69">'Natl American'!$B$43:$F$43</definedName>
    <definedName name="OR_FINANCIAL" localSheetId="72">'New Jersey Life'!$B$43:$F$43</definedName>
    <definedName name="OR_FINANCIAL" localSheetId="74">NNIC!$B$43:$F$43</definedName>
    <definedName name="OR_FINANCIAL" localSheetId="73">'North Carolina Mutual'!$B$43:$F$43</definedName>
    <definedName name="OR_FINANCIAL" localSheetId="75">'Old Colony Life'!$B$43:$F$43</definedName>
    <definedName name="OR_FINANCIAL" localSheetId="76">'Old Faithful'!$B$43:$F$43</definedName>
    <definedName name="OR_FINANCIAL" localSheetId="77">'Pacific Standard'!$B$43:$F$43</definedName>
    <definedName name="OR_FINANCIAL" localSheetId="78">'Pavonia Life'!$B$43:$F$43</definedName>
    <definedName name="OR_FINANCIAL" localSheetId="79">'Pen  Treaty'!$B$43:$F$43</definedName>
    <definedName name="OR_FINANCIAL" localSheetId="80">'Red Rock'!$B$43:$F$43</definedName>
    <definedName name="OR_FINANCIAL" localSheetId="81">Reliance!$B$43:$F$43</definedName>
    <definedName name="OR_FINANCIAL" localSheetId="82">SeeChange!$B$43:$F$43</definedName>
    <definedName name="OR_FINANCIAL" localSheetId="83">'Senior American'!$B$43:$F$43</definedName>
    <definedName name="OR_FINANCIAL" localSheetId="84">Settlers!$B$43:$F$43</definedName>
    <definedName name="OR_FINANCIAL" localSheetId="85">Shenandoah!$B$43:$F$43</definedName>
    <definedName name="OR_FINANCIAL" localSheetId="86">'Southland National Life'!$B$43:$F$43</definedName>
    <definedName name="OR_FINANCIAL" localSheetId="87">'Standard Life IN'!$B$43:$F$43</definedName>
    <definedName name="OR_FINANCIAL" localSheetId="88">'States General'!$B$43:$F$43</definedName>
    <definedName name="OR_FINANCIAL" localSheetId="89">Statesman!$B$43:$F$43</definedName>
    <definedName name="OR_FINANCIAL" localSheetId="90">'Summit National'!$B$43:$F$43</definedName>
    <definedName name="OR_FINANCIAL" localSheetId="91">Supreme!$B$43:$F$43</definedName>
    <definedName name="OR_FINANCIAL" localSheetId="92">Time!$B$43:$F$43</definedName>
    <definedName name="OR_FINANCIAL" localSheetId="106">'Total Summary'!$B$43:$F$43</definedName>
    <definedName name="OR_FINANCIAL" localSheetId="93">Underwriters!$B$43:$F$43</definedName>
    <definedName name="OR_FINANCIAL" localSheetId="94">Unison!$B$43:$F$43</definedName>
    <definedName name="OR_FINANCIAL" localSheetId="95">'United Republic'!$B$43:$F$43</definedName>
    <definedName name="OR_FINANCIAL" localSheetId="96">'Universal Health Care'!$B$43:$F$43</definedName>
    <definedName name="OR_FINANCIAL" localSheetId="97">'Universal Life'!$B$43:$F$43</definedName>
    <definedName name="OR_FINANCIAL" localSheetId="98">Universe!$B$43:$F$43</definedName>
    <definedName name="OR_FINANCIAL" localSheetId="99">Villanova!$B$43:$F$43</definedName>
    <definedName name="OT_FINANCIAL" localSheetId="0">'Alabama Life'!$B$58:$F$58</definedName>
    <definedName name="OT_FINANCIAL" localSheetId="5">'Amer Life Asr'!$B$58:$F$58</definedName>
    <definedName name="OT_FINANCIAL" localSheetId="8">'Amer Std Life Acc'!$B$58:$F$58</definedName>
    <definedName name="OT_FINANCIAL" localSheetId="1">'American Chambers'!$B$58:$F$58</definedName>
    <definedName name="OT_FINANCIAL" localSheetId="2">'American Community'!$B$58:$F$58</definedName>
    <definedName name="OT_FINANCIAL" localSheetId="3">'American Educators'!$B$58:$F$58</definedName>
    <definedName name="OT_FINANCIAL" localSheetId="4">'American Integrity'!$B$58:$F$58</definedName>
    <definedName name="OT_FINANCIAL" localSheetId="6">'American Medical'!$B$58:$F$58</definedName>
    <definedName name="OT_FINANCIAL" localSheetId="7">'American Network'!$B$58:$F$58</definedName>
    <definedName name="OT_FINANCIAL" localSheetId="9">AmerWstrn!$B$58:$F$58</definedName>
    <definedName name="OT_FINANCIAL" localSheetId="10">'AMS Life'!$B$58:$F$58</definedName>
    <definedName name="OT_FINANCIAL" localSheetId="11">'Andrew Jackson'!$B$58:$F$58</definedName>
    <definedName name="OT_FINANCIAL" localSheetId="12">'Bankers Commercial'!$B$58:$F$58</definedName>
    <definedName name="OT_FINANCIAL" localSheetId="13">'Bankers Life'!$B$58:$F$58</definedName>
    <definedName name="OT_FINANCIAL" localSheetId="14">Benicorp!$B$58:$F$58</definedName>
    <definedName name="OT_FINANCIAL" localSheetId="15">'Booker T Washington'!$B$58:$F$58</definedName>
    <definedName name="OT_FINANCIAL" localSheetId="16">Centennial!$B$58:$F$58</definedName>
    <definedName name="OT_FINANCIAL" localSheetId="18">'CO Bankers'!$B$58:$F$58</definedName>
    <definedName name="OT_FINANCIAL" localSheetId="17">'Coastal States'!$B$58:$F$58</definedName>
    <definedName name="OT_FINANCIAL" localSheetId="19">'Colorado Health'!$B$58:$F$58</definedName>
    <definedName name="OT_FINANCIAL" localSheetId="20">'Compass (dbs Meritus)'!$B$58:$F$58</definedName>
    <definedName name="OT_FINANCIAL" localSheetId="21">'Confed Life &amp; Annty (CLIAC)'!$B$58:$F$58</definedName>
    <definedName name="OT_FINANCIAL" localSheetId="22">'Confed Life (CLIC)'!$B$58:$F$58</definedName>
    <definedName name="OT_FINANCIAL" localSheetId="23">'Consolidated National'!$B$58:$F$58</definedName>
    <definedName name="OT_FINANCIAL" localSheetId="24">'Consumers Choice'!$B$58:$F$58</definedName>
    <definedName name="OT_FINANCIAL" localSheetId="25">'Consumers Mutual'!$B$58:$F$58</definedName>
    <definedName name="OT_FINANCIAL" localSheetId="26">'Consumers United'!$B$58:$F$58</definedName>
    <definedName name="OT_FINANCIAL" localSheetId="27">CoOportunity!$B$58:$F$58</definedName>
    <definedName name="OT_FINANCIAL" localSheetId="28">'Coordinated Hlth'!$B$58:$F$58</definedName>
    <definedName name="OT_FINANCIAL" localSheetId="29">'Corporate Life'!$B$58:$F$58</definedName>
    <definedName name="OT_FINANCIAL" localSheetId="30">'Diamond Benefits'!$B$58:$F$58</definedName>
    <definedName name="OT_FINANCIAL" localSheetId="31">'EBL Life'!$B$58:$F$58</definedName>
    <definedName name="OT_FINANCIAL" localSheetId="33">ELNY!$B$58:$F$58</definedName>
    <definedName name="OT_FINANCIAL" localSheetId="32">'Executive Life'!$B$58:$F$58</definedName>
    <definedName name="OT_FINANCIAL" localSheetId="34">'Family Guaranty'!$B$58:$F$58</definedName>
    <definedName name="OT_FINANCIAL" localSheetId="35">'Farmers &amp; Ranchers'!$B$58:$F$58</definedName>
    <definedName name="OT_FINANCIAL" localSheetId="36">'Fidelity Bankers'!$B$58:$F$58</definedName>
    <definedName name="OT_FINANCIAL" localSheetId="37">'Fidelity Mutual'!$B$58:$F$58</definedName>
    <definedName name="OT_FINANCIAL" localSheetId="38">'First Capital'!$B$58:$F$58</definedName>
    <definedName name="OT_FINANCIAL" localSheetId="39">'First Natl'!$B$58:$F$58</definedName>
    <definedName name="OT_FINANCIAL" localSheetId="40">'First Natl (Thrnr)'!$B$58:$F$58</definedName>
    <definedName name="OT_FINANCIAL" localSheetId="41">'Franklin American'!$B$58:$F$58</definedName>
    <definedName name="OT_FINANCIAL" localSheetId="42">'Franklin Protective'!$B$58:$F$58</definedName>
    <definedName name="OT_FINANCIAL" localSheetId="43">'Freelancers CO-OP'!$B$58:$F$58</definedName>
    <definedName name="OT_FINANCIAL" localSheetId="44">Freestone!$B$58:$F$58</definedName>
    <definedName name="OT_FINANCIAL" localSheetId="45">'George Washington'!$B$58:$F$58</definedName>
    <definedName name="OT_FINANCIAL" localSheetId="46">'Golden State'!$B$58:$F$58</definedName>
    <definedName name="OT_FINANCIAL" localSheetId="47">'Guarantee Security'!$B$58:$F$58</definedName>
    <definedName name="OT_FINANCIAL" localSheetId="48">HealthyCT!$B$58:$F$58</definedName>
    <definedName name="OT_FINANCIAL" localSheetId="49">Imerica!$B$58:$F$58</definedName>
    <definedName name="OT_FINANCIAL" localSheetId="50">'Inter-American'!$B$58:$F$58</definedName>
    <definedName name="OT_FINANCIAL" localSheetId="51">'International Fin'!$B$58:$F$58</definedName>
    <definedName name="OT_FINANCIAL" localSheetId="52">'Investment Life of America'!$B$58:$F$58</definedName>
    <definedName name="OT_FINANCIAL" localSheetId="53">'Investors Equity'!$B$58:$F$58</definedName>
    <definedName name="OT_FINANCIAL" localSheetId="54">'Kentucky Central'!$B$58:$F$58</definedName>
    <definedName name="OT_FINANCIAL" localSheetId="55">'Land of Lincoln'!$B$58:$F$58</definedName>
    <definedName name="OT_FINANCIAL" localSheetId="56">Legion!$B$58:$F$58</definedName>
    <definedName name="OT_FINANCIAL" localSheetId="57">'Life Health America'!$B$58:$F$58</definedName>
    <definedName name="OT_FINANCIAL" localSheetId="58">'Lincoln Memorial'!$B$58:$F$58</definedName>
    <definedName name="OT_FINANCIAL" localSheetId="59">'London Pac'!$B$58:$F$58</definedName>
    <definedName name="OT_FINANCIAL" localSheetId="60">Lumbermens!$B$58:$F$58</definedName>
    <definedName name="OT_FINANCIAL" localSheetId="61">'Medical Savings'!$B$58:$F$58</definedName>
    <definedName name="OT_FINANCIAL" localSheetId="62">'Memorial Service'!$B$58:$F$58</definedName>
    <definedName name="OT_FINANCIAL" localSheetId="63">Midcontinent!$B$58:$F$58</definedName>
    <definedName name="OT_FINANCIAL" localSheetId="64">'Midwest Life'!$B$58:$F$58</definedName>
    <definedName name="OT_FINANCIAL" localSheetId="65">'Monarch Life'!$B$58:$F$58</definedName>
    <definedName name="OT_FINANCIAL" localSheetId="66">'Mutual Benefit'!$B$58:$F$58</definedName>
    <definedName name="OT_FINANCIAL" localSheetId="67">'Mutual Security'!$B$58:$F$58</definedName>
    <definedName name="OT_FINANCIAL" localSheetId="68">'National Affiliated'!$B$58:$F$58</definedName>
    <definedName name="OT_FINANCIAL" localSheetId="70">'National Heritage'!$B$58:$F$58</definedName>
    <definedName name="OT_FINANCIAL" localSheetId="71">'National States'!$B$58:$F$58</definedName>
    <definedName name="OT_FINANCIAL" localSheetId="69">'Natl American'!$B$58:$F$58</definedName>
    <definedName name="OT_FINANCIAL" localSheetId="72">'New Jersey Life'!$B$58:$F$58</definedName>
    <definedName name="OT_FINANCIAL" localSheetId="74">NNIC!$B$58:$F$58</definedName>
    <definedName name="OT_FINANCIAL" localSheetId="73">'North Carolina Mutual'!$B$58:$F$58</definedName>
    <definedName name="OT_FINANCIAL" localSheetId="75">'Old Colony Life'!$B$58:$F$58</definedName>
    <definedName name="OT_FINANCIAL" localSheetId="76">'Old Faithful'!$B$58:$F$58</definedName>
    <definedName name="OT_FINANCIAL" localSheetId="77">'Pacific Standard'!$B$58:$F$58</definedName>
    <definedName name="OT_FINANCIAL" localSheetId="78">'Pavonia Life'!$B$58:$F$58</definedName>
    <definedName name="OT_FINANCIAL" localSheetId="79">'Pen  Treaty'!$B$58:$F$58</definedName>
    <definedName name="OT_FINANCIAL" localSheetId="80">'Red Rock'!$B$58:$F$58</definedName>
    <definedName name="OT_FINANCIAL" localSheetId="81">Reliance!$B$58:$F$58</definedName>
    <definedName name="OT_FINANCIAL" localSheetId="82">SeeChange!$B$58:$F$58</definedName>
    <definedName name="OT_FINANCIAL" localSheetId="83">'Senior American'!$B$58:$F$58</definedName>
    <definedName name="OT_FINANCIAL" localSheetId="84">Settlers!$B$58:$F$58</definedName>
    <definedName name="OT_FINANCIAL" localSheetId="85">Shenandoah!$B$58:$F$58</definedName>
    <definedName name="OT_FINANCIAL" localSheetId="86">'Southland National Life'!$B$58:$F$58</definedName>
    <definedName name="OT_FINANCIAL" localSheetId="87">'Standard Life IN'!$B$58:$F$58</definedName>
    <definedName name="OT_FINANCIAL" localSheetId="88">'States General'!$B$58:$F$58</definedName>
    <definedName name="OT_FINANCIAL" localSheetId="89">Statesman!$B$58:$F$58</definedName>
    <definedName name="OT_FINANCIAL" localSheetId="90">'Summit National'!$B$58:$F$58</definedName>
    <definedName name="OT_FINANCIAL" localSheetId="91">Supreme!$B$58:$F$58</definedName>
    <definedName name="OT_FINANCIAL" localSheetId="92">Time!$B$58:$F$58</definedName>
    <definedName name="OT_FINANCIAL" localSheetId="106">'Total Summary'!$B$58:$F$58</definedName>
    <definedName name="OT_FINANCIAL" localSheetId="93">Underwriters!$B$58:$F$58</definedName>
    <definedName name="OT_FINANCIAL" localSheetId="94">Unison!$B$58:$F$58</definedName>
    <definedName name="OT_FINANCIAL" localSheetId="95">'United Republic'!$B$58:$F$58</definedName>
    <definedName name="OT_FINANCIAL" localSheetId="96">'Universal Health Care'!$B$58:$F$58</definedName>
    <definedName name="OT_FINANCIAL" localSheetId="97">'Universal Life'!$B$58:$F$58</definedName>
    <definedName name="OT_FINANCIAL" localSheetId="98">Universe!$B$58:$F$58</definedName>
    <definedName name="OT_FINANCIAL" localSheetId="99">Villanova!$B$58:$F$58</definedName>
    <definedName name="PA_FINANCIAL" localSheetId="0">'Alabama Life'!$B$44:$F$44</definedName>
    <definedName name="PA_FINANCIAL" localSheetId="5">'Amer Life Asr'!$B$44:$F$44</definedName>
    <definedName name="PA_FINANCIAL" localSheetId="8">'Amer Std Life Acc'!$B$44:$F$44</definedName>
    <definedName name="PA_FINANCIAL" localSheetId="1">'American Chambers'!$B$44:$F$44</definedName>
    <definedName name="PA_FINANCIAL" localSheetId="2">'American Community'!$B$44:$F$44</definedName>
    <definedName name="PA_FINANCIAL" localSheetId="3">'American Educators'!$B$44:$F$44</definedName>
    <definedName name="PA_FINANCIAL" localSheetId="4">'American Integrity'!$B$44:$F$44</definedName>
    <definedName name="PA_FINANCIAL" localSheetId="6">'American Medical'!$B$44:$F$44</definedName>
    <definedName name="PA_FINANCIAL" localSheetId="7">'American Network'!$B$44:$F$44</definedName>
    <definedName name="PA_FINANCIAL" localSheetId="9">AmerWstrn!$B$44:$F$44</definedName>
    <definedName name="PA_FINANCIAL" localSheetId="10">'AMS Life'!$B$44:$F$44</definedName>
    <definedName name="PA_FINANCIAL" localSheetId="11">'Andrew Jackson'!$B$44:$F$44</definedName>
    <definedName name="PA_FINANCIAL" localSheetId="12">'Bankers Commercial'!$B$44:$F$44</definedName>
    <definedName name="PA_FINANCIAL" localSheetId="13">'Bankers Life'!$B$44:$F$44</definedName>
    <definedName name="PA_FINANCIAL" localSheetId="14">Benicorp!$B$44:$F$44</definedName>
    <definedName name="PA_FINANCIAL" localSheetId="15">'Booker T Washington'!$B$44:$F$44</definedName>
    <definedName name="PA_FINANCIAL" localSheetId="16">Centennial!$B$44:$F$44</definedName>
    <definedName name="PA_FINANCIAL" localSheetId="18">'CO Bankers'!$B$44:$F$44</definedName>
    <definedName name="PA_FINANCIAL" localSheetId="17">'Coastal States'!$B$44:$F$44</definedName>
    <definedName name="PA_FINANCIAL" localSheetId="19">'Colorado Health'!$B$44:$F$44</definedName>
    <definedName name="PA_FINANCIAL" localSheetId="20">'Compass (dbs Meritus)'!$B$44:$F$44</definedName>
    <definedName name="PA_FINANCIAL" localSheetId="21">'Confed Life &amp; Annty (CLIAC)'!$B$44:$F$44</definedName>
    <definedName name="PA_FINANCIAL" localSheetId="22">'Confed Life (CLIC)'!$B$44:$F$44</definedName>
    <definedName name="PA_FINANCIAL" localSheetId="23">'Consolidated National'!$B$44:$F$44</definedName>
    <definedName name="PA_FINANCIAL" localSheetId="24">'Consumers Choice'!$B$44:$F$44</definedName>
    <definedName name="PA_FINANCIAL" localSheetId="25">'Consumers Mutual'!$B$44:$F$44</definedName>
    <definedName name="PA_FINANCIAL" localSheetId="26">'Consumers United'!$B$44:$F$44</definedName>
    <definedName name="PA_FINANCIAL" localSheetId="27">CoOportunity!$B$44:$F$44</definedName>
    <definedName name="PA_FINANCIAL" localSheetId="28">'Coordinated Hlth'!$B$44:$F$44</definedName>
    <definedName name="PA_FINANCIAL" localSheetId="29">'Corporate Life'!$B$44:$F$44</definedName>
    <definedName name="PA_FINANCIAL" localSheetId="30">'Diamond Benefits'!$B$44:$F$44</definedName>
    <definedName name="PA_FINANCIAL" localSheetId="31">'EBL Life'!$B$44:$F$44</definedName>
    <definedName name="PA_FINANCIAL" localSheetId="33">ELNY!$B$44:$F$44</definedName>
    <definedName name="PA_FINANCIAL" localSheetId="32">'Executive Life'!$B$44:$F$44</definedName>
    <definedName name="PA_FINANCIAL" localSheetId="34">'Family Guaranty'!$B$44:$F$44</definedName>
    <definedName name="PA_FINANCIAL" localSheetId="35">'Farmers &amp; Ranchers'!$B$44:$F$44</definedName>
    <definedName name="PA_FINANCIAL" localSheetId="36">'Fidelity Bankers'!$B$44:$F$44</definedName>
    <definedName name="PA_FINANCIAL" localSheetId="37">'Fidelity Mutual'!$B$44:$F$44</definedName>
    <definedName name="PA_FINANCIAL" localSheetId="38">'First Capital'!$B$44:$F$44</definedName>
    <definedName name="PA_FINANCIAL" localSheetId="39">'First Natl'!$B$44:$F$44</definedName>
    <definedName name="PA_FINANCIAL" localSheetId="40">'First Natl (Thrnr)'!$B$44:$F$44</definedName>
    <definedName name="PA_FINANCIAL" localSheetId="41">'Franklin American'!$B$44:$F$44</definedName>
    <definedName name="PA_FINANCIAL" localSheetId="42">'Franklin Protective'!$B$44:$F$44</definedName>
    <definedName name="PA_FINANCIAL" localSheetId="43">'Freelancers CO-OP'!$B$44:$F$44</definedName>
    <definedName name="PA_FINANCIAL" localSheetId="44">Freestone!$B$44:$F$44</definedName>
    <definedName name="PA_FINANCIAL" localSheetId="45">'George Washington'!$B$44:$F$44</definedName>
    <definedName name="PA_FINANCIAL" localSheetId="46">'Golden State'!$B$44:$F$44</definedName>
    <definedName name="PA_FINANCIAL" localSheetId="47">'Guarantee Security'!$B$44:$F$44</definedName>
    <definedName name="PA_FINANCIAL" localSheetId="48">HealthyCT!$B$44:$F$44</definedName>
    <definedName name="PA_FINANCIAL" localSheetId="49">Imerica!$B$44:$F$44</definedName>
    <definedName name="PA_FINANCIAL" localSheetId="50">'Inter-American'!$B$44:$F$44</definedName>
    <definedName name="PA_FINANCIAL" localSheetId="51">'International Fin'!$B$44:$F$44</definedName>
    <definedName name="PA_FINANCIAL" localSheetId="52">'Investment Life of America'!$B$44:$F$44</definedName>
    <definedName name="PA_FINANCIAL" localSheetId="53">'Investors Equity'!$B$44:$F$44</definedName>
    <definedName name="PA_FINANCIAL" localSheetId="54">'Kentucky Central'!$B$44:$F$44</definedName>
    <definedName name="PA_FINANCIAL" localSheetId="55">'Land of Lincoln'!$B$44:$F$44</definedName>
    <definedName name="PA_FINANCIAL" localSheetId="56">Legion!$B$44:$F$44</definedName>
    <definedName name="PA_FINANCIAL" localSheetId="57">'Life Health America'!$B$44:$F$44</definedName>
    <definedName name="PA_FINANCIAL" localSheetId="58">'Lincoln Memorial'!$B$44:$F$44</definedName>
    <definedName name="PA_FINANCIAL" localSheetId="59">'London Pac'!$B$44:$F$44</definedName>
    <definedName name="PA_FINANCIAL" localSheetId="60">Lumbermens!$B$44:$F$44</definedName>
    <definedName name="PA_FINANCIAL" localSheetId="61">'Medical Savings'!$B$44:$F$44</definedName>
    <definedName name="PA_FINANCIAL" localSheetId="62">'Memorial Service'!$B$44:$F$44</definedName>
    <definedName name="PA_FINANCIAL" localSheetId="63">Midcontinent!$B$44:$F$44</definedName>
    <definedName name="PA_FINANCIAL" localSheetId="64">'Midwest Life'!$B$44:$F$44</definedName>
    <definedName name="PA_FINANCIAL" localSheetId="65">'Monarch Life'!$B$44:$F$44</definedName>
    <definedName name="PA_FINANCIAL" localSheetId="66">'Mutual Benefit'!$B$44:$F$44</definedName>
    <definedName name="PA_FINANCIAL" localSheetId="67">'Mutual Security'!$B$44:$F$44</definedName>
    <definedName name="PA_FINANCIAL" localSheetId="68">'National Affiliated'!$B$44:$F$44</definedName>
    <definedName name="PA_FINANCIAL" localSheetId="70">'National Heritage'!$B$44:$F$44</definedName>
    <definedName name="PA_FINANCIAL" localSheetId="71">'National States'!$B$44:$F$44</definedName>
    <definedName name="PA_FINANCIAL" localSheetId="69">'Natl American'!$B$44:$F$44</definedName>
    <definedName name="PA_FINANCIAL" localSheetId="72">'New Jersey Life'!$B$44:$F$44</definedName>
    <definedName name="PA_FINANCIAL" localSheetId="74">NNIC!$B$44:$F$44</definedName>
    <definedName name="PA_FINANCIAL" localSheetId="73">'North Carolina Mutual'!$B$44:$F$44</definedName>
    <definedName name="PA_FINANCIAL" localSheetId="75">'Old Colony Life'!$B$44:$F$44</definedName>
    <definedName name="PA_FINANCIAL" localSheetId="76">'Old Faithful'!$B$44:$F$44</definedName>
    <definedName name="PA_FINANCIAL" localSheetId="77">'Pacific Standard'!$B$44:$F$44</definedName>
    <definedName name="PA_FINANCIAL" localSheetId="78">'Pavonia Life'!$B$44:$F$44</definedName>
    <definedName name="PA_FINANCIAL" localSheetId="79">'Pen  Treaty'!$B$44:$F$44</definedName>
    <definedName name="PA_FINANCIAL" localSheetId="80">'Red Rock'!$B$44:$F$44</definedName>
    <definedName name="PA_FINANCIAL" localSheetId="81">Reliance!$B$44:$F$44</definedName>
    <definedName name="PA_FINANCIAL" localSheetId="82">SeeChange!$B$44:$F$44</definedName>
    <definedName name="PA_FINANCIAL" localSheetId="83">'Senior American'!$B$44:$F$44</definedName>
    <definedName name="PA_FINANCIAL" localSheetId="84">Settlers!$B$44:$F$44</definedName>
    <definedName name="PA_FINANCIAL" localSheetId="85">Shenandoah!$B$44:$F$44</definedName>
    <definedName name="PA_FINANCIAL" localSheetId="86">'Southland National Life'!$B$44:$F$44</definedName>
    <definedName name="PA_FINANCIAL" localSheetId="87">'Standard Life IN'!$B$44:$F$44</definedName>
    <definedName name="PA_FINANCIAL" localSheetId="88">'States General'!$B$44:$F$44</definedName>
    <definedName name="PA_FINANCIAL" localSheetId="89">Statesman!$B$44:$F$44</definedName>
    <definedName name="PA_FINANCIAL" localSheetId="90">'Summit National'!$B$44:$F$44</definedName>
    <definedName name="PA_FINANCIAL" localSheetId="91">Supreme!$B$44:$F$44</definedName>
    <definedName name="PA_FINANCIAL" localSheetId="92">Time!$B$44:$F$44</definedName>
    <definedName name="PA_FINANCIAL" localSheetId="106">'Total Summary'!$B$44:$F$44</definedName>
    <definedName name="PA_FINANCIAL" localSheetId="93">Underwriters!$B$44:$F$44</definedName>
    <definedName name="PA_FINANCIAL" localSheetId="94">Unison!$B$44:$F$44</definedName>
    <definedName name="PA_FINANCIAL" localSheetId="95">'United Republic'!$B$44:$F$44</definedName>
    <definedName name="PA_FINANCIAL" localSheetId="96">'Universal Health Care'!$B$44:$F$44</definedName>
    <definedName name="PA_FINANCIAL" localSheetId="97">'Universal Life'!$B$44:$F$44</definedName>
    <definedName name="PA_FINANCIAL" localSheetId="98">Universe!$B$44:$F$44</definedName>
    <definedName name="PA_FINANCIAL" localSheetId="99">Villanova!$B$44:$F$44</definedName>
    <definedName name="PL_ALLOC_CALLED" localSheetId="100">Summary!$U$5:$U$8</definedName>
    <definedName name="PL_ALLOC_REFUNDED" localSheetId="100">Summary!$V$5:$V$8</definedName>
    <definedName name="PL_ALLOCATED" localSheetId="100">Summary!$I$5:$I$8</definedName>
    <definedName name="PL_CHANGE" localSheetId="100">Summary!$O$5:$O$8</definedName>
    <definedName name="PL_HEALTH" localSheetId="100">Summary!$J$5:$J$8</definedName>
    <definedName name="PL_HEALTH_CALLED" localSheetId="100">Summary!$X$5:$X$8</definedName>
    <definedName name="PL_HEALTH_REFUNDED" localSheetId="100">Summary!$Y$5:$Y$8</definedName>
    <definedName name="PL_LIFE" localSheetId="100">Summary!$H$5:$H$8</definedName>
    <definedName name="PL_LIFE_CALLED" localSheetId="100">Summary!$R$5:$R$8</definedName>
    <definedName name="PL_LIFE_REFUNDED" localSheetId="100">Summary!$S$5:$S$8</definedName>
    <definedName name="PL_LTC" localSheetId="100">Summary!$L$5:$L$8</definedName>
    <definedName name="PL_RECON" localSheetId="100">Summary!#REF!</definedName>
    <definedName name="PL_TOTAL" localSheetId="100">Summary!$M$5:$M$8</definedName>
    <definedName name="PL_TOTAL_PREV" localSheetId="100">Summary!$N$5:$N$8</definedName>
    <definedName name="PL_UNALLOC_CALLED" localSheetId="100">Summary!$AA$5:$AA$8</definedName>
    <definedName name="PL_UNALLOC_REFUNDED" localSheetId="100">Summary!$AB$5:$AB$8</definedName>
    <definedName name="PL_UNALLOCATED" localSheetId="100">Summary!$K$5:$K$8</definedName>
    <definedName name="PR_FINANCIAL" localSheetId="0">'Alabama Life'!$B$45:$F$45</definedName>
    <definedName name="PR_FINANCIAL" localSheetId="5">'Amer Life Asr'!$B$45:$F$45</definedName>
    <definedName name="PR_FINANCIAL" localSheetId="8">'Amer Std Life Acc'!$B$45:$F$45</definedName>
    <definedName name="PR_FINANCIAL" localSheetId="1">'American Chambers'!$B$45:$F$45</definedName>
    <definedName name="PR_FINANCIAL" localSheetId="2">'American Community'!$B$45:$F$45</definedName>
    <definedName name="PR_FINANCIAL" localSheetId="3">'American Educators'!$B$45:$F$45</definedName>
    <definedName name="PR_FINANCIAL" localSheetId="4">'American Integrity'!$B$45:$F$45</definedName>
    <definedName name="PR_FINANCIAL" localSheetId="6">'American Medical'!$B$45:$F$45</definedName>
    <definedName name="PR_FINANCIAL" localSheetId="7">'American Network'!$B$45:$F$45</definedName>
    <definedName name="PR_FINANCIAL" localSheetId="9">AmerWstrn!$B$45:$F$45</definedName>
    <definedName name="PR_FINANCIAL" localSheetId="10">'AMS Life'!$B$45:$F$45</definedName>
    <definedName name="PR_FINANCIAL" localSheetId="11">'Andrew Jackson'!$B$45:$F$45</definedName>
    <definedName name="PR_FINANCIAL" localSheetId="12">'Bankers Commercial'!$B$45:$F$45</definedName>
    <definedName name="PR_FINANCIAL" localSheetId="13">'Bankers Life'!$B$45:$F$45</definedName>
    <definedName name="PR_FINANCIAL" localSheetId="14">Benicorp!$B$45:$F$45</definedName>
    <definedName name="PR_FINANCIAL" localSheetId="15">'Booker T Washington'!$B$45:$F$45</definedName>
    <definedName name="PR_FINANCIAL" localSheetId="16">Centennial!$B$45:$F$45</definedName>
    <definedName name="PR_FINANCIAL" localSheetId="18">'CO Bankers'!$B$45:$F$45</definedName>
    <definedName name="PR_FINANCIAL" localSheetId="17">'Coastal States'!$B$45:$F$45</definedName>
    <definedName name="PR_FINANCIAL" localSheetId="19">'Colorado Health'!$B$45:$F$45</definedName>
    <definedName name="PR_FINANCIAL" localSheetId="20">'Compass (dbs Meritus)'!$B$45:$F$45</definedName>
    <definedName name="PR_FINANCIAL" localSheetId="21">'Confed Life &amp; Annty (CLIAC)'!$B$45:$F$45</definedName>
    <definedName name="PR_FINANCIAL" localSheetId="22">'Confed Life (CLIC)'!$B$45:$F$45</definedName>
    <definedName name="PR_FINANCIAL" localSheetId="23">'Consolidated National'!$B$45:$F$45</definedName>
    <definedName name="PR_FINANCIAL" localSheetId="24">'Consumers Choice'!$B$45:$F$45</definedName>
    <definedName name="PR_FINANCIAL" localSheetId="25">'Consumers Mutual'!$B$45:$F$45</definedName>
    <definedName name="PR_FINANCIAL" localSheetId="26">'Consumers United'!$B$45:$F$45</definedName>
    <definedName name="PR_FINANCIAL" localSheetId="27">CoOportunity!$B$45:$F$45</definedName>
    <definedName name="PR_FINANCIAL" localSheetId="28">'Coordinated Hlth'!$B$45:$F$45</definedName>
    <definedName name="PR_FINANCIAL" localSheetId="29">'Corporate Life'!$B$45:$F$45</definedName>
    <definedName name="PR_FINANCIAL" localSheetId="30">'Diamond Benefits'!$B$45:$F$45</definedName>
    <definedName name="PR_FINANCIAL" localSheetId="31">'EBL Life'!$B$45:$F$45</definedName>
    <definedName name="PR_FINANCIAL" localSheetId="33">ELNY!$B$45:$F$45</definedName>
    <definedName name="PR_FINANCIAL" localSheetId="32">'Executive Life'!$B$45:$F$45</definedName>
    <definedName name="PR_FINANCIAL" localSheetId="34">'Family Guaranty'!$B$45:$F$45</definedName>
    <definedName name="PR_FINANCIAL" localSheetId="35">'Farmers &amp; Ranchers'!$B$45:$F$45</definedName>
    <definedName name="PR_FINANCIAL" localSheetId="36">'Fidelity Bankers'!$B$45:$F$45</definedName>
    <definedName name="PR_FINANCIAL" localSheetId="37">'Fidelity Mutual'!$B$45:$F$45</definedName>
    <definedName name="PR_FINANCIAL" localSheetId="38">'First Capital'!$B$45:$F$45</definedName>
    <definedName name="PR_FINANCIAL" localSheetId="39">'First Natl'!$B$45:$F$45</definedName>
    <definedName name="PR_FINANCIAL" localSheetId="40">'First Natl (Thrnr)'!$B$45:$F$45</definedName>
    <definedName name="PR_FINANCIAL" localSheetId="41">'Franklin American'!$B$45:$F$45</definedName>
    <definedName name="PR_FINANCIAL" localSheetId="42">'Franklin Protective'!$B$45:$F$45</definedName>
    <definedName name="PR_FINANCIAL" localSheetId="43">'Freelancers CO-OP'!$B$45:$F$45</definedName>
    <definedName name="PR_FINANCIAL" localSheetId="44">Freestone!$B$45:$F$45</definedName>
    <definedName name="PR_FINANCIAL" localSheetId="45">'George Washington'!$B$45:$F$45</definedName>
    <definedName name="PR_FINANCIAL" localSheetId="46">'Golden State'!$B$45:$F$45</definedName>
    <definedName name="PR_FINANCIAL" localSheetId="47">'Guarantee Security'!$B$45:$F$45</definedName>
    <definedName name="PR_FINANCIAL" localSheetId="48">HealthyCT!$B$45:$F$45</definedName>
    <definedName name="PR_FINANCIAL" localSheetId="49">Imerica!$B$45:$F$45</definedName>
    <definedName name="PR_FINANCIAL" localSheetId="50">'Inter-American'!$B$45:$F$45</definedName>
    <definedName name="PR_FINANCIAL" localSheetId="51">'International Fin'!$B$45:$F$45</definedName>
    <definedName name="PR_FINANCIAL" localSheetId="52">'Investment Life of America'!$B$45:$F$45</definedName>
    <definedName name="PR_FINANCIAL" localSheetId="53">'Investors Equity'!$B$45:$F$45</definedName>
    <definedName name="PR_FINANCIAL" localSheetId="54">'Kentucky Central'!$B$45:$F$45</definedName>
    <definedName name="PR_FINANCIAL" localSheetId="55">'Land of Lincoln'!$B$45:$F$45</definedName>
    <definedName name="PR_FINANCIAL" localSheetId="56">Legion!$B$45:$F$45</definedName>
    <definedName name="PR_FINANCIAL" localSheetId="57">'Life Health America'!$B$45:$F$45</definedName>
    <definedName name="PR_FINANCIAL" localSheetId="58">'Lincoln Memorial'!$B$45:$F$45</definedName>
    <definedName name="PR_FINANCIAL" localSheetId="59">'London Pac'!$B$45:$F$45</definedName>
    <definedName name="PR_FINANCIAL" localSheetId="60">Lumbermens!$B$45:$F$45</definedName>
    <definedName name="PR_FINANCIAL" localSheetId="61">'Medical Savings'!$B$45:$F$45</definedName>
    <definedName name="PR_FINANCIAL" localSheetId="62">'Memorial Service'!$B$45:$F$45</definedName>
    <definedName name="PR_FINANCIAL" localSheetId="63">Midcontinent!$B$45:$F$45</definedName>
    <definedName name="PR_FINANCIAL" localSheetId="64">'Midwest Life'!$B$45:$F$45</definedName>
    <definedName name="PR_FINANCIAL" localSheetId="65">'Monarch Life'!$B$45:$F$45</definedName>
    <definedName name="PR_FINANCIAL" localSheetId="66">'Mutual Benefit'!$B$45:$F$45</definedName>
    <definedName name="PR_FINANCIAL" localSheetId="67">'Mutual Security'!$B$45:$F$45</definedName>
    <definedName name="PR_FINANCIAL" localSheetId="68">'National Affiliated'!$B$45:$F$45</definedName>
    <definedName name="PR_FINANCIAL" localSheetId="70">'National Heritage'!$B$45:$F$45</definedName>
    <definedName name="PR_FINANCIAL" localSheetId="71">'National States'!$B$45:$F$45</definedName>
    <definedName name="PR_FINANCIAL" localSheetId="69">'Natl American'!$B$45:$F$45</definedName>
    <definedName name="PR_FINANCIAL" localSheetId="72">'New Jersey Life'!$B$45:$F$45</definedName>
    <definedName name="PR_FINANCIAL" localSheetId="74">NNIC!$B$45:$F$45</definedName>
    <definedName name="PR_FINANCIAL" localSheetId="73">'North Carolina Mutual'!$B$45:$F$45</definedName>
    <definedName name="PR_FINANCIAL" localSheetId="75">'Old Colony Life'!$B$45:$F$45</definedName>
    <definedName name="PR_FINANCIAL" localSheetId="76">'Old Faithful'!$B$45:$F$45</definedName>
    <definedName name="PR_FINANCIAL" localSheetId="77">'Pacific Standard'!$B$45:$F$45</definedName>
    <definedName name="PR_FINANCIAL" localSheetId="78">'Pavonia Life'!$B$45:$F$45</definedName>
    <definedName name="PR_FINANCIAL" localSheetId="79">'Pen  Treaty'!$B$45:$F$45</definedName>
    <definedName name="PR_FINANCIAL" localSheetId="80">'Red Rock'!$B$45:$F$45</definedName>
    <definedName name="PR_FINANCIAL" localSheetId="81">Reliance!$B$45:$F$45</definedName>
    <definedName name="PR_FINANCIAL" localSheetId="82">SeeChange!$B$45:$F$45</definedName>
    <definedName name="PR_FINANCIAL" localSheetId="83">'Senior American'!$B$45:$F$45</definedName>
    <definedName name="PR_FINANCIAL" localSheetId="84">Settlers!$B$45:$F$45</definedName>
    <definedName name="PR_FINANCIAL" localSheetId="85">Shenandoah!$B$45:$F$45</definedName>
    <definedName name="PR_FINANCIAL" localSheetId="86">'Southland National Life'!$B$45:$F$45</definedName>
    <definedName name="PR_FINANCIAL" localSheetId="87">'Standard Life IN'!$B$45:$F$45</definedName>
    <definedName name="PR_FINANCIAL" localSheetId="88">'States General'!$B$45:$F$45</definedName>
    <definedName name="PR_FINANCIAL" localSheetId="89">Statesman!$B$45:$F$45</definedName>
    <definedName name="PR_FINANCIAL" localSheetId="90">'Summit National'!$B$45:$F$45</definedName>
    <definedName name="PR_FINANCIAL" localSheetId="91">Supreme!$B$45:$F$45</definedName>
    <definedName name="PR_FINANCIAL" localSheetId="92">Time!$B$45:$F$45</definedName>
    <definedName name="PR_FINANCIAL" localSheetId="106">'Total Summary'!$B$45:$F$45</definedName>
    <definedName name="PR_FINANCIAL" localSheetId="93">Underwriters!$B$45:$F$45</definedName>
    <definedName name="PR_FINANCIAL" localSheetId="94">Unison!$B$45:$F$45</definedName>
    <definedName name="PR_FINANCIAL" localSheetId="95">'United Republic'!$B$45:$F$45</definedName>
    <definedName name="PR_FINANCIAL" localSheetId="96">'Universal Health Care'!$B$45:$F$45</definedName>
    <definedName name="PR_FINANCIAL" localSheetId="97">'Universal Life'!$B$45:$F$45</definedName>
    <definedName name="PR_FINANCIAL" localSheetId="98">Universe!$B$45:$F$45</definedName>
    <definedName name="PR_FINANCIAL" localSheetId="99">Villanova!$B$45:$F$45</definedName>
    <definedName name="_xlnm.Print_Titles" localSheetId="107">'Assessable Premiums'!$1:$5</definedName>
    <definedName name="_xlnm.Print_Titles" localSheetId="100">Summary!$2:$4</definedName>
    <definedName name="RE_ALLOC_CALLED" localSheetId="100">Summary!$U$116:$U$126</definedName>
    <definedName name="RE_ALLOC_REFUNDED" localSheetId="100">Summary!$V$116:$V$126</definedName>
    <definedName name="RE_ALLOCATED" localSheetId="100">Summary!$I$116:$I$126</definedName>
    <definedName name="RE_CHANGE" localSheetId="100">Summary!$O$116:$O$126</definedName>
    <definedName name="RE_HEALTH" localSheetId="100">Summary!$J$116:$J$126</definedName>
    <definedName name="RE_HEALTH_CALLED" localSheetId="100">Summary!$X$116:$X$126</definedName>
    <definedName name="RE_HEALTH_REFUNDED" localSheetId="100">Summary!$Y$116:$Y$126</definedName>
    <definedName name="RE_LIFE" localSheetId="100">Summary!$H$116:$H$126</definedName>
    <definedName name="RE_LIFE_CALLED" localSheetId="100">Summary!$R$116:$R$126</definedName>
    <definedName name="RE_LIFE_REFUNDED" localSheetId="100">Summary!$S$116:$S$126</definedName>
    <definedName name="RE_LTC" localSheetId="100">Summary!$L$116:$L$126</definedName>
    <definedName name="RE_RECON" localSheetId="100">Summary!#REF!</definedName>
    <definedName name="RE_TOTAL" localSheetId="100">Summary!$M$116:$M$126</definedName>
    <definedName name="RE_TOTAL_PREV" localSheetId="100">Summary!$N$116:$N$126</definedName>
    <definedName name="RE_UNALLOC_CALLED" localSheetId="100">Summary!$AA$116:$AA$126</definedName>
    <definedName name="RE_UNALLOC_REFUNDED" localSheetId="100">Summary!$AB$116:$AB$126</definedName>
    <definedName name="RE_UNALLOCATED" localSheetId="100">Summary!$K$116:$K$126</definedName>
    <definedName name="REC_TOTAL" localSheetId="103">'Closed Summary'!$L$6:$L$22</definedName>
    <definedName name="REC_TOTAL" localSheetId="104">'Estate Closed Summary'!$L$6:$L$65</definedName>
    <definedName name="REC_TOTAL" localSheetId="102">'Open Summary'!$L$6:$L$21</definedName>
    <definedName name="REC_TOTAL" localSheetId="101">'Pre-Liquidation Summary'!$L$6:$L$7</definedName>
    <definedName name="REC_TOTAL" localSheetId="105">'Released from Oversight Summary'!$L$6:$L$14</definedName>
    <definedName name="RECON" localSheetId="103">'Closed Summary'!$I$6:$I$58</definedName>
    <definedName name="RECON" localSheetId="104">'Estate Closed Summary'!$I$6:$I$58</definedName>
    <definedName name="RECON" localSheetId="102">'Open Summary'!$I$6:$I$58</definedName>
    <definedName name="RECON" localSheetId="101">'Pre-Liquidation Summary'!$I$6:$I$58</definedName>
    <definedName name="RECON" localSheetId="105">'Released from Oversight Summary'!$I$6:$I$58</definedName>
    <definedName name="RI_FINANCIAL" localSheetId="0">'Alabama Life'!$B$46:$F$46</definedName>
    <definedName name="RI_FINANCIAL" localSheetId="5">'Amer Life Asr'!$B$46:$F$46</definedName>
    <definedName name="RI_FINANCIAL" localSheetId="8">'Amer Std Life Acc'!$B$46:$F$46</definedName>
    <definedName name="RI_FINANCIAL" localSheetId="1">'American Chambers'!$B$46:$F$46</definedName>
    <definedName name="RI_FINANCIAL" localSheetId="2">'American Community'!$B$46:$F$46</definedName>
    <definedName name="RI_FINANCIAL" localSheetId="3">'American Educators'!$B$46:$F$46</definedName>
    <definedName name="RI_FINANCIAL" localSheetId="4">'American Integrity'!$B$46:$F$46</definedName>
    <definedName name="RI_FINANCIAL" localSheetId="6">'American Medical'!$B$46:$F$46</definedName>
    <definedName name="RI_FINANCIAL" localSheetId="7">'American Network'!$B$46:$F$46</definedName>
    <definedName name="RI_FINANCIAL" localSheetId="9">AmerWstrn!$B$46:$F$46</definedName>
    <definedName name="RI_FINANCIAL" localSheetId="10">'AMS Life'!$B$46:$F$46</definedName>
    <definedName name="RI_FINANCIAL" localSheetId="11">'Andrew Jackson'!$B$46:$F$46</definedName>
    <definedName name="RI_FINANCIAL" localSheetId="12">'Bankers Commercial'!$B$46:$F$46</definedName>
    <definedName name="RI_FINANCIAL" localSheetId="13">'Bankers Life'!$B$46:$F$46</definedName>
    <definedName name="RI_FINANCIAL" localSheetId="14">Benicorp!$B$46:$F$46</definedName>
    <definedName name="RI_FINANCIAL" localSheetId="15">'Booker T Washington'!$B$46:$F$46</definedName>
    <definedName name="RI_FINANCIAL" localSheetId="16">Centennial!$B$46:$F$46</definedName>
    <definedName name="RI_FINANCIAL" localSheetId="18">'CO Bankers'!$B$46:$F$46</definedName>
    <definedName name="RI_FINANCIAL" localSheetId="17">'Coastal States'!$B$46:$F$46</definedName>
    <definedName name="RI_FINANCIAL" localSheetId="19">'Colorado Health'!$B$46:$F$46</definedName>
    <definedName name="RI_FINANCIAL" localSheetId="20">'Compass (dbs Meritus)'!$B$46:$F$46</definedName>
    <definedName name="RI_FINANCIAL" localSheetId="21">'Confed Life &amp; Annty (CLIAC)'!$B$46:$F$46</definedName>
    <definedName name="RI_FINANCIAL" localSheetId="22">'Confed Life (CLIC)'!$B$46:$F$46</definedName>
    <definedName name="RI_FINANCIAL" localSheetId="23">'Consolidated National'!$B$46:$F$46</definedName>
    <definedName name="RI_FINANCIAL" localSheetId="24">'Consumers Choice'!$B$46:$F$46</definedName>
    <definedName name="RI_FINANCIAL" localSheetId="25">'Consumers Mutual'!$B$46:$F$46</definedName>
    <definedName name="RI_FINANCIAL" localSheetId="26">'Consumers United'!$B$46:$F$46</definedName>
    <definedName name="RI_FINANCIAL" localSheetId="27">CoOportunity!$B$46:$F$46</definedName>
    <definedName name="RI_FINANCIAL" localSheetId="28">'Coordinated Hlth'!$B$46:$F$46</definedName>
    <definedName name="RI_FINANCIAL" localSheetId="29">'Corporate Life'!$B$46:$F$46</definedName>
    <definedName name="RI_FINANCIAL" localSheetId="30">'Diamond Benefits'!$B$46:$F$46</definedName>
    <definedName name="RI_FINANCIAL" localSheetId="31">'EBL Life'!$B$46:$F$46</definedName>
    <definedName name="RI_FINANCIAL" localSheetId="33">ELNY!$B$46:$F$46</definedName>
    <definedName name="RI_FINANCIAL" localSheetId="32">'Executive Life'!$B$46:$F$46</definedName>
    <definedName name="RI_FINANCIAL" localSheetId="34">'Family Guaranty'!$B$46:$F$46</definedName>
    <definedName name="RI_FINANCIAL" localSheetId="35">'Farmers &amp; Ranchers'!$B$46:$F$46</definedName>
    <definedName name="RI_FINANCIAL" localSheetId="36">'Fidelity Bankers'!$B$46:$F$46</definedName>
    <definedName name="RI_FINANCIAL" localSheetId="37">'Fidelity Mutual'!$B$46:$F$46</definedName>
    <definedName name="RI_FINANCIAL" localSheetId="38">'First Capital'!$B$46:$F$46</definedName>
    <definedName name="RI_FINANCIAL" localSheetId="39">'First Natl'!$B$46:$F$46</definedName>
    <definedName name="RI_FINANCIAL" localSheetId="40">'First Natl (Thrnr)'!$B$46:$F$46</definedName>
    <definedName name="RI_FINANCIAL" localSheetId="41">'Franklin American'!$B$46:$F$46</definedName>
    <definedName name="RI_FINANCIAL" localSheetId="42">'Franklin Protective'!$B$46:$F$46</definedName>
    <definedName name="RI_FINANCIAL" localSheetId="43">'Freelancers CO-OP'!$B$46:$F$46</definedName>
    <definedName name="RI_FINANCIAL" localSheetId="44">Freestone!$B$46:$F$46</definedName>
    <definedName name="RI_FINANCIAL" localSheetId="45">'George Washington'!$B$46:$F$46</definedName>
    <definedName name="RI_FINANCIAL" localSheetId="46">'Golden State'!$B$46:$F$46</definedName>
    <definedName name="RI_FINANCIAL" localSheetId="47">'Guarantee Security'!$B$46:$F$46</definedName>
    <definedName name="RI_FINANCIAL" localSheetId="48">HealthyCT!$B$46:$F$46</definedName>
    <definedName name="RI_FINANCIAL" localSheetId="49">Imerica!$B$46:$F$46</definedName>
    <definedName name="RI_FINANCIAL" localSheetId="50">'Inter-American'!$B$46:$F$46</definedName>
    <definedName name="RI_FINANCIAL" localSheetId="51">'International Fin'!$B$46:$F$46</definedName>
    <definedName name="RI_FINANCIAL" localSheetId="52">'Investment Life of America'!$B$46:$F$46</definedName>
    <definedName name="RI_FINANCIAL" localSheetId="53">'Investors Equity'!$B$46:$F$46</definedName>
    <definedName name="RI_FINANCIAL" localSheetId="54">'Kentucky Central'!$B$46:$F$46</definedName>
    <definedName name="RI_FINANCIAL" localSheetId="55">'Land of Lincoln'!$B$46:$F$46</definedName>
    <definedName name="RI_FINANCIAL" localSheetId="56">Legion!$B$46:$F$46</definedName>
    <definedName name="RI_FINANCIAL" localSheetId="57">'Life Health America'!$B$46:$F$46</definedName>
    <definedName name="RI_FINANCIAL" localSheetId="58">'Lincoln Memorial'!$B$46:$F$46</definedName>
    <definedName name="RI_FINANCIAL" localSheetId="59">'London Pac'!$B$46:$F$46</definedName>
    <definedName name="RI_FINANCIAL" localSheetId="60">Lumbermens!$B$46:$F$46</definedName>
    <definedName name="RI_FINANCIAL" localSheetId="61">'Medical Savings'!$B$46:$F$46</definedName>
    <definedName name="RI_FINANCIAL" localSheetId="62">'Memorial Service'!$B$46:$F$46</definedName>
    <definedName name="RI_FINANCIAL" localSheetId="63">Midcontinent!$B$46:$F$46</definedName>
    <definedName name="RI_FINANCIAL" localSheetId="64">'Midwest Life'!$B$46:$F$46</definedName>
    <definedName name="RI_FINANCIAL" localSheetId="65">'Monarch Life'!$B$46:$F$46</definedName>
    <definedName name="RI_FINANCIAL" localSheetId="66">'Mutual Benefit'!$B$46:$F$46</definedName>
    <definedName name="RI_FINANCIAL" localSheetId="67">'Mutual Security'!$B$46:$F$46</definedName>
    <definedName name="RI_FINANCIAL" localSheetId="68">'National Affiliated'!$B$46:$F$46</definedName>
    <definedName name="RI_FINANCIAL" localSheetId="70">'National Heritage'!$B$46:$F$46</definedName>
    <definedName name="RI_FINANCIAL" localSheetId="71">'National States'!$B$46:$F$46</definedName>
    <definedName name="RI_FINANCIAL" localSheetId="69">'Natl American'!$B$46:$F$46</definedName>
    <definedName name="RI_FINANCIAL" localSheetId="72">'New Jersey Life'!$B$46:$F$46</definedName>
    <definedName name="RI_FINANCIAL" localSheetId="74">NNIC!$B$46:$F$46</definedName>
    <definedName name="RI_FINANCIAL" localSheetId="73">'North Carolina Mutual'!$B$46:$F$46</definedName>
    <definedName name="RI_FINANCIAL" localSheetId="75">'Old Colony Life'!$B$46:$F$46</definedName>
    <definedName name="RI_FINANCIAL" localSheetId="76">'Old Faithful'!$B$46:$F$46</definedName>
    <definedName name="RI_FINANCIAL" localSheetId="77">'Pacific Standard'!$B$46:$F$46</definedName>
    <definedName name="RI_FINANCIAL" localSheetId="78">'Pavonia Life'!$B$46:$F$46</definedName>
    <definedName name="RI_FINANCIAL" localSheetId="79">'Pen  Treaty'!$B$46:$F$46</definedName>
    <definedName name="RI_FINANCIAL" localSheetId="80">'Red Rock'!$B$46:$F$46</definedName>
    <definedName name="RI_FINANCIAL" localSheetId="81">Reliance!$B$46:$F$46</definedName>
    <definedName name="RI_FINANCIAL" localSheetId="82">SeeChange!$B$46:$F$46</definedName>
    <definedName name="RI_FINANCIAL" localSheetId="83">'Senior American'!$B$46:$F$46</definedName>
    <definedName name="RI_FINANCIAL" localSheetId="84">Settlers!$B$46:$F$46</definedName>
    <definedName name="RI_FINANCIAL" localSheetId="85">Shenandoah!$B$46:$F$46</definedName>
    <definedName name="RI_FINANCIAL" localSheetId="86">'Southland National Life'!$B$46:$F$46</definedName>
    <definedName name="RI_FINANCIAL" localSheetId="87">'Standard Life IN'!$B$46:$F$46</definedName>
    <definedName name="RI_FINANCIAL" localSheetId="88">'States General'!$B$46:$F$46</definedName>
    <definedName name="RI_FINANCIAL" localSheetId="89">Statesman!$B$46:$F$46</definedName>
    <definedName name="RI_FINANCIAL" localSheetId="90">'Summit National'!$B$46:$F$46</definedName>
    <definedName name="RI_FINANCIAL" localSheetId="91">Supreme!$B$46:$F$46</definedName>
    <definedName name="RI_FINANCIAL" localSheetId="92">Time!$B$46:$F$46</definedName>
    <definedName name="RI_FINANCIAL" localSheetId="106">'Total Summary'!$B$46:$F$46</definedName>
    <definedName name="RI_FINANCIAL" localSheetId="93">Underwriters!$B$46:$F$46</definedName>
    <definedName name="RI_FINANCIAL" localSheetId="94">Unison!$B$46:$F$46</definedName>
    <definedName name="RI_FINANCIAL" localSheetId="95">'United Republic'!$B$46:$F$46</definedName>
    <definedName name="RI_FINANCIAL" localSheetId="96">'Universal Health Care'!$B$46:$F$46</definedName>
    <definedName name="RI_FINANCIAL" localSheetId="97">'Universal Life'!$B$46:$F$46</definedName>
    <definedName name="RI_FINANCIAL" localSheetId="98">Universe!$B$46:$F$46</definedName>
    <definedName name="RI_FINANCIAL" localSheetId="99">Villanova!$B$46:$F$46</definedName>
    <definedName name="SC_FINANCIAL" localSheetId="0">'Alabama Life'!$B$47:$F$47</definedName>
    <definedName name="SC_FINANCIAL" localSheetId="5">'Amer Life Asr'!$B$47:$F$47</definedName>
    <definedName name="SC_FINANCIAL" localSheetId="8">'Amer Std Life Acc'!$B$47:$F$47</definedName>
    <definedName name="SC_FINANCIAL" localSheetId="1">'American Chambers'!$B$47:$F$47</definedName>
    <definedName name="SC_FINANCIAL" localSheetId="2">'American Community'!$B$47:$F$47</definedName>
    <definedName name="SC_FINANCIAL" localSheetId="3">'American Educators'!$B$47:$F$47</definedName>
    <definedName name="SC_FINANCIAL" localSheetId="4">'American Integrity'!$B$47:$F$47</definedName>
    <definedName name="SC_FINANCIAL" localSheetId="6">'American Medical'!$B$47:$F$47</definedName>
    <definedName name="SC_FINANCIAL" localSheetId="7">'American Network'!$B$47:$F$47</definedName>
    <definedName name="SC_FINANCIAL" localSheetId="9">AmerWstrn!$B$47:$F$47</definedName>
    <definedName name="SC_FINANCIAL" localSheetId="10">'AMS Life'!$B$47:$F$47</definedName>
    <definedName name="SC_FINANCIAL" localSheetId="11">'Andrew Jackson'!$B$47:$F$47</definedName>
    <definedName name="SC_FINANCIAL" localSheetId="12">'Bankers Commercial'!$B$47:$F$47</definedName>
    <definedName name="SC_FINANCIAL" localSheetId="13">'Bankers Life'!$B$47:$F$47</definedName>
    <definedName name="SC_FINANCIAL" localSheetId="14">Benicorp!$B$47:$F$47</definedName>
    <definedName name="SC_FINANCIAL" localSheetId="15">'Booker T Washington'!$B$47:$F$47</definedName>
    <definedName name="SC_FINANCIAL" localSheetId="16">Centennial!$B$47:$F$47</definedName>
    <definedName name="SC_FINANCIAL" localSheetId="18">'CO Bankers'!$B$47:$F$47</definedName>
    <definedName name="SC_FINANCIAL" localSheetId="17">'Coastal States'!$B$47:$F$47</definedName>
    <definedName name="SC_FINANCIAL" localSheetId="19">'Colorado Health'!$B$47:$F$47</definedName>
    <definedName name="SC_FINANCIAL" localSheetId="20">'Compass (dbs Meritus)'!$B$47:$F$47</definedName>
    <definedName name="SC_FINANCIAL" localSheetId="21">'Confed Life &amp; Annty (CLIAC)'!$B$47:$F$47</definedName>
    <definedName name="SC_FINANCIAL" localSheetId="22">'Confed Life (CLIC)'!$B$47:$F$47</definedName>
    <definedName name="SC_FINANCIAL" localSheetId="23">'Consolidated National'!$B$47:$F$47</definedName>
    <definedName name="SC_FINANCIAL" localSheetId="24">'Consumers Choice'!$B$47:$F$47</definedName>
    <definedName name="SC_FINANCIAL" localSheetId="25">'Consumers Mutual'!$B$47:$F$47</definedName>
    <definedName name="SC_FINANCIAL" localSheetId="26">'Consumers United'!$B$47:$F$47</definedName>
    <definedName name="SC_FINANCIAL" localSheetId="27">CoOportunity!$B$47:$F$47</definedName>
    <definedName name="SC_FINANCIAL" localSheetId="28">'Coordinated Hlth'!$B$47:$F$47</definedName>
    <definedName name="SC_FINANCIAL" localSheetId="29">'Corporate Life'!$B$47:$F$47</definedName>
    <definedName name="SC_FINANCIAL" localSheetId="30">'Diamond Benefits'!$B$47:$F$47</definedName>
    <definedName name="SC_FINANCIAL" localSheetId="31">'EBL Life'!$B$47:$F$47</definedName>
    <definedName name="SC_FINANCIAL" localSheetId="33">ELNY!$B$47:$F$47</definedName>
    <definedName name="SC_FINANCIAL" localSheetId="32">'Executive Life'!$B$47:$F$47</definedName>
    <definedName name="SC_FINANCIAL" localSheetId="34">'Family Guaranty'!$B$47:$F$47</definedName>
    <definedName name="SC_FINANCIAL" localSheetId="35">'Farmers &amp; Ranchers'!$B$47:$F$47</definedName>
    <definedName name="SC_FINANCIAL" localSheetId="36">'Fidelity Bankers'!$B$47:$F$47</definedName>
    <definedName name="SC_FINANCIAL" localSheetId="37">'Fidelity Mutual'!$B$47:$F$47</definedName>
    <definedName name="SC_FINANCIAL" localSheetId="38">'First Capital'!$B$47:$F$47</definedName>
    <definedName name="SC_FINANCIAL" localSheetId="39">'First Natl'!$B$47:$F$47</definedName>
    <definedName name="SC_FINANCIAL" localSheetId="40">'First Natl (Thrnr)'!$B$47:$F$47</definedName>
    <definedName name="SC_FINANCIAL" localSheetId="41">'Franklin American'!$B$47:$F$47</definedName>
    <definedName name="SC_FINANCIAL" localSheetId="42">'Franklin Protective'!$B$47:$F$47</definedName>
    <definedName name="SC_FINANCIAL" localSheetId="43">'Freelancers CO-OP'!$B$47:$F$47</definedName>
    <definedName name="SC_FINANCIAL" localSheetId="44">Freestone!$B$47:$F$47</definedName>
    <definedName name="SC_FINANCIAL" localSheetId="45">'George Washington'!$B$47:$F$47</definedName>
    <definedName name="SC_FINANCIAL" localSheetId="46">'Golden State'!$B$47:$F$47</definedName>
    <definedName name="SC_FINANCIAL" localSheetId="47">'Guarantee Security'!$B$47:$F$47</definedName>
    <definedName name="SC_FINANCIAL" localSheetId="48">HealthyCT!$B$47:$F$47</definedName>
    <definedName name="SC_FINANCIAL" localSheetId="49">Imerica!$B$47:$F$47</definedName>
    <definedName name="SC_FINANCIAL" localSheetId="50">'Inter-American'!$B$47:$F$47</definedName>
    <definedName name="SC_FINANCIAL" localSheetId="51">'International Fin'!$B$47:$F$47</definedName>
    <definedName name="SC_FINANCIAL" localSheetId="52">'Investment Life of America'!$B$47:$F$47</definedName>
    <definedName name="SC_FINANCIAL" localSheetId="53">'Investors Equity'!$B$47:$F$47</definedName>
    <definedName name="SC_FINANCIAL" localSheetId="54">'Kentucky Central'!$B$47:$F$47</definedName>
    <definedName name="SC_FINANCIAL" localSheetId="55">'Land of Lincoln'!$B$47:$F$47</definedName>
    <definedName name="SC_FINANCIAL" localSheetId="56">Legion!$B$47:$F$47</definedName>
    <definedName name="SC_FINANCIAL" localSheetId="57">'Life Health America'!$B$47:$F$47</definedName>
    <definedName name="SC_FINANCIAL" localSheetId="58">'Lincoln Memorial'!$B$47:$F$47</definedName>
    <definedName name="SC_FINANCIAL" localSheetId="59">'London Pac'!$B$47:$F$47</definedName>
    <definedName name="SC_FINANCIAL" localSheetId="60">Lumbermens!$B$47:$F$47</definedName>
    <definedName name="SC_FINANCIAL" localSheetId="61">'Medical Savings'!$B$47:$F$47</definedName>
    <definedName name="SC_FINANCIAL" localSheetId="62">'Memorial Service'!$B$47:$F$47</definedName>
    <definedName name="SC_FINANCIAL" localSheetId="63">Midcontinent!$B$47:$F$47</definedName>
    <definedName name="SC_FINANCIAL" localSheetId="64">'Midwest Life'!$B$47:$F$47</definedName>
    <definedName name="SC_FINANCIAL" localSheetId="65">'Monarch Life'!$B$47:$F$47</definedName>
    <definedName name="SC_FINANCIAL" localSheetId="66">'Mutual Benefit'!$B$47:$F$47</definedName>
    <definedName name="SC_FINANCIAL" localSheetId="67">'Mutual Security'!$B$47:$F$47</definedName>
    <definedName name="SC_FINANCIAL" localSheetId="68">'National Affiliated'!$B$47:$F$47</definedName>
    <definedName name="SC_FINANCIAL" localSheetId="70">'National Heritage'!$B$47:$F$47</definedName>
    <definedName name="SC_FINANCIAL" localSheetId="71">'National States'!$B$47:$F$47</definedName>
    <definedName name="SC_FINANCIAL" localSheetId="69">'Natl American'!$B$47:$F$47</definedName>
    <definedName name="SC_FINANCIAL" localSheetId="72">'New Jersey Life'!$B$47:$F$47</definedName>
    <definedName name="SC_FINANCIAL" localSheetId="74">NNIC!$B$47:$F$47</definedName>
    <definedName name="SC_FINANCIAL" localSheetId="73">'North Carolina Mutual'!$B$47:$F$47</definedName>
    <definedName name="SC_FINANCIAL" localSheetId="75">'Old Colony Life'!$B$47:$F$47</definedName>
    <definedName name="SC_FINANCIAL" localSheetId="76">'Old Faithful'!$B$47:$F$47</definedName>
    <definedName name="SC_FINANCIAL" localSheetId="77">'Pacific Standard'!$B$47:$F$47</definedName>
    <definedName name="SC_FINANCIAL" localSheetId="78">'Pavonia Life'!$B$47:$F$47</definedName>
    <definedName name="SC_FINANCIAL" localSheetId="79">'Pen  Treaty'!$B$47:$F$47</definedName>
    <definedName name="SC_FINANCIAL" localSheetId="80">'Red Rock'!$B$47:$F$47</definedName>
    <definedName name="SC_FINANCIAL" localSheetId="81">Reliance!$B$47:$F$47</definedName>
    <definedName name="SC_FINANCIAL" localSheetId="82">SeeChange!$B$47:$F$47</definedName>
    <definedName name="SC_FINANCIAL" localSheetId="83">'Senior American'!$B$47:$F$47</definedName>
    <definedName name="SC_FINANCIAL" localSheetId="84">Settlers!$B$47:$F$47</definedName>
    <definedName name="SC_FINANCIAL" localSheetId="85">Shenandoah!$B$47:$F$47</definedName>
    <definedName name="SC_FINANCIAL" localSheetId="86">'Southland National Life'!$B$47:$F$47</definedName>
    <definedName name="SC_FINANCIAL" localSheetId="87">'Standard Life IN'!$B$47:$F$47</definedName>
    <definedName name="SC_FINANCIAL" localSheetId="88">'States General'!$B$47:$F$47</definedName>
    <definedName name="SC_FINANCIAL" localSheetId="89">Statesman!$B$47:$F$47</definedName>
    <definedName name="SC_FINANCIAL" localSheetId="90">'Summit National'!$B$47:$F$47</definedName>
    <definedName name="SC_FINANCIAL" localSheetId="91">Supreme!$B$47:$F$47</definedName>
    <definedName name="SC_FINANCIAL" localSheetId="92">Time!$B$47:$F$47</definedName>
    <definedName name="SC_FINANCIAL" localSheetId="106">'Total Summary'!$B$47:$F$47</definedName>
    <definedName name="SC_FINANCIAL" localSheetId="93">Underwriters!$B$47:$F$47</definedName>
    <definedName name="SC_FINANCIAL" localSheetId="94">Unison!$B$47:$F$47</definedName>
    <definedName name="SC_FINANCIAL" localSheetId="95">'United Republic'!$B$47:$F$47</definedName>
    <definedName name="SC_FINANCIAL" localSheetId="96">'Universal Health Care'!$B$47:$F$47</definedName>
    <definedName name="SC_FINANCIAL" localSheetId="97">'Universal Life'!$B$47:$F$47</definedName>
    <definedName name="SC_FINANCIAL" localSheetId="98">Universe!$B$47:$F$47</definedName>
    <definedName name="SC_FINANCIAL" localSheetId="99">Villanova!$B$47:$F$47</definedName>
    <definedName name="SD_FINANCIAL" localSheetId="0">'Alabama Life'!$B$48:$F$48</definedName>
    <definedName name="SD_FINANCIAL" localSheetId="5">'Amer Life Asr'!$B$48:$F$48</definedName>
    <definedName name="SD_FINANCIAL" localSheetId="8">'Amer Std Life Acc'!$B$48:$F$48</definedName>
    <definedName name="SD_FINANCIAL" localSheetId="1">'American Chambers'!$B$48:$F$48</definedName>
    <definedName name="SD_FINANCIAL" localSheetId="2">'American Community'!$B$48:$F$48</definedName>
    <definedName name="SD_FINANCIAL" localSheetId="3">'American Educators'!$B$48:$F$48</definedName>
    <definedName name="SD_FINANCIAL" localSheetId="4">'American Integrity'!$B$48:$F$48</definedName>
    <definedName name="SD_FINANCIAL" localSheetId="6">'American Medical'!$B$48:$F$48</definedName>
    <definedName name="SD_FINANCIAL" localSheetId="7">'American Network'!$B$48:$F$48</definedName>
    <definedName name="SD_FINANCIAL" localSheetId="9">AmerWstrn!$B$48:$F$48</definedName>
    <definedName name="SD_FINANCIAL" localSheetId="10">'AMS Life'!$B$48:$F$48</definedName>
    <definedName name="SD_FINANCIAL" localSheetId="11">'Andrew Jackson'!$B$48:$F$48</definedName>
    <definedName name="SD_FINANCIAL" localSheetId="12">'Bankers Commercial'!$B$48:$F$48</definedName>
    <definedName name="SD_FINANCIAL" localSheetId="13">'Bankers Life'!$B$48:$F$48</definedName>
    <definedName name="SD_FINANCIAL" localSheetId="14">Benicorp!$B$48:$F$48</definedName>
    <definedName name="SD_FINANCIAL" localSheetId="15">'Booker T Washington'!$B$48:$F$48</definedName>
    <definedName name="SD_FINANCIAL" localSheetId="16">Centennial!$B$48:$F$48</definedName>
    <definedName name="SD_FINANCIAL" localSheetId="18">'CO Bankers'!$B$48:$F$48</definedName>
    <definedName name="SD_FINANCIAL" localSheetId="17">'Coastal States'!$B$48:$F$48</definedName>
    <definedName name="SD_FINANCIAL" localSheetId="19">'Colorado Health'!$B$48:$F$48</definedName>
    <definedName name="SD_FINANCIAL" localSheetId="20">'Compass (dbs Meritus)'!$B$48:$F$48</definedName>
    <definedName name="SD_FINANCIAL" localSheetId="21">'Confed Life &amp; Annty (CLIAC)'!$B$48:$F$48</definedName>
    <definedName name="SD_FINANCIAL" localSheetId="22">'Confed Life (CLIC)'!$B$48:$F$48</definedName>
    <definedName name="SD_FINANCIAL" localSheetId="23">'Consolidated National'!$B$48:$F$48</definedName>
    <definedName name="SD_FINANCIAL" localSheetId="24">'Consumers Choice'!$B$48:$F$48</definedName>
    <definedName name="SD_FINANCIAL" localSheetId="25">'Consumers Mutual'!$B$48:$F$48</definedName>
    <definedName name="SD_FINANCIAL" localSheetId="26">'Consumers United'!$B$48:$F$48</definedName>
    <definedName name="SD_FINANCIAL" localSheetId="27">CoOportunity!$B$48:$F$48</definedName>
    <definedName name="SD_FINANCIAL" localSheetId="28">'Coordinated Hlth'!$B$48:$F$48</definedName>
    <definedName name="SD_FINANCIAL" localSheetId="29">'Corporate Life'!$B$48:$F$48</definedName>
    <definedName name="SD_FINANCIAL" localSheetId="30">'Diamond Benefits'!$B$48:$F$48</definedName>
    <definedName name="SD_FINANCIAL" localSheetId="31">'EBL Life'!$B$48:$F$48</definedName>
    <definedName name="SD_FINANCIAL" localSheetId="33">ELNY!$B$48:$F$48</definedName>
    <definedName name="SD_FINANCIAL" localSheetId="32">'Executive Life'!$B$48:$F$48</definedName>
    <definedName name="SD_FINANCIAL" localSheetId="34">'Family Guaranty'!$B$48:$F$48</definedName>
    <definedName name="SD_FINANCIAL" localSheetId="35">'Farmers &amp; Ranchers'!$B$48:$F$48</definedName>
    <definedName name="SD_FINANCIAL" localSheetId="36">'Fidelity Bankers'!$B$48:$F$48</definedName>
    <definedName name="SD_FINANCIAL" localSheetId="37">'Fidelity Mutual'!$B$48:$F$48</definedName>
    <definedName name="SD_FINANCIAL" localSheetId="38">'First Capital'!$B$48:$F$48</definedName>
    <definedName name="SD_FINANCIAL" localSheetId="39">'First Natl'!$B$48:$F$48</definedName>
    <definedName name="SD_FINANCIAL" localSheetId="40">'First Natl (Thrnr)'!$B$48:$F$48</definedName>
    <definedName name="SD_FINANCIAL" localSheetId="41">'Franklin American'!$B$48:$F$48</definedName>
    <definedName name="SD_FINANCIAL" localSheetId="42">'Franklin Protective'!$B$48:$F$48</definedName>
    <definedName name="SD_FINANCIAL" localSheetId="43">'Freelancers CO-OP'!$B$48:$F$48</definedName>
    <definedName name="SD_FINANCIAL" localSheetId="44">Freestone!$B$48:$F$48</definedName>
    <definedName name="SD_FINANCIAL" localSheetId="45">'George Washington'!$B$48:$F$48</definedName>
    <definedName name="SD_FINANCIAL" localSheetId="46">'Golden State'!$B$48:$F$48</definedName>
    <definedName name="SD_FINANCIAL" localSheetId="47">'Guarantee Security'!$B$48:$F$48</definedName>
    <definedName name="SD_FINANCIAL" localSheetId="48">HealthyCT!$B$48:$F$48</definedName>
    <definedName name="SD_FINANCIAL" localSheetId="49">Imerica!$B$48:$F$48</definedName>
    <definedName name="SD_FINANCIAL" localSheetId="50">'Inter-American'!$B$48:$F$48</definedName>
    <definedName name="SD_FINANCIAL" localSheetId="51">'International Fin'!$B$48:$F$48</definedName>
    <definedName name="SD_FINANCIAL" localSheetId="52">'Investment Life of America'!$B$48:$F$48</definedName>
    <definedName name="SD_FINANCIAL" localSheetId="53">'Investors Equity'!$B$48:$F$48</definedName>
    <definedName name="SD_FINANCIAL" localSheetId="54">'Kentucky Central'!$B$48:$F$48</definedName>
    <definedName name="SD_FINANCIAL" localSheetId="55">'Land of Lincoln'!$B$48:$F$48</definedName>
    <definedName name="SD_FINANCIAL" localSheetId="56">Legion!$B$48:$F$48</definedName>
    <definedName name="SD_FINANCIAL" localSheetId="57">'Life Health America'!$B$48:$F$48</definedName>
    <definedName name="SD_FINANCIAL" localSheetId="58">'Lincoln Memorial'!$B$48:$F$48</definedName>
    <definedName name="SD_FINANCIAL" localSheetId="59">'London Pac'!$B$48:$F$48</definedName>
    <definedName name="SD_FINANCIAL" localSheetId="60">Lumbermens!$B$48:$F$48</definedName>
    <definedName name="SD_FINANCIAL" localSheetId="61">'Medical Savings'!$B$48:$F$48</definedName>
    <definedName name="SD_FINANCIAL" localSheetId="62">'Memorial Service'!$B$48:$F$48</definedName>
    <definedName name="SD_FINANCIAL" localSheetId="63">Midcontinent!$B$48:$F$48</definedName>
    <definedName name="SD_FINANCIAL" localSheetId="64">'Midwest Life'!$B$48:$F$48</definedName>
    <definedName name="SD_FINANCIAL" localSheetId="65">'Monarch Life'!$B$48:$F$48</definedName>
    <definedName name="SD_FINANCIAL" localSheetId="66">'Mutual Benefit'!$B$48:$F$48</definedName>
    <definedName name="SD_FINANCIAL" localSheetId="67">'Mutual Security'!$B$48:$F$48</definedName>
    <definedName name="SD_FINANCIAL" localSheetId="68">'National Affiliated'!$B$48:$F$48</definedName>
    <definedName name="SD_FINANCIAL" localSheetId="70">'National Heritage'!$B$48:$F$48</definedName>
    <definedName name="SD_FINANCIAL" localSheetId="71">'National States'!$B$48:$F$48</definedName>
    <definedName name="SD_FINANCIAL" localSheetId="69">'Natl American'!$B$48:$F$48</definedName>
    <definedName name="SD_FINANCIAL" localSheetId="72">'New Jersey Life'!$B$48:$F$48</definedName>
    <definedName name="SD_FINANCIAL" localSheetId="74">NNIC!$B$48:$F$48</definedName>
    <definedName name="SD_FINANCIAL" localSheetId="73">'North Carolina Mutual'!$B$48:$F$48</definedName>
    <definedName name="SD_FINANCIAL" localSheetId="75">'Old Colony Life'!$B$48:$F$48</definedName>
    <definedName name="SD_FINANCIAL" localSheetId="76">'Old Faithful'!$B$48:$F$48</definedName>
    <definedName name="SD_FINANCIAL" localSheetId="77">'Pacific Standard'!$B$48:$F$48</definedName>
    <definedName name="SD_FINANCIAL" localSheetId="78">'Pavonia Life'!$B$48:$F$48</definedName>
    <definedName name="SD_FINANCIAL" localSheetId="79">'Pen  Treaty'!$B$48:$F$48</definedName>
    <definedName name="SD_FINANCIAL" localSheetId="80">'Red Rock'!$B$48:$F$48</definedName>
    <definedName name="SD_FINANCIAL" localSheetId="81">Reliance!$B$48:$F$48</definedName>
    <definedName name="SD_FINANCIAL" localSheetId="82">SeeChange!$B$48:$F$48</definedName>
    <definedName name="SD_FINANCIAL" localSheetId="83">'Senior American'!$B$48:$F$48</definedName>
    <definedName name="SD_FINANCIAL" localSheetId="84">Settlers!$B$48:$F$48</definedName>
    <definedName name="SD_FINANCIAL" localSheetId="85">Shenandoah!$B$48:$F$48</definedName>
    <definedName name="SD_FINANCIAL" localSheetId="86">'Southland National Life'!$B$48:$F$48</definedName>
    <definedName name="SD_FINANCIAL" localSheetId="87">'Standard Life IN'!$B$48:$F$48</definedName>
    <definedName name="SD_FINANCIAL" localSheetId="88">'States General'!$B$48:$F$48</definedName>
    <definedName name="SD_FINANCIAL" localSheetId="89">Statesman!$B$48:$F$48</definedName>
    <definedName name="SD_FINANCIAL" localSheetId="90">'Summit National'!$B$48:$F$48</definedName>
    <definedName name="SD_FINANCIAL" localSheetId="91">Supreme!$B$48:$F$48</definedName>
    <definedName name="SD_FINANCIAL" localSheetId="92">Time!$B$48:$F$48</definedName>
    <definedName name="SD_FINANCIAL" localSheetId="106">'Total Summary'!$B$48:$F$48</definedName>
    <definedName name="SD_FINANCIAL" localSheetId="93">Underwriters!$B$48:$F$48</definedName>
    <definedName name="SD_FINANCIAL" localSheetId="94">Unison!$B$48:$F$48</definedName>
    <definedName name="SD_FINANCIAL" localSheetId="95">'United Republic'!$B$48:$F$48</definedName>
    <definedName name="SD_FINANCIAL" localSheetId="96">'Universal Health Care'!$B$48:$F$48</definedName>
    <definedName name="SD_FINANCIAL" localSheetId="97">'Universal Life'!$B$48:$F$48</definedName>
    <definedName name="SD_FINANCIAL" localSheetId="98">Universe!$B$48:$F$48</definedName>
    <definedName name="SD_FINANCIAL" localSheetId="99">Villanova!$B$48:$F$48</definedName>
    <definedName name="TN_FINANCIAL" localSheetId="0">'Alabama Life'!$B$49:$F$49</definedName>
    <definedName name="TN_FINANCIAL" localSheetId="5">'Amer Life Asr'!$B$49:$F$49</definedName>
    <definedName name="TN_FINANCIAL" localSheetId="8">'Amer Std Life Acc'!$B$49:$F$49</definedName>
    <definedName name="TN_FINANCIAL" localSheetId="1">'American Chambers'!$B$49:$F$49</definedName>
    <definedName name="TN_FINANCIAL" localSheetId="2">'American Community'!$B$49:$F$49</definedName>
    <definedName name="TN_FINANCIAL" localSheetId="3">'American Educators'!$B$49:$F$49</definedName>
    <definedName name="TN_FINANCIAL" localSheetId="4">'American Integrity'!$B$49:$F$49</definedName>
    <definedName name="TN_FINANCIAL" localSheetId="6">'American Medical'!$B$49:$F$49</definedName>
    <definedName name="TN_FINANCIAL" localSheetId="7">'American Network'!$B$49:$F$49</definedName>
    <definedName name="TN_FINANCIAL" localSheetId="9">AmerWstrn!$B$49:$F$49</definedName>
    <definedName name="TN_FINANCIAL" localSheetId="10">'AMS Life'!$B$49:$F$49</definedName>
    <definedName name="TN_FINANCIAL" localSheetId="11">'Andrew Jackson'!$B$49:$F$49</definedName>
    <definedName name="TN_FINANCIAL" localSheetId="12">'Bankers Commercial'!$B$49:$F$49</definedName>
    <definedName name="TN_FINANCIAL" localSheetId="13">'Bankers Life'!$B$49:$F$49</definedName>
    <definedName name="TN_FINANCIAL" localSheetId="14">Benicorp!$B$49:$F$49</definedName>
    <definedName name="TN_FINANCIAL" localSheetId="15">'Booker T Washington'!$B$49:$F$49</definedName>
    <definedName name="TN_FINANCIAL" localSheetId="16">Centennial!$B$49:$F$49</definedName>
    <definedName name="TN_FINANCIAL" localSheetId="18">'CO Bankers'!$B$49:$F$49</definedName>
    <definedName name="TN_FINANCIAL" localSheetId="17">'Coastal States'!$B$49:$F$49</definedName>
    <definedName name="TN_FINANCIAL" localSheetId="19">'Colorado Health'!$B$49:$F$49</definedName>
    <definedName name="TN_FINANCIAL" localSheetId="20">'Compass (dbs Meritus)'!$B$49:$F$49</definedName>
    <definedName name="TN_FINANCIAL" localSheetId="21">'Confed Life &amp; Annty (CLIAC)'!$B$49:$F$49</definedName>
    <definedName name="TN_FINANCIAL" localSheetId="22">'Confed Life (CLIC)'!$B$49:$F$49</definedName>
    <definedName name="TN_FINANCIAL" localSheetId="23">'Consolidated National'!$B$49:$F$49</definedName>
    <definedName name="TN_FINANCIAL" localSheetId="24">'Consumers Choice'!$B$49:$F$49</definedName>
    <definedName name="TN_FINANCIAL" localSheetId="25">'Consumers Mutual'!$B$49:$F$49</definedName>
    <definedName name="TN_FINANCIAL" localSheetId="26">'Consumers United'!$B$49:$F$49</definedName>
    <definedName name="TN_FINANCIAL" localSheetId="27">CoOportunity!$B$49:$F$49</definedName>
    <definedName name="TN_FINANCIAL" localSheetId="28">'Coordinated Hlth'!$B$49:$F$49</definedName>
    <definedName name="TN_FINANCIAL" localSheetId="29">'Corporate Life'!$B$49:$F$49</definedName>
    <definedName name="TN_FINANCIAL" localSheetId="30">'Diamond Benefits'!$B$49:$F$49</definedName>
    <definedName name="TN_FINANCIAL" localSheetId="31">'EBL Life'!$B$49:$F$49</definedName>
    <definedName name="TN_FINANCIAL" localSheetId="33">ELNY!$B$49:$F$49</definedName>
    <definedName name="TN_FINANCIAL" localSheetId="32">'Executive Life'!$B$49:$F$49</definedName>
    <definedName name="TN_FINANCIAL" localSheetId="34">'Family Guaranty'!$B$49:$F$49</definedName>
    <definedName name="TN_FINANCIAL" localSheetId="35">'Farmers &amp; Ranchers'!$B$49:$F$49</definedName>
    <definedName name="TN_FINANCIAL" localSheetId="36">'Fidelity Bankers'!$B$49:$F$49</definedName>
    <definedName name="TN_FINANCIAL" localSheetId="37">'Fidelity Mutual'!$B$49:$F$49</definedName>
    <definedName name="TN_FINANCIAL" localSheetId="38">'First Capital'!$B$49:$F$49</definedName>
    <definedName name="TN_FINANCIAL" localSheetId="39">'First Natl'!$B$49:$F$49</definedName>
    <definedName name="TN_FINANCIAL" localSheetId="40">'First Natl (Thrnr)'!$B$49:$F$49</definedName>
    <definedName name="TN_FINANCIAL" localSheetId="41">'Franklin American'!$B$49:$F$49</definedName>
    <definedName name="TN_FINANCIAL" localSheetId="42">'Franklin Protective'!$B$49:$F$49</definedName>
    <definedName name="TN_FINANCIAL" localSheetId="43">'Freelancers CO-OP'!$B$49:$F$49</definedName>
    <definedName name="TN_FINANCIAL" localSheetId="44">Freestone!$B$49:$F$49</definedName>
    <definedName name="TN_FINANCIAL" localSheetId="45">'George Washington'!$B$49:$F$49</definedName>
    <definedName name="TN_FINANCIAL" localSheetId="46">'Golden State'!$B$49:$F$49</definedName>
    <definedName name="TN_FINANCIAL" localSheetId="47">'Guarantee Security'!$B$49:$F$49</definedName>
    <definedName name="TN_FINANCIAL" localSheetId="48">HealthyCT!$B$49:$F$49</definedName>
    <definedName name="TN_FINANCIAL" localSheetId="49">Imerica!$B$49:$F$49</definedName>
    <definedName name="TN_FINANCIAL" localSheetId="50">'Inter-American'!$B$49:$F$49</definedName>
    <definedName name="TN_FINANCIAL" localSheetId="51">'International Fin'!$B$49:$F$49</definedName>
    <definedName name="TN_FINANCIAL" localSheetId="52">'Investment Life of America'!$B$49:$F$49</definedName>
    <definedName name="TN_FINANCIAL" localSheetId="53">'Investors Equity'!$B$49:$F$49</definedName>
    <definedName name="TN_FINANCIAL" localSheetId="54">'Kentucky Central'!$B$49:$F$49</definedName>
    <definedName name="TN_FINANCIAL" localSheetId="55">'Land of Lincoln'!$B$49:$F$49</definedName>
    <definedName name="TN_FINANCIAL" localSheetId="56">Legion!$B$49:$F$49</definedName>
    <definedName name="TN_FINANCIAL" localSheetId="57">'Life Health America'!$B$49:$F$49</definedName>
    <definedName name="TN_FINANCIAL" localSheetId="58">'Lincoln Memorial'!$B$49:$F$49</definedName>
    <definedName name="TN_FINANCIAL" localSheetId="59">'London Pac'!$B$49:$F$49</definedName>
    <definedName name="TN_FINANCIAL" localSheetId="60">Lumbermens!$B$49:$F$49</definedName>
    <definedName name="TN_FINANCIAL" localSheetId="61">'Medical Savings'!$B$49:$F$49</definedName>
    <definedName name="TN_FINANCIAL" localSheetId="62">'Memorial Service'!$B$49:$F$49</definedName>
    <definedName name="TN_FINANCIAL" localSheetId="63">Midcontinent!$B$49:$F$49</definedName>
    <definedName name="TN_FINANCIAL" localSheetId="64">'Midwest Life'!$B$49:$F$49</definedName>
    <definedName name="TN_FINANCIAL" localSheetId="65">'Monarch Life'!$B$49:$F$49</definedName>
    <definedName name="TN_FINANCIAL" localSheetId="66">'Mutual Benefit'!$B$49:$F$49</definedName>
    <definedName name="TN_FINANCIAL" localSheetId="67">'Mutual Security'!$B$49:$F$49</definedName>
    <definedName name="TN_FINANCIAL" localSheetId="68">'National Affiliated'!$B$49:$F$49</definedName>
    <definedName name="TN_FINANCIAL" localSheetId="70">'National Heritage'!$B$49:$F$49</definedName>
    <definedName name="TN_FINANCIAL" localSheetId="71">'National States'!$B$49:$F$49</definedName>
    <definedName name="TN_FINANCIAL" localSheetId="69">'Natl American'!$B$49:$F$49</definedName>
    <definedName name="TN_FINANCIAL" localSheetId="72">'New Jersey Life'!$B$49:$F$49</definedName>
    <definedName name="TN_FINANCIAL" localSheetId="74">NNIC!$B$49:$F$49</definedName>
    <definedName name="TN_FINANCIAL" localSheetId="73">'North Carolina Mutual'!$B$49:$F$49</definedName>
    <definedName name="TN_FINANCIAL" localSheetId="75">'Old Colony Life'!$B$49:$F$49</definedName>
    <definedName name="TN_FINANCIAL" localSheetId="76">'Old Faithful'!$B$49:$F$49</definedName>
    <definedName name="TN_FINANCIAL" localSheetId="77">'Pacific Standard'!$B$49:$F$49</definedName>
    <definedName name="TN_FINANCIAL" localSheetId="78">'Pavonia Life'!$B$49:$F$49</definedName>
    <definedName name="TN_FINANCIAL" localSheetId="79">'Pen  Treaty'!$B$49:$F$49</definedName>
    <definedName name="TN_FINANCIAL" localSheetId="80">'Red Rock'!$B$49:$F$49</definedName>
    <definedName name="TN_FINANCIAL" localSheetId="81">Reliance!$B$49:$F$49</definedName>
    <definedName name="TN_FINANCIAL" localSheetId="82">SeeChange!$B$49:$F$49</definedName>
    <definedName name="TN_FINANCIAL" localSheetId="83">'Senior American'!$B$49:$F$49</definedName>
    <definedName name="TN_FINANCIAL" localSheetId="84">Settlers!$B$49:$F$49</definedName>
    <definedName name="TN_FINANCIAL" localSheetId="85">Shenandoah!$B$49:$F$49</definedName>
    <definedName name="TN_FINANCIAL" localSheetId="86">'Southland National Life'!$B$49:$F$49</definedName>
    <definedName name="TN_FINANCIAL" localSheetId="87">'Standard Life IN'!$B$49:$F$49</definedName>
    <definedName name="TN_FINANCIAL" localSheetId="88">'States General'!$B$49:$F$49</definedName>
    <definedName name="TN_FINANCIAL" localSheetId="89">Statesman!$B$49:$F$49</definedName>
    <definedName name="TN_FINANCIAL" localSheetId="90">'Summit National'!$B$49:$F$49</definedName>
    <definedName name="TN_FINANCIAL" localSheetId="91">Supreme!$B$49:$F$49</definedName>
    <definedName name="TN_FINANCIAL" localSheetId="92">Time!$B$49:$F$49</definedName>
    <definedName name="TN_FINANCIAL" localSheetId="106">'Total Summary'!$B$49:$F$49</definedName>
    <definedName name="TN_FINANCIAL" localSheetId="93">Underwriters!$B$49:$F$49</definedName>
    <definedName name="TN_FINANCIAL" localSheetId="94">Unison!$B$49:$F$49</definedName>
    <definedName name="TN_FINANCIAL" localSheetId="95">'United Republic'!$B$49:$F$49</definedName>
    <definedName name="TN_FINANCIAL" localSheetId="96">'Universal Health Care'!$B$49:$F$49</definedName>
    <definedName name="TN_FINANCIAL" localSheetId="97">'Universal Life'!$B$49:$F$49</definedName>
    <definedName name="TN_FINANCIAL" localSheetId="98">Universe!$B$49:$F$49</definedName>
    <definedName name="TN_FINANCIAL" localSheetId="99">Villanova!$B$49:$F$49</definedName>
    <definedName name="TOTAL" localSheetId="103">'Closed Summary'!$G$6:$G$58</definedName>
    <definedName name="TOTAL" localSheetId="104">'Estate Closed Summary'!$G$6:$G$58</definedName>
    <definedName name="TOTAL" localSheetId="102">'Open Summary'!$G$6:$G$58</definedName>
    <definedName name="TOTAL" localSheetId="101">'Pre-Liquidation Summary'!$G$6:$G$58</definedName>
    <definedName name="TOTAL" localSheetId="105">'Released from Oversight Summary'!$G$6:$G$58</definedName>
    <definedName name="TOTAL_10197" localSheetId="100">Summary!$M$57</definedName>
    <definedName name="TOTAL_12577" localSheetId="100">Summary!$M$48</definedName>
    <definedName name="TOTAL_15046" localSheetId="100">Summary!$M$41</definedName>
    <definedName name="TOTAL_15092" localSheetId="100">Summary!$M$34</definedName>
    <definedName name="TOTAL_15093" localSheetId="100">Summary!$M$36</definedName>
    <definedName name="TOTAL_15102" localSheetId="100">Summary!$M$42</definedName>
    <definedName name="TOTAL_15126" localSheetId="100">Summary!$M$33</definedName>
    <definedName name="TOTAL_15128" localSheetId="100">Summary!$M$70</definedName>
    <definedName name="TOTAL_15145" localSheetId="100">Summary!$M$35</definedName>
    <definedName name="TOTAL_15197" localSheetId="100">Summary!$M$40</definedName>
    <definedName name="TOTAL_15314" localSheetId="100">Summary!$M$37</definedName>
    <definedName name="TOTAL_18538" localSheetId="100">Summary!$M$23</definedName>
    <definedName name="TOTAL_19577" localSheetId="100">Summary!$M$112</definedName>
    <definedName name="TOTAL_22977" localSheetId="100">Summary!$M$43</definedName>
    <definedName name="TOTAL_23914" localSheetId="100">Summary!$M$45</definedName>
    <definedName name="TOTAL_24422" localSheetId="100">Summary!$M$90</definedName>
    <definedName name="TOTAL_24457" localSheetId="100">Summary!$M$46</definedName>
    <definedName name="TOTAL_32271" localSheetId="100">Summary!#REF!</definedName>
    <definedName name="TOTAL_60305" localSheetId="100">Summary!$M$118</definedName>
    <definedName name="TOTAL_60356" localSheetId="100">Summary!$M$56</definedName>
    <definedName name="TOTAL_60593" localSheetId="100">Summary!$M$20</definedName>
    <definedName name="TOTAL_60917" localSheetId="100">Summary!$M$61</definedName>
    <definedName name="TOTAL_60968" localSheetId="100">Summary!$M$63</definedName>
    <definedName name="TOTAL_61220" localSheetId="100">Summary!$M$64</definedName>
    <definedName name="TOTAL_61468" localSheetId="100">Summary!$M$15</definedName>
    <definedName name="TOTAL_61654" localSheetId="100">Summary!$M$66</definedName>
    <definedName name="TOTAL_61913" localSheetId="100">Summary!$M$38</definedName>
    <definedName name="TOTAL_61980" localSheetId="100">Summary!$M$67</definedName>
    <definedName name="TOTAL_62278" localSheetId="100">Summary!$M$71</definedName>
    <definedName name="TOTAL_63010" localSheetId="100">Summary!$M$17</definedName>
    <definedName name="TOTAL_63185" localSheetId="100">Summary!$M$76</definedName>
    <definedName name="TOTAL_63266" localSheetId="100">Summary!$M$77</definedName>
    <definedName name="TOTAL_63282" localSheetId="100">Summary!$M$22</definedName>
    <definedName name="TOTAL_63304" localSheetId="100">Summary!$M$120</definedName>
    <definedName name="TOTAL_63452" localSheetId="100">Summary!$M$60</definedName>
    <definedName name="TOTAL_63517" localSheetId="100">Summary!$M$78</definedName>
    <definedName name="TOTAL_63525" localSheetId="100">Summary!$M$39</definedName>
    <definedName name="TOTAL_63533" localSheetId="100">Summary!$M$84</definedName>
    <definedName name="TOTAL_63541" localSheetId="100">Summary!$M$103</definedName>
    <definedName name="TOTAL_63770" localSheetId="100">Summary!$M$81</definedName>
    <definedName name="TOTAL_63924" localSheetId="100">Summary!$M$82</definedName>
    <definedName name="TOTAL_64084" localSheetId="100">Summary!$M$86</definedName>
    <definedName name="TOTAL_64220" localSheetId="100">Summary!$M$124</definedName>
    <definedName name="TOTAL_64874" localSheetId="100">Summary!$M$88</definedName>
    <definedName name="TOTAL_65161" localSheetId="100">Summary!$M$100</definedName>
    <definedName name="TOTAL_65188" localSheetId="100">Summary!$M$89</definedName>
    <definedName name="TOTAL_65447" localSheetId="100">Summary!$M$121</definedName>
    <definedName name="TOTAL_66001" localSheetId="100">Summary!$M$122</definedName>
    <definedName name="TOTAL_66060" localSheetId="100">Summary!$M$93</definedName>
    <definedName name="TOTAL_66265" localSheetId="100">Summary!$M$7</definedName>
    <definedName name="TOTAL_66362" localSheetId="100">Summary!$M$94</definedName>
    <definedName name="TOTAL_66400" localSheetId="100">Summary!$M$95</definedName>
    <definedName name="TOTAL_66907" localSheetId="100">Summary!$M$99</definedName>
    <definedName name="TOTAL_67032" localSheetId="100">Summary!$M$21</definedName>
    <definedName name="TOTAL_67210" localSheetId="100">Summary!$M$85</definedName>
    <definedName name="TOTAL_67229" localSheetId="100">Summary!$M$101</definedName>
    <definedName name="TOTAL_68055" localSheetId="100">Summary!$M$109</definedName>
    <definedName name="TOTAL_68489" localSheetId="100">Summary!$M$79</definedName>
    <definedName name="TOTAL_68845" localSheetId="100">Summary!$M$125</definedName>
    <definedName name="TOTAL_68934" localSheetId="100">Summary!$M$91</definedName>
    <definedName name="TOTAL_69051" localSheetId="100">Summary!$M$47</definedName>
    <definedName name="TOTAL_69175" localSheetId="100">Summary!$M$104</definedName>
    <definedName name="TOTAL_69183" localSheetId="100">Summary!$M$105</definedName>
    <definedName name="TOTAL_69221" localSheetId="100">Summary!$M$97</definedName>
    <definedName name="TOTAL_69302" localSheetId="100">Summary!$M$107</definedName>
    <definedName name="TOTAL_69370" localSheetId="100">Summary!$M$96</definedName>
    <definedName name="TOTAL_69477" localSheetId="100">Summary!$M$26</definedName>
    <definedName name="TOTAL_69752" localSheetId="100">Summary!$M$65</definedName>
    <definedName name="TOTAL_69833" localSheetId="100">Summary!$M$19</definedName>
    <definedName name="TOTAL_70157" localSheetId="100">Summary!$M$27</definedName>
    <definedName name="TOTAL_70181" localSheetId="100">Summary!$M$111</definedName>
    <definedName name="TOTAL_71080" localSheetId="100">Summary!$M$106</definedName>
    <definedName name="TOTAL_71382" localSheetId="100">Summary!$M$69</definedName>
    <definedName name="TOTAL_72842" localSheetId="100">Summary!$M$102</definedName>
    <definedName name="TOTAL_74217A" localSheetId="100">Summary!$M$92</definedName>
    <definedName name="TOTAL_74705" localSheetId="100">Summary!$M$72</definedName>
    <definedName name="TOTAL_74926" localSheetId="100">Summary!$M$44</definedName>
    <definedName name="TOTAL_74969" localSheetId="100">Summary!$M$73</definedName>
    <definedName name="TOTAL_75302" localSheetId="100">Summary!$M$75</definedName>
    <definedName name="TOTAL_75914" localSheetId="100">Summary!$M$55</definedName>
    <definedName name="TOTAL_76015" localSheetId="100">Summary!$M$87</definedName>
    <definedName name="TOTAL_76759" localSheetId="100">Summary!$M$24</definedName>
    <definedName name="TOTAL_77887" localSheetId="100">Summary!$M$18</definedName>
    <definedName name="TOTAL_79057" localSheetId="100">Summary!$M$25</definedName>
    <definedName name="TOTAL_80667" localSheetId="100">Summary!$M$68</definedName>
    <definedName name="TOTAL_81043" localSheetId="100">Summary!$M$14</definedName>
    <definedName name="TOTAL_81078" localSheetId="100">Summary!$M$13</definedName>
    <definedName name="TOTAL_81418" localSheetId="100">Summary!$M$59</definedName>
    <definedName name="TOTAL_84271" localSheetId="100">Summary!$M$83</definedName>
    <definedName name="TOTAL_84786" localSheetId="100">Summary!$M$16</definedName>
    <definedName name="TOTAL_86142" localSheetId="100">Summary!$M$62</definedName>
    <definedName name="TOTAL_87033" localSheetId="100">Summary!$M$74</definedName>
    <definedName name="TOTAL_88161" localSheetId="100">Summary!$M$58</definedName>
    <definedName name="TOTAL_88188" localSheetId="100">Summary!$M$108</definedName>
    <definedName name="TOTAL_93238" localSheetId="100">Summary!$M$110</definedName>
    <definedName name="TOTAL_93777" localSheetId="100">Summary!$M$123</definedName>
    <definedName name="TOTAL_97284" localSheetId="100">Summary!$M$98</definedName>
    <definedName name="TOTAL_98655" localSheetId="100">Summary!$M$80</definedName>
    <definedName name="TOTAL_98825" localSheetId="100">Summary!$M$54</definedName>
    <definedName name="TOTAL_99384" localSheetId="100">Summary!$M$119</definedName>
    <definedName name="TOTAL_CROSSCHECK" localSheetId="103">'Closed Summary'!$H$6:$H$58</definedName>
    <definedName name="TOTAL_CROSSCHECK" localSheetId="104">'Estate Closed Summary'!$H$6:$H$58</definedName>
    <definedName name="TOTAL_CROSSCHECK" localSheetId="102">'Open Summary'!$H$6:$H$58</definedName>
    <definedName name="TOTAL_CROSSCHECK" localSheetId="101">'Pre-Liquidation Summary'!$H$6:$H$58</definedName>
    <definedName name="TOTAL_CROSSCHECK" localSheetId="105">'Released from Oversight Summary'!$H$6:$H$58</definedName>
    <definedName name="TX_FINANCIAL" localSheetId="0">'Alabama Life'!$B$50:$F$50</definedName>
    <definedName name="TX_FINANCIAL" localSheetId="5">'Amer Life Asr'!$B$50:$F$50</definedName>
    <definedName name="TX_FINANCIAL" localSheetId="8">'Amer Std Life Acc'!$B$50:$F$50</definedName>
    <definedName name="TX_FINANCIAL" localSheetId="1">'American Chambers'!$B$50:$F$50</definedName>
    <definedName name="TX_FINANCIAL" localSheetId="2">'American Community'!$B$50:$F$50</definedName>
    <definedName name="TX_FINANCIAL" localSheetId="3">'American Educators'!$B$50:$F$50</definedName>
    <definedName name="TX_FINANCIAL" localSheetId="4">'American Integrity'!$B$50:$F$50</definedName>
    <definedName name="TX_FINANCIAL" localSheetId="6">'American Medical'!$B$50:$F$50</definedName>
    <definedName name="TX_FINANCIAL" localSheetId="7">'American Network'!$B$50:$F$50</definedName>
    <definedName name="TX_FINANCIAL" localSheetId="9">AmerWstrn!$B$50:$F$50</definedName>
    <definedName name="TX_FINANCIAL" localSheetId="10">'AMS Life'!$B$50:$F$50</definedName>
    <definedName name="TX_FINANCIAL" localSheetId="11">'Andrew Jackson'!$B$50:$F$50</definedName>
    <definedName name="TX_FINANCIAL" localSheetId="12">'Bankers Commercial'!$B$50:$F$50</definedName>
    <definedName name="TX_FINANCIAL" localSheetId="13">'Bankers Life'!$B$50:$F$50</definedName>
    <definedName name="TX_FINANCIAL" localSheetId="14">Benicorp!$B$50:$F$50</definedName>
    <definedName name="TX_FINANCIAL" localSheetId="15">'Booker T Washington'!$B$50:$F$50</definedName>
    <definedName name="TX_FINANCIAL" localSheetId="16">Centennial!$B$50:$F$50</definedName>
    <definedName name="TX_FINANCIAL" localSheetId="18">'CO Bankers'!$B$50:$F$50</definedName>
    <definedName name="TX_FINANCIAL" localSheetId="17">'Coastal States'!$B$50:$F$50</definedName>
    <definedName name="TX_FINANCIAL" localSheetId="19">'Colorado Health'!$B$50:$F$50</definedName>
    <definedName name="TX_FINANCIAL" localSheetId="20">'Compass (dbs Meritus)'!$B$50:$F$50</definedName>
    <definedName name="TX_FINANCIAL" localSheetId="21">'Confed Life &amp; Annty (CLIAC)'!$B$50:$F$50</definedName>
    <definedName name="TX_FINANCIAL" localSheetId="22">'Confed Life (CLIC)'!$B$50:$F$50</definedName>
    <definedName name="TX_FINANCIAL" localSheetId="23">'Consolidated National'!$B$50:$F$50</definedName>
    <definedName name="TX_FINANCIAL" localSheetId="24">'Consumers Choice'!$B$50:$F$50</definedName>
    <definedName name="TX_FINANCIAL" localSheetId="25">'Consumers Mutual'!$B$50:$F$50</definedName>
    <definedName name="TX_FINANCIAL" localSheetId="26">'Consumers United'!$B$50:$F$50</definedName>
    <definedName name="TX_FINANCIAL" localSheetId="27">CoOportunity!$B$50:$F$50</definedName>
    <definedName name="TX_FINANCIAL" localSheetId="28">'Coordinated Hlth'!$B$50:$F$50</definedName>
    <definedName name="TX_FINANCIAL" localSheetId="29">'Corporate Life'!$B$50:$F$50</definedName>
    <definedName name="TX_FINANCIAL" localSheetId="30">'Diamond Benefits'!$B$50:$F$50</definedName>
    <definedName name="TX_FINANCIAL" localSheetId="31">'EBL Life'!$B$50:$F$50</definedName>
    <definedName name="TX_FINANCIAL" localSheetId="33">ELNY!$B$50:$F$50</definedName>
    <definedName name="TX_FINANCIAL" localSheetId="32">'Executive Life'!$B$50:$F$50</definedName>
    <definedName name="TX_FINANCIAL" localSheetId="34">'Family Guaranty'!$B$50:$F$50</definedName>
    <definedName name="TX_FINANCIAL" localSheetId="35">'Farmers &amp; Ranchers'!$B$50:$F$50</definedName>
    <definedName name="TX_FINANCIAL" localSheetId="36">'Fidelity Bankers'!$B$50:$F$50</definedName>
    <definedName name="TX_FINANCIAL" localSheetId="37">'Fidelity Mutual'!$B$50:$F$50</definedName>
    <definedName name="TX_FINANCIAL" localSheetId="38">'First Capital'!$B$50:$F$50</definedName>
    <definedName name="TX_FINANCIAL" localSheetId="39">'First Natl'!$B$50:$F$50</definedName>
    <definedName name="TX_FINANCIAL" localSheetId="40">'First Natl (Thrnr)'!$B$50:$F$50</definedName>
    <definedName name="TX_FINANCIAL" localSheetId="41">'Franklin American'!$B$50:$F$50</definedName>
    <definedName name="TX_FINANCIAL" localSheetId="42">'Franklin Protective'!$B$50:$F$50</definedName>
    <definedName name="TX_FINANCIAL" localSheetId="43">'Freelancers CO-OP'!$B$50:$F$50</definedName>
    <definedName name="TX_FINANCIAL" localSheetId="44">Freestone!$B$50:$F$50</definedName>
    <definedName name="TX_FINANCIAL" localSheetId="45">'George Washington'!$B$50:$F$50</definedName>
    <definedName name="TX_FINANCIAL" localSheetId="46">'Golden State'!$B$50:$F$50</definedName>
    <definedName name="TX_FINANCIAL" localSheetId="47">'Guarantee Security'!$B$50:$F$50</definedName>
    <definedName name="TX_FINANCIAL" localSheetId="48">HealthyCT!$B$50:$F$50</definedName>
    <definedName name="TX_FINANCIAL" localSheetId="49">Imerica!$B$50:$F$50</definedName>
    <definedName name="TX_FINANCIAL" localSheetId="50">'Inter-American'!$B$50:$F$50</definedName>
    <definedName name="TX_FINANCIAL" localSheetId="51">'International Fin'!$B$50:$F$50</definedName>
    <definedName name="TX_FINANCIAL" localSheetId="52">'Investment Life of America'!$B$50:$F$50</definedName>
    <definedName name="TX_FINANCIAL" localSheetId="53">'Investors Equity'!$B$50:$F$50</definedName>
    <definedName name="TX_FINANCIAL" localSheetId="54">'Kentucky Central'!$B$50:$F$50</definedName>
    <definedName name="TX_FINANCIAL" localSheetId="55">'Land of Lincoln'!$B$50:$F$50</definedName>
    <definedName name="TX_FINANCIAL" localSheetId="56">Legion!$B$50:$F$50</definedName>
    <definedName name="TX_FINANCIAL" localSheetId="57">'Life Health America'!$B$50:$F$50</definedName>
    <definedName name="TX_FINANCIAL" localSheetId="58">'Lincoln Memorial'!$B$50:$F$50</definedName>
    <definedName name="TX_FINANCIAL" localSheetId="59">'London Pac'!$B$50:$F$50</definedName>
    <definedName name="TX_FINANCIAL" localSheetId="60">Lumbermens!$B$50:$F$50</definedName>
    <definedName name="TX_FINANCIAL" localSheetId="61">'Medical Savings'!$B$50:$F$50</definedName>
    <definedName name="TX_FINANCIAL" localSheetId="62">'Memorial Service'!$B$50:$F$50</definedName>
    <definedName name="TX_FINANCIAL" localSheetId="63">Midcontinent!$B$50:$F$50</definedName>
    <definedName name="TX_FINANCIAL" localSheetId="64">'Midwest Life'!$B$50:$F$50</definedName>
    <definedName name="TX_FINANCIAL" localSheetId="65">'Monarch Life'!$B$50:$F$50</definedName>
    <definedName name="TX_FINANCIAL" localSheetId="66">'Mutual Benefit'!$B$50:$F$50</definedName>
    <definedName name="TX_FINANCIAL" localSheetId="67">'Mutual Security'!$B$50:$F$50</definedName>
    <definedName name="TX_FINANCIAL" localSheetId="68">'National Affiliated'!$B$50:$F$50</definedName>
    <definedName name="TX_FINANCIAL" localSheetId="70">'National Heritage'!$B$50:$F$50</definedName>
    <definedName name="TX_FINANCIAL" localSheetId="71">'National States'!$B$50:$F$50</definedName>
    <definedName name="TX_FINANCIAL" localSheetId="69">'Natl American'!$B$50:$F$50</definedName>
    <definedName name="TX_FINANCIAL" localSheetId="72">'New Jersey Life'!$B$50:$F$50</definedName>
    <definedName name="TX_FINANCIAL" localSheetId="74">NNIC!$B$50:$F$50</definedName>
    <definedName name="TX_FINANCIAL" localSheetId="73">'North Carolina Mutual'!$B$50:$F$50</definedName>
    <definedName name="TX_FINANCIAL" localSheetId="75">'Old Colony Life'!$B$50:$F$50</definedName>
    <definedName name="TX_FINANCIAL" localSheetId="76">'Old Faithful'!$B$50:$F$50</definedName>
    <definedName name="TX_FINANCIAL" localSheetId="77">'Pacific Standard'!$B$50:$F$50</definedName>
    <definedName name="TX_FINANCIAL" localSheetId="78">'Pavonia Life'!$B$50:$F$50</definedName>
    <definedName name="TX_FINANCIAL" localSheetId="79">'Pen  Treaty'!$B$50:$F$50</definedName>
    <definedName name="TX_FINANCIAL" localSheetId="80">'Red Rock'!$B$50:$F$50</definedName>
    <definedName name="TX_FINANCIAL" localSheetId="81">Reliance!$B$50:$F$50</definedName>
    <definedName name="TX_FINANCIAL" localSheetId="82">SeeChange!$B$50:$F$50</definedName>
    <definedName name="TX_FINANCIAL" localSheetId="83">'Senior American'!$B$50:$F$50</definedName>
    <definedName name="TX_FINANCIAL" localSheetId="84">Settlers!$B$50:$F$50</definedName>
    <definedName name="TX_FINANCIAL" localSheetId="85">Shenandoah!$B$50:$F$50</definedName>
    <definedName name="TX_FINANCIAL" localSheetId="86">'Southland National Life'!$B$50:$F$50</definedName>
    <definedName name="TX_FINANCIAL" localSheetId="87">'Standard Life IN'!$B$50:$F$50</definedName>
    <definedName name="TX_FINANCIAL" localSheetId="88">'States General'!$B$50:$F$50</definedName>
    <definedName name="TX_FINANCIAL" localSheetId="89">Statesman!$B$50:$F$50</definedName>
    <definedName name="TX_FINANCIAL" localSheetId="90">'Summit National'!$B$50:$F$50</definedName>
    <definedName name="TX_FINANCIAL" localSheetId="91">Supreme!$B$50:$F$50</definedName>
    <definedName name="TX_FINANCIAL" localSheetId="92">Time!$B$50:$F$50</definedName>
    <definedName name="TX_FINANCIAL" localSheetId="106">'Total Summary'!$B$50:$F$50</definedName>
    <definedName name="TX_FINANCIAL" localSheetId="93">Underwriters!$B$50:$F$50</definedName>
    <definedName name="TX_FINANCIAL" localSheetId="94">Unison!$B$50:$F$50</definedName>
    <definedName name="TX_FINANCIAL" localSheetId="95">'United Republic'!$B$50:$F$50</definedName>
    <definedName name="TX_FINANCIAL" localSheetId="96">'Universal Health Care'!$B$50:$F$50</definedName>
    <definedName name="TX_FINANCIAL" localSheetId="97">'Universal Life'!$B$50:$F$50</definedName>
    <definedName name="TX_FINANCIAL" localSheetId="98">Universe!$B$50:$F$50</definedName>
    <definedName name="TX_FINANCIAL" localSheetId="99">Villanova!$B$50:$F$50</definedName>
    <definedName name="UNALLOC_CALLED" localSheetId="0">'Alabama Life'!$U$6:$U$58</definedName>
    <definedName name="UNALLOC_CALLED" localSheetId="5">'Amer Life Asr'!$U$6:$U$58</definedName>
    <definedName name="UNALLOC_CALLED" localSheetId="8">'Amer Std Life Acc'!$U$6:$U$58</definedName>
    <definedName name="UNALLOC_CALLED" localSheetId="1">'American Chambers'!$U$6:$U$58</definedName>
    <definedName name="UNALLOC_CALLED" localSheetId="2">'American Community'!$U$6:$U$58</definedName>
    <definedName name="UNALLOC_CALLED" localSheetId="3">'American Educators'!$U$6:$U$58</definedName>
    <definedName name="UNALLOC_CALLED" localSheetId="4">'American Integrity'!$U$6:$U$58</definedName>
    <definedName name="UNALLOC_CALLED" localSheetId="6">'American Medical'!$U$6:$U$58</definedName>
    <definedName name="UNALLOC_CALLED" localSheetId="7">'American Network'!$U$6:$U$58</definedName>
    <definedName name="UNALLOC_CALLED" localSheetId="9">AmerWstrn!$U$6:$U$58</definedName>
    <definedName name="UNALLOC_CALLED" localSheetId="10">'AMS Life'!$U$6:$U$58</definedName>
    <definedName name="UNALLOC_CALLED" localSheetId="11">'Andrew Jackson'!$U$6:$U$58</definedName>
    <definedName name="UNALLOC_CALLED" localSheetId="12">'Bankers Commercial'!$U$6:$U$58</definedName>
    <definedName name="UNALLOC_CALLED" localSheetId="13">'Bankers Life'!$U$6:$U$58</definedName>
    <definedName name="UNALLOC_CALLED" localSheetId="14">Benicorp!$U$6:$U$58</definedName>
    <definedName name="UNALLOC_CALLED" localSheetId="15">'Booker T Washington'!$U$6:$U$58</definedName>
    <definedName name="UNALLOC_CALLED" localSheetId="16">Centennial!$U$6:$U$58</definedName>
    <definedName name="UNALLOC_CALLED" localSheetId="18">'CO Bankers'!$U$6:$U$58</definedName>
    <definedName name="UNALLOC_CALLED" localSheetId="17">'Coastal States'!$U$6:$U$58</definedName>
    <definedName name="UNALLOC_CALLED" localSheetId="19">'Colorado Health'!$U$6:$U$58</definedName>
    <definedName name="UNALLOC_CALLED" localSheetId="20">'Compass (dbs Meritus)'!$U$6:$U$58</definedName>
    <definedName name="UNALLOC_CALLED" localSheetId="21">'Confed Life &amp; Annty (CLIAC)'!$U$6:$U$58</definedName>
    <definedName name="UNALLOC_CALLED" localSheetId="22">'Confed Life (CLIC)'!$U$6:$U$58</definedName>
    <definedName name="UNALLOC_CALLED" localSheetId="23">'Consolidated National'!$U$6:$U$58</definedName>
    <definedName name="UNALLOC_CALLED" localSheetId="24">'Consumers Choice'!$U$6:$U$58</definedName>
    <definedName name="UNALLOC_CALLED" localSheetId="25">'Consumers Mutual'!$U$6:$U$58</definedName>
    <definedName name="UNALLOC_CALLED" localSheetId="26">'Consumers United'!$U$6:$U$58</definedName>
    <definedName name="UNALLOC_CALLED" localSheetId="27">CoOportunity!$U$6:$U$58</definedName>
    <definedName name="UNALLOC_CALLED" localSheetId="28">'Coordinated Hlth'!$U$6:$U$58</definedName>
    <definedName name="UNALLOC_CALLED" localSheetId="29">'Corporate Life'!$U$6:$U$58</definedName>
    <definedName name="UNALLOC_CALLED" localSheetId="30">'Diamond Benefits'!$U$6:$U$58</definedName>
    <definedName name="UNALLOC_CALLED" localSheetId="31">'EBL Life'!$U$6:$U$58</definedName>
    <definedName name="UNALLOC_CALLED" localSheetId="33">ELNY!$U$6:$U$58</definedName>
    <definedName name="UNALLOC_CALLED" localSheetId="32">'Executive Life'!$U$6:$U$58</definedName>
    <definedName name="UNALLOC_CALLED" localSheetId="34">'Family Guaranty'!$U$6:$U$58</definedName>
    <definedName name="UNALLOC_CALLED" localSheetId="35">'Farmers &amp; Ranchers'!$U$6:$U$58</definedName>
    <definedName name="UNALLOC_CALLED" localSheetId="36">'Fidelity Bankers'!$U$6:$U$58</definedName>
    <definedName name="UNALLOC_CALLED" localSheetId="37">'Fidelity Mutual'!$U$6:$U$58</definedName>
    <definedName name="UNALLOC_CALLED" localSheetId="38">'First Capital'!$U$6:$U$58</definedName>
    <definedName name="UNALLOC_CALLED" localSheetId="39">'First Natl'!$U$6:$U$58</definedName>
    <definedName name="UNALLOC_CALLED" localSheetId="40">'First Natl (Thrnr)'!$U$6:$U$58</definedName>
    <definedName name="UNALLOC_CALLED" localSheetId="41">'Franklin American'!$U$6:$U$58</definedName>
    <definedName name="UNALLOC_CALLED" localSheetId="42">'Franklin Protective'!$U$6:$U$58</definedName>
    <definedName name="UNALLOC_CALLED" localSheetId="43">'Freelancers CO-OP'!$U$6:$U$58</definedName>
    <definedName name="UNALLOC_CALLED" localSheetId="44">Freestone!$U$6:$U$58</definedName>
    <definedName name="UNALLOC_CALLED" localSheetId="45">'George Washington'!$U$6:$U$58</definedName>
    <definedName name="UNALLOC_CALLED" localSheetId="46">'Golden State'!$U$6:$U$58</definedName>
    <definedName name="UNALLOC_CALLED" localSheetId="47">'Guarantee Security'!$U$6:$U$58</definedName>
    <definedName name="UNALLOC_CALLED" localSheetId="48">HealthyCT!$U$6:$U$58</definedName>
    <definedName name="UNALLOC_CALLED" localSheetId="49">Imerica!$U$6:$U$58</definedName>
    <definedName name="UNALLOC_CALLED" localSheetId="50">'Inter-American'!$U$6:$U$58</definedName>
    <definedName name="UNALLOC_CALLED" localSheetId="51">'International Fin'!$U$6:$U$58</definedName>
    <definedName name="UNALLOC_CALLED" localSheetId="52">'Investment Life of America'!$U$6:$U$58</definedName>
    <definedName name="UNALLOC_CALLED" localSheetId="53">'Investors Equity'!$U$6:$U$58</definedName>
    <definedName name="UNALLOC_CALLED" localSheetId="54">'Kentucky Central'!$U$6:$U$58</definedName>
    <definedName name="UNALLOC_CALLED" localSheetId="55">'Land of Lincoln'!$U$6:$U$58</definedName>
    <definedName name="UNALLOC_CALLED" localSheetId="56">Legion!$U$6:$U$58</definedName>
    <definedName name="UNALLOC_CALLED" localSheetId="57">'Life Health America'!$U$6:$U$58</definedName>
    <definedName name="UNALLOC_CALLED" localSheetId="58">'Lincoln Memorial'!$U$6:$U$58</definedName>
    <definedName name="UNALLOC_CALLED" localSheetId="59">'London Pac'!$U$6:$U$58</definedName>
    <definedName name="UNALLOC_CALLED" localSheetId="60">Lumbermens!$U$6:$U$58</definedName>
    <definedName name="UNALLOC_CALLED" localSheetId="61">'Medical Savings'!$U$6:$U$58</definedName>
    <definedName name="UNALLOC_CALLED" localSheetId="62">'Memorial Service'!$U$6:$U$58</definedName>
    <definedName name="UNALLOC_CALLED" localSheetId="63">Midcontinent!$U$6:$U$58</definedName>
    <definedName name="UNALLOC_CALLED" localSheetId="64">'Midwest Life'!$U$6:$U$58</definedName>
    <definedName name="UNALLOC_CALLED" localSheetId="65">'Monarch Life'!$U$6:$U$58</definedName>
    <definedName name="UNALLOC_CALLED" localSheetId="66">'Mutual Benefit'!$U$6:$U$58</definedName>
    <definedName name="UNALLOC_CALLED" localSheetId="67">'Mutual Security'!$U$6:$U$58</definedName>
    <definedName name="UNALLOC_CALLED" localSheetId="68">'National Affiliated'!$U$6:$U$58</definedName>
    <definedName name="UNALLOC_CALLED" localSheetId="70">'National Heritage'!$U$6:$U$58</definedName>
    <definedName name="UNALLOC_CALLED" localSheetId="71">'National States'!$U$6:$U$58</definedName>
    <definedName name="UNALLOC_CALLED" localSheetId="69">'Natl American'!$U$6:$U$58</definedName>
    <definedName name="UNALLOC_CALLED" localSheetId="72">'New Jersey Life'!$U$6:$U$58</definedName>
    <definedName name="UNALLOC_CALLED" localSheetId="74">NNIC!$U$6:$U$58</definedName>
    <definedName name="UNALLOC_CALLED" localSheetId="73">'North Carolina Mutual'!$U$6:$U$58</definedName>
    <definedName name="UNALLOC_CALLED" localSheetId="75">'Old Colony Life'!$U$6:$U$58</definedName>
    <definedName name="UNALLOC_CALLED" localSheetId="76">'Old Faithful'!$U$6:$U$58</definedName>
    <definedName name="UNALLOC_CALLED" localSheetId="77">'Pacific Standard'!$U$6:$U$58</definedName>
    <definedName name="UNALLOC_CALLED" localSheetId="78">'Pavonia Life'!$U$6:$U$58</definedName>
    <definedName name="UNALLOC_CALLED" localSheetId="79">'Pen  Treaty'!$U$6:$U$58</definedName>
    <definedName name="UNALLOC_CALLED" localSheetId="80">'Red Rock'!$U$6:$U$58</definedName>
    <definedName name="UNALLOC_CALLED" localSheetId="81">Reliance!$U$6:$U$58</definedName>
    <definedName name="UNALLOC_CALLED" localSheetId="82">SeeChange!$U$6:$U$58</definedName>
    <definedName name="UNALLOC_CALLED" localSheetId="83">'Senior American'!$U$6:$U$58</definedName>
    <definedName name="UNALLOC_CALLED" localSheetId="84">Settlers!$U$6:$U$58</definedName>
    <definedName name="UNALLOC_CALLED" localSheetId="85">Shenandoah!$U$6:$U$58</definedName>
    <definedName name="UNALLOC_CALLED" localSheetId="86">'Southland National Life'!$U$6:$U$58</definedName>
    <definedName name="UNALLOC_CALLED" localSheetId="87">'Standard Life IN'!$U$6:$U$58</definedName>
    <definedName name="UNALLOC_CALLED" localSheetId="88">'States General'!$U$6:$U$58</definedName>
    <definedName name="UNALLOC_CALLED" localSheetId="89">Statesman!$U$6:$U$58</definedName>
    <definedName name="UNALLOC_CALLED" localSheetId="90">'Summit National'!$U$6:$U$58</definedName>
    <definedName name="UNALLOC_CALLED" localSheetId="91">Supreme!$U$6:$U$58</definedName>
    <definedName name="UNALLOC_CALLED" localSheetId="92">Time!$U$6:$U$58</definedName>
    <definedName name="UNALLOC_CALLED" localSheetId="106">'Total Summary'!$R$6:$R$59</definedName>
    <definedName name="UNALLOC_CALLED" localSheetId="93">Underwriters!$U$6:$U$58</definedName>
    <definedName name="UNALLOC_CALLED" localSheetId="94">Unison!$U$6:$U$58</definedName>
    <definedName name="UNALLOC_CALLED" localSheetId="95">'United Republic'!$U$6:$U$58</definedName>
    <definedName name="UNALLOC_CALLED" localSheetId="96">'Universal Health Care'!$U$6:$U$58</definedName>
    <definedName name="UNALLOC_CALLED" localSheetId="97">'Universal Life'!$U$6:$U$58</definedName>
    <definedName name="UNALLOC_CALLED" localSheetId="98">Universe!$U$6:$U$58</definedName>
    <definedName name="UNALLOC_CALLED" localSheetId="99">Villanova!$U$6:$U$58</definedName>
    <definedName name="UNALLOC_REFUNDED" localSheetId="0">'Alabama Life'!$V$6:$V$58</definedName>
    <definedName name="UNALLOC_REFUNDED" localSheetId="5">'Amer Life Asr'!$V$6:$V$58</definedName>
    <definedName name="UNALLOC_REFUNDED" localSheetId="8">'Amer Std Life Acc'!$V$6:$V$58</definedName>
    <definedName name="UNALLOC_REFUNDED" localSheetId="1">'American Chambers'!$V$6:$V$58</definedName>
    <definedName name="UNALLOC_REFUNDED" localSheetId="2">'American Community'!$V$6:$V$58</definedName>
    <definedName name="UNALLOC_REFUNDED" localSheetId="3">'American Educators'!$V$6:$V$58</definedName>
    <definedName name="UNALLOC_REFUNDED" localSheetId="4">'American Integrity'!$V$6:$V$58</definedName>
    <definedName name="UNALLOC_REFUNDED" localSheetId="6">'American Medical'!$V$6:$V$58</definedName>
    <definedName name="UNALLOC_REFUNDED" localSheetId="7">'American Network'!$V$6:$V$58</definedName>
    <definedName name="UNALLOC_REFUNDED" localSheetId="9">AmerWstrn!$V$6:$V$58</definedName>
    <definedName name="UNALLOC_REFUNDED" localSheetId="10">'AMS Life'!$V$6:$V$58</definedName>
    <definedName name="UNALLOC_REFUNDED" localSheetId="11">'Andrew Jackson'!$V$6:$V$58</definedName>
    <definedName name="UNALLOC_REFUNDED" localSheetId="12">'Bankers Commercial'!$V$6:$V$58</definedName>
    <definedName name="UNALLOC_REFUNDED" localSheetId="13">'Bankers Life'!$V$6:$V$58</definedName>
    <definedName name="UNALLOC_REFUNDED" localSheetId="14">Benicorp!$V$6:$V$58</definedName>
    <definedName name="UNALLOC_REFUNDED" localSheetId="15">'Booker T Washington'!$V$6:$V$58</definedName>
    <definedName name="UNALLOC_REFUNDED" localSheetId="16">Centennial!$V$6:$V$58</definedName>
    <definedName name="UNALLOC_REFUNDED" localSheetId="18">'CO Bankers'!$V$6:$V$58</definedName>
    <definedName name="UNALLOC_REFUNDED" localSheetId="17">'Coastal States'!$V$6:$V$58</definedName>
    <definedName name="UNALLOC_REFUNDED" localSheetId="19">'Colorado Health'!$V$6:$V$58</definedName>
    <definedName name="UNALLOC_REFUNDED" localSheetId="20">'Compass (dbs Meritus)'!$V$6:$V$58</definedName>
    <definedName name="UNALLOC_REFUNDED" localSheetId="21">'Confed Life &amp; Annty (CLIAC)'!$V$6:$V$58</definedName>
    <definedName name="UNALLOC_REFUNDED" localSheetId="22">'Confed Life (CLIC)'!$V$6:$V$58</definedName>
    <definedName name="UNALLOC_REFUNDED" localSheetId="23">'Consolidated National'!$V$6:$V$58</definedName>
    <definedName name="UNALLOC_REFUNDED" localSheetId="24">'Consumers Choice'!$V$6:$V$58</definedName>
    <definedName name="UNALLOC_REFUNDED" localSheetId="25">'Consumers Mutual'!$V$6:$V$58</definedName>
    <definedName name="UNALLOC_REFUNDED" localSheetId="26">'Consumers United'!$V$6:$V$58</definedName>
    <definedName name="UNALLOC_REFUNDED" localSheetId="27">CoOportunity!$V$6:$V$58</definedName>
    <definedName name="UNALLOC_REFUNDED" localSheetId="28">'Coordinated Hlth'!$V$6:$V$58</definedName>
    <definedName name="UNALLOC_REFUNDED" localSheetId="29">'Corporate Life'!$V$6:$V$58</definedName>
    <definedName name="UNALLOC_REFUNDED" localSheetId="30">'Diamond Benefits'!$V$6:$V$58</definedName>
    <definedName name="UNALLOC_REFUNDED" localSheetId="31">'EBL Life'!$V$6:$V$58</definedName>
    <definedName name="UNALLOC_REFUNDED" localSheetId="33">ELNY!$V$6:$V$58</definedName>
    <definedName name="UNALLOC_REFUNDED" localSheetId="32">'Executive Life'!$V$6:$V$58</definedName>
    <definedName name="UNALLOC_REFUNDED" localSheetId="34">'Family Guaranty'!$V$6:$V$58</definedName>
    <definedName name="UNALLOC_REFUNDED" localSheetId="35">'Farmers &amp; Ranchers'!$V$6:$V$58</definedName>
    <definedName name="UNALLOC_REFUNDED" localSheetId="36">'Fidelity Bankers'!$V$6:$V$58</definedName>
    <definedName name="UNALLOC_REFUNDED" localSheetId="37">'Fidelity Mutual'!$V$6:$V$58</definedName>
    <definedName name="UNALLOC_REFUNDED" localSheetId="38">'First Capital'!$V$6:$V$58</definedName>
    <definedName name="UNALLOC_REFUNDED" localSheetId="39">'First Natl'!$V$6:$V$58</definedName>
    <definedName name="UNALLOC_REFUNDED" localSheetId="40">'First Natl (Thrnr)'!$V$6:$V$58</definedName>
    <definedName name="UNALLOC_REFUNDED" localSheetId="41">'Franklin American'!$V$6:$V$58</definedName>
    <definedName name="UNALLOC_REFUNDED" localSheetId="42">'Franklin Protective'!$V$6:$V$58</definedName>
    <definedName name="UNALLOC_REFUNDED" localSheetId="43">'Freelancers CO-OP'!$V$6:$V$58</definedName>
    <definedName name="UNALLOC_REFUNDED" localSheetId="44">Freestone!$V$6:$V$58</definedName>
    <definedName name="UNALLOC_REFUNDED" localSheetId="45">'George Washington'!$V$6:$V$58</definedName>
    <definedName name="UNALLOC_REFUNDED" localSheetId="46">'Golden State'!$V$6:$V$58</definedName>
    <definedName name="UNALLOC_REFUNDED" localSheetId="47">'Guarantee Security'!$V$6:$V$58</definedName>
    <definedName name="UNALLOC_REFUNDED" localSheetId="48">HealthyCT!$V$6:$V$58</definedName>
    <definedName name="UNALLOC_REFUNDED" localSheetId="49">Imerica!$V$6:$V$58</definedName>
    <definedName name="UNALLOC_REFUNDED" localSheetId="50">'Inter-American'!$V$6:$V$58</definedName>
    <definedName name="UNALLOC_REFUNDED" localSheetId="51">'International Fin'!$V$6:$V$58</definedName>
    <definedName name="UNALLOC_REFUNDED" localSheetId="52">'Investment Life of America'!$V$6:$V$58</definedName>
    <definedName name="UNALLOC_REFUNDED" localSheetId="53">'Investors Equity'!$V$6:$V$58</definedName>
    <definedName name="UNALLOC_REFUNDED" localSheetId="54">'Kentucky Central'!$V$6:$V$58</definedName>
    <definedName name="UNALLOC_REFUNDED" localSheetId="55">'Land of Lincoln'!$V$6:$V$58</definedName>
    <definedName name="UNALLOC_REFUNDED" localSheetId="56">Legion!$V$6:$V$58</definedName>
    <definedName name="UNALLOC_REFUNDED" localSheetId="57">'Life Health America'!$V$6:$V$58</definedName>
    <definedName name="UNALLOC_REFUNDED" localSheetId="58">'Lincoln Memorial'!$V$6:$V$58</definedName>
    <definedName name="UNALLOC_REFUNDED" localSheetId="59">'London Pac'!$V$6:$V$58</definedName>
    <definedName name="UNALLOC_REFUNDED" localSheetId="60">Lumbermens!$V$6:$V$58</definedName>
    <definedName name="UNALLOC_REFUNDED" localSheetId="61">'Medical Savings'!$V$6:$V$58</definedName>
    <definedName name="UNALLOC_REFUNDED" localSheetId="62">'Memorial Service'!$V$6:$V$58</definedName>
    <definedName name="UNALLOC_REFUNDED" localSheetId="63">Midcontinent!$V$6:$V$58</definedName>
    <definedName name="UNALLOC_REFUNDED" localSheetId="64">'Midwest Life'!$V$6:$V$58</definedName>
    <definedName name="UNALLOC_REFUNDED" localSheetId="65">'Monarch Life'!$V$6:$V$58</definedName>
    <definedName name="UNALLOC_REFUNDED" localSheetId="66">'Mutual Benefit'!$V$6:$V$58</definedName>
    <definedName name="UNALLOC_REFUNDED" localSheetId="67">'Mutual Security'!$V$6:$V$58</definedName>
    <definedName name="UNALLOC_REFUNDED" localSheetId="68">'National Affiliated'!$V$6:$V$58</definedName>
    <definedName name="UNALLOC_REFUNDED" localSheetId="70">'National Heritage'!$V$6:$V$58</definedName>
    <definedName name="UNALLOC_REFUNDED" localSheetId="71">'National States'!$V$6:$V$58</definedName>
    <definedName name="UNALLOC_REFUNDED" localSheetId="69">'Natl American'!$V$6:$V$58</definedName>
    <definedName name="UNALLOC_REFUNDED" localSheetId="72">'New Jersey Life'!$V$6:$V$58</definedName>
    <definedName name="UNALLOC_REFUNDED" localSheetId="74">NNIC!$V$6:$V$58</definedName>
    <definedName name="UNALLOC_REFUNDED" localSheetId="73">'North Carolina Mutual'!$V$6:$V$58</definedName>
    <definedName name="UNALLOC_REFUNDED" localSheetId="75">'Old Colony Life'!$V$6:$V$58</definedName>
    <definedName name="UNALLOC_REFUNDED" localSheetId="76">'Old Faithful'!$V$6:$V$58</definedName>
    <definedName name="UNALLOC_REFUNDED" localSheetId="77">'Pacific Standard'!$V$6:$V$58</definedName>
    <definedName name="UNALLOC_REFUNDED" localSheetId="78">'Pavonia Life'!$V$6:$V$58</definedName>
    <definedName name="UNALLOC_REFUNDED" localSheetId="79">'Pen  Treaty'!$V$6:$V$58</definedName>
    <definedName name="UNALLOC_REFUNDED" localSheetId="80">'Red Rock'!$V$6:$V$58</definedName>
    <definedName name="UNALLOC_REFUNDED" localSheetId="81">Reliance!$V$6:$V$58</definedName>
    <definedName name="UNALLOC_REFUNDED" localSheetId="82">SeeChange!$V$6:$V$58</definedName>
    <definedName name="UNALLOC_REFUNDED" localSheetId="83">'Senior American'!$V$6:$V$58</definedName>
    <definedName name="UNALLOC_REFUNDED" localSheetId="84">Settlers!$V$6:$V$58</definedName>
    <definedName name="UNALLOC_REFUNDED" localSheetId="85">Shenandoah!$V$6:$V$58</definedName>
    <definedName name="UNALLOC_REFUNDED" localSheetId="86">'Southland National Life'!$V$6:$V$58</definedName>
    <definedName name="UNALLOC_REFUNDED" localSheetId="87">'Standard Life IN'!$V$6:$V$58</definedName>
    <definedName name="UNALLOC_REFUNDED" localSheetId="88">'States General'!$V$6:$V$58</definedName>
    <definedName name="UNALLOC_REFUNDED" localSheetId="89">Statesman!$V$6:$V$58</definedName>
    <definedName name="UNALLOC_REFUNDED" localSheetId="90">'Summit National'!$V$6:$V$58</definedName>
    <definedName name="UNALLOC_REFUNDED" localSheetId="91">Supreme!$V$6:$V$58</definedName>
    <definedName name="UNALLOC_REFUNDED" localSheetId="92">Time!$V$6:$V$58</definedName>
    <definedName name="UNALLOC_REFUNDED" localSheetId="106">'Total Summary'!$S$6:$S$59</definedName>
    <definedName name="UNALLOC_REFUNDED" localSheetId="93">Underwriters!$V$6:$V$58</definedName>
    <definedName name="UNALLOC_REFUNDED" localSheetId="94">Unison!$V$6:$V$58</definedName>
    <definedName name="UNALLOC_REFUNDED" localSheetId="95">'United Republic'!$V$6:$V$58</definedName>
    <definedName name="UNALLOC_REFUNDED" localSheetId="96">'Universal Health Care'!$V$6:$V$58</definedName>
    <definedName name="UNALLOC_REFUNDED" localSheetId="97">'Universal Life'!$V$6:$V$58</definedName>
    <definedName name="UNALLOC_REFUNDED" localSheetId="98">Universe!$V$6:$V$58</definedName>
    <definedName name="UNALLOC_REFUNDED" localSheetId="99">Villanova!$V$6:$V$58</definedName>
    <definedName name="UNALLOCATED" localSheetId="0">'Alabama Life'!$E$6:$E$59</definedName>
    <definedName name="UNALLOCATED" localSheetId="5">'Amer Life Asr'!$E$6:$E$59</definedName>
    <definedName name="UNALLOCATED" localSheetId="8">'Amer Std Life Acc'!$E$6:$E$59</definedName>
    <definedName name="UNALLOCATED" localSheetId="1">'American Chambers'!$E$6:$E$59</definedName>
    <definedName name="UNALLOCATED" localSheetId="2">'American Community'!$E$6:$E$59</definedName>
    <definedName name="UNALLOCATED" localSheetId="3">'American Educators'!$E$6:$E$59</definedName>
    <definedName name="UNALLOCATED" localSheetId="4">'American Integrity'!$E$6:$E$59</definedName>
    <definedName name="UNALLOCATED" localSheetId="6">'American Medical'!$E$6:$E$59</definedName>
    <definedName name="UNALLOCATED" localSheetId="7">'American Network'!$E$6:$E$59</definedName>
    <definedName name="UNALLOCATED" localSheetId="9">AmerWstrn!$E$6:$E$59</definedName>
    <definedName name="UNALLOCATED" localSheetId="10">'AMS Life'!$E$6:$E$59</definedName>
    <definedName name="UNALLOCATED" localSheetId="11">'Andrew Jackson'!$E$6:$E$59</definedName>
    <definedName name="UNALLOCATED" localSheetId="12">'Bankers Commercial'!$E$6:$E$59</definedName>
    <definedName name="UNALLOCATED" localSheetId="13">'Bankers Life'!$E$6:$E$59</definedName>
    <definedName name="UNALLOCATED" localSheetId="14">Benicorp!$E$6:$E$59</definedName>
    <definedName name="UNALLOCATED" localSheetId="15">'Booker T Washington'!$E$6:$E$59</definedName>
    <definedName name="UNALLOCATED" localSheetId="16">Centennial!$E$6:$E$59</definedName>
    <definedName name="UNALLOCATED" localSheetId="103">'Closed Summary'!$E$6:$E$58</definedName>
    <definedName name="UNALLOCATED" localSheetId="18">'CO Bankers'!$E$6:$E$59</definedName>
    <definedName name="UNALLOCATED" localSheetId="17">'Coastal States'!$E$6:$E$59</definedName>
    <definedName name="UNALLOCATED" localSheetId="19">'Colorado Health'!$E$6:$E$59</definedName>
    <definedName name="UNALLOCATED" localSheetId="20">'Compass (dbs Meritus)'!$E$6:$E$59</definedName>
    <definedName name="UNALLOCATED" localSheetId="21">'Confed Life &amp; Annty (CLIAC)'!$E$6:$E$59</definedName>
    <definedName name="UNALLOCATED" localSheetId="22">'Confed Life (CLIC)'!$E$6:$E$59</definedName>
    <definedName name="UNALLOCATED" localSheetId="23">'Consolidated National'!$E$6:$E$59</definedName>
    <definedName name="UNALLOCATED" localSheetId="24">'Consumers Choice'!$E$6:$E$59</definedName>
    <definedName name="UNALLOCATED" localSheetId="25">'Consumers Mutual'!$E$6:$E$59</definedName>
    <definedName name="UNALLOCATED" localSheetId="26">'Consumers United'!$E$6:$E$59</definedName>
    <definedName name="UNALLOCATED" localSheetId="27">CoOportunity!$E$6:$E$59</definedName>
    <definedName name="UNALLOCATED" localSheetId="28">'Coordinated Hlth'!$E$6:$E$59</definedName>
    <definedName name="UNALLOCATED" localSheetId="29">'Corporate Life'!$E$6:$E$59</definedName>
    <definedName name="UNALLOCATED" localSheetId="30">'Diamond Benefits'!$E$6:$E$59</definedName>
    <definedName name="UNALLOCATED" localSheetId="31">'EBL Life'!$E$6:$E$59</definedName>
    <definedName name="UNALLOCATED" localSheetId="33">ELNY!$E$6:$E$59</definedName>
    <definedName name="UNALLOCATED" localSheetId="104">'Estate Closed Summary'!$E$6:$E$58</definedName>
    <definedName name="UNALLOCATED" localSheetId="32">'Executive Life'!$E$6:$E$59</definedName>
    <definedName name="UNALLOCATED" localSheetId="34">'Family Guaranty'!$E$6:$E$59</definedName>
    <definedName name="UNALLOCATED" localSheetId="35">'Farmers &amp; Ranchers'!$E$6:$E$59</definedName>
    <definedName name="UNALLOCATED" localSheetId="36">'Fidelity Bankers'!$E$6:$E$59</definedName>
    <definedName name="UNALLOCATED" localSheetId="37">'Fidelity Mutual'!$E$6:$E$59</definedName>
    <definedName name="UNALLOCATED" localSheetId="38">'First Capital'!$E$6:$E$59</definedName>
    <definedName name="UNALLOCATED" localSheetId="39">'First Natl'!$E$6:$E$59</definedName>
    <definedName name="UNALLOCATED" localSheetId="40">'First Natl (Thrnr)'!$E$6:$E$59</definedName>
    <definedName name="UNALLOCATED" localSheetId="41">'Franklin American'!$E$6:$E$59</definedName>
    <definedName name="UNALLOCATED" localSheetId="42">'Franklin Protective'!$E$6:$E$59</definedName>
    <definedName name="UNALLOCATED" localSheetId="43">'Freelancers CO-OP'!$E$6:$E$59</definedName>
    <definedName name="UNALLOCATED" localSheetId="44">Freestone!$E$6:$E$59</definedName>
    <definedName name="UNALLOCATED" localSheetId="45">'George Washington'!$E$6:$E$59</definedName>
    <definedName name="UNALLOCATED" localSheetId="46">'Golden State'!$E$6:$E$59</definedName>
    <definedName name="UNALLOCATED" localSheetId="47">'Guarantee Security'!$E$6:$E$59</definedName>
    <definedName name="UNALLOCATED" localSheetId="48">HealthyCT!$E$6:$E$59</definedName>
    <definedName name="UNALLOCATED" localSheetId="49">Imerica!$E$6:$E$59</definedName>
    <definedName name="UNALLOCATED" localSheetId="50">'Inter-American'!$E$6:$E$59</definedName>
    <definedName name="UNALLOCATED" localSheetId="51">'International Fin'!$E$6:$E$59</definedName>
    <definedName name="UNALLOCATED" localSheetId="52">'Investment Life of America'!$E$6:$E$59</definedName>
    <definedName name="UNALLOCATED" localSheetId="53">'Investors Equity'!$E$6:$E$59</definedName>
    <definedName name="UNALLOCATED" localSheetId="54">'Kentucky Central'!$E$6:$E$59</definedName>
    <definedName name="UNALLOCATED" localSheetId="55">'Land of Lincoln'!$E$6:$E$59</definedName>
    <definedName name="UNALLOCATED" localSheetId="56">Legion!$E$6:$E$59</definedName>
    <definedName name="UNALLOCATED" localSheetId="57">'Life Health America'!$E$6:$E$59</definedName>
    <definedName name="UNALLOCATED" localSheetId="58">'Lincoln Memorial'!$E$6:$E$59</definedName>
    <definedName name="UNALLOCATED" localSheetId="59">'London Pac'!$E$6:$E$59</definedName>
    <definedName name="UNALLOCATED" localSheetId="60">Lumbermens!$E$6:$E$59</definedName>
    <definedName name="UNALLOCATED" localSheetId="61">'Medical Savings'!$E$6:$E$59</definedName>
    <definedName name="UNALLOCATED" localSheetId="62">'Memorial Service'!$E$6:$E$59</definedName>
    <definedName name="UNALLOCATED" localSheetId="63">Midcontinent!$E$6:$E$59</definedName>
    <definedName name="UNALLOCATED" localSheetId="64">'Midwest Life'!$E$6:$E$59</definedName>
    <definedName name="UNALLOCATED" localSheetId="65">'Monarch Life'!$E$6:$E$59</definedName>
    <definedName name="UNALLOCATED" localSheetId="66">'Mutual Benefit'!$E$6:$E$59</definedName>
    <definedName name="UNALLOCATED" localSheetId="67">'Mutual Security'!$E$6:$E$59</definedName>
    <definedName name="UNALLOCATED" localSheetId="68">'National Affiliated'!$E$6:$E$59</definedName>
    <definedName name="UNALLOCATED" localSheetId="70">'National Heritage'!$E$6:$E$59</definedName>
    <definedName name="UNALLOCATED" localSheetId="71">'National States'!$E$6:$E$59</definedName>
    <definedName name="UNALLOCATED" localSheetId="69">'Natl American'!$E$6:$E$59</definedName>
    <definedName name="UNALLOCATED" localSheetId="72">'New Jersey Life'!$E$6:$E$59</definedName>
    <definedName name="UNALLOCATED" localSheetId="74">NNIC!$E$6:$E$59</definedName>
    <definedName name="UNALLOCATED" localSheetId="73">'North Carolina Mutual'!$E$6:$E$59</definedName>
    <definedName name="UNALLOCATED" localSheetId="75">'Old Colony Life'!$E$6:$E$59</definedName>
    <definedName name="UNALLOCATED" localSheetId="76">'Old Faithful'!$E$6:$E$59</definedName>
    <definedName name="UNALLOCATED" localSheetId="102">'Open Summary'!$E$6:$E$58</definedName>
    <definedName name="UNALLOCATED" localSheetId="77">'Pacific Standard'!$E$6:$E$59</definedName>
    <definedName name="UNALLOCATED" localSheetId="78">'Pavonia Life'!$E$6:$E$59</definedName>
    <definedName name="UNALLOCATED" localSheetId="79">'Pen  Treaty'!$E$6:$E$59</definedName>
    <definedName name="UNALLOCATED" localSheetId="101">'Pre-Liquidation Summary'!$E$6:$E$58</definedName>
    <definedName name="UNALLOCATED" localSheetId="80">'Red Rock'!$E$6:$E$59</definedName>
    <definedName name="UNALLOCATED" localSheetId="105">'Released from Oversight Summary'!$E$6:$E$58</definedName>
    <definedName name="UNALLOCATED" localSheetId="81">Reliance!$E$6:$E$59</definedName>
    <definedName name="UNALLOCATED" localSheetId="82">SeeChange!$E$6:$E$59</definedName>
    <definedName name="UNALLOCATED" localSheetId="83">'Senior American'!$E$6:$E$59</definedName>
    <definedName name="UNALLOCATED" localSheetId="84">Settlers!$E$6:$E$59</definedName>
    <definedName name="UNALLOCATED" localSheetId="85">Shenandoah!$E$6:$E$59</definedName>
    <definedName name="UNALLOCATED" localSheetId="86">'Southland National Life'!$E$6:$E$59</definedName>
    <definedName name="UNALLOCATED" localSheetId="87">'Standard Life IN'!$E$6:$E$59</definedName>
    <definedName name="UNALLOCATED" localSheetId="88">'States General'!$E$6:$E$59</definedName>
    <definedName name="UNALLOCATED" localSheetId="89">Statesman!$E$6:$E$59</definedName>
    <definedName name="UNALLOCATED" localSheetId="90">'Summit National'!$E$6:$E$59</definedName>
    <definedName name="UNALLOCATED" localSheetId="91">Supreme!$E$6:$E$59</definedName>
    <definedName name="UNALLOCATED" localSheetId="92">Time!$E$6:$E$59</definedName>
    <definedName name="UNALLOCATED" localSheetId="106">'Total Summary'!$E$6:$E$59</definedName>
    <definedName name="UNALLOCATED" localSheetId="93">Underwriters!$E$6:$E$59</definedName>
    <definedName name="UNALLOCATED" localSheetId="94">Unison!$E$6:$E$59</definedName>
    <definedName name="UNALLOCATED" localSheetId="95">'United Republic'!$E$6:$E$59</definedName>
    <definedName name="UNALLOCATED" localSheetId="96">'Universal Health Care'!$E$6:$E$59</definedName>
    <definedName name="UNALLOCATED" localSheetId="97">'Universal Life'!$E$6:$E$59</definedName>
    <definedName name="UNALLOCATED" localSheetId="98">Universe!$E$6:$E$59</definedName>
    <definedName name="UNALLOCATED" localSheetId="99">Villanova!$E$6:$E$59</definedName>
    <definedName name="UT_FINANCIAL" localSheetId="0">'Alabama Life'!$B$51:$F$51</definedName>
    <definedName name="UT_FINANCIAL" localSheetId="5">'Amer Life Asr'!$B$51:$F$51</definedName>
    <definedName name="UT_FINANCIAL" localSheetId="8">'Amer Std Life Acc'!$B$51:$F$51</definedName>
    <definedName name="UT_FINANCIAL" localSheetId="1">'American Chambers'!$B$51:$F$51</definedName>
    <definedName name="UT_FINANCIAL" localSheetId="2">'American Community'!$B$51:$F$51</definedName>
    <definedName name="UT_FINANCIAL" localSheetId="3">'American Educators'!$B$51:$F$51</definedName>
    <definedName name="UT_FINANCIAL" localSheetId="4">'American Integrity'!$B$51:$F$51</definedName>
    <definedName name="UT_FINANCIAL" localSheetId="6">'American Medical'!$B$51:$F$51</definedName>
    <definedName name="UT_FINANCIAL" localSheetId="7">'American Network'!$B$51:$F$51</definedName>
    <definedName name="UT_FINANCIAL" localSheetId="9">AmerWstrn!$B$51:$F$51</definedName>
    <definedName name="UT_FINANCIAL" localSheetId="10">'AMS Life'!$B$51:$F$51</definedName>
    <definedName name="UT_FINANCIAL" localSheetId="11">'Andrew Jackson'!$B$51:$F$51</definedName>
    <definedName name="UT_FINANCIAL" localSheetId="12">'Bankers Commercial'!$B$51:$F$51</definedName>
    <definedName name="UT_FINANCIAL" localSheetId="13">'Bankers Life'!$B$51:$F$51</definedName>
    <definedName name="UT_FINANCIAL" localSheetId="14">Benicorp!$B$51:$F$51</definedName>
    <definedName name="UT_FINANCIAL" localSheetId="15">'Booker T Washington'!$B$51:$F$51</definedName>
    <definedName name="UT_FINANCIAL" localSheetId="16">Centennial!$B$51:$F$51</definedName>
    <definedName name="UT_FINANCIAL" localSheetId="18">'CO Bankers'!$B$51:$F$51</definedName>
    <definedName name="UT_FINANCIAL" localSheetId="17">'Coastal States'!$B$51:$F$51</definedName>
    <definedName name="UT_FINANCIAL" localSheetId="19">'Colorado Health'!$B$51:$F$51</definedName>
    <definedName name="UT_FINANCIAL" localSheetId="20">'Compass (dbs Meritus)'!$B$51:$F$51</definedName>
    <definedName name="UT_FINANCIAL" localSheetId="21">'Confed Life &amp; Annty (CLIAC)'!$B$51:$F$51</definedName>
    <definedName name="UT_FINANCIAL" localSheetId="22">'Confed Life (CLIC)'!$B$51:$F$51</definedName>
    <definedName name="UT_FINANCIAL" localSheetId="23">'Consolidated National'!$B$51:$F$51</definedName>
    <definedName name="UT_FINANCIAL" localSheetId="24">'Consumers Choice'!$B$51:$F$51</definedName>
    <definedName name="UT_FINANCIAL" localSheetId="25">'Consumers Mutual'!$B$51:$F$51</definedName>
    <definedName name="UT_FINANCIAL" localSheetId="26">'Consumers United'!$B$51:$F$51</definedName>
    <definedName name="UT_FINANCIAL" localSheetId="27">CoOportunity!$B$51:$F$51</definedName>
    <definedName name="UT_FINANCIAL" localSheetId="28">'Coordinated Hlth'!$B$51:$F$51</definedName>
    <definedName name="UT_FINANCIAL" localSheetId="29">'Corporate Life'!$B$51:$F$51</definedName>
    <definedName name="UT_FINANCIAL" localSheetId="30">'Diamond Benefits'!$B$51:$F$51</definedName>
    <definedName name="UT_FINANCIAL" localSheetId="31">'EBL Life'!$B$51:$F$51</definedName>
    <definedName name="UT_FINANCIAL" localSheetId="33">ELNY!$B$51:$F$51</definedName>
    <definedName name="UT_FINANCIAL" localSheetId="32">'Executive Life'!$B$51:$F$51</definedName>
    <definedName name="UT_FINANCIAL" localSheetId="34">'Family Guaranty'!$B$51:$F$51</definedName>
    <definedName name="UT_FINANCIAL" localSheetId="35">'Farmers &amp; Ranchers'!$B$51:$F$51</definedName>
    <definedName name="UT_FINANCIAL" localSheetId="36">'Fidelity Bankers'!$B$51:$F$51</definedName>
    <definedName name="UT_FINANCIAL" localSheetId="37">'Fidelity Mutual'!$B$51:$F$51</definedName>
    <definedName name="UT_FINANCIAL" localSheetId="38">'First Capital'!$B$51:$F$51</definedName>
    <definedName name="UT_FINANCIAL" localSheetId="39">'First Natl'!$B$51:$F$51</definedName>
    <definedName name="UT_FINANCIAL" localSheetId="40">'First Natl (Thrnr)'!$B$51:$F$51</definedName>
    <definedName name="UT_FINANCIAL" localSheetId="41">'Franklin American'!$B$51:$F$51</definedName>
    <definedName name="UT_FINANCIAL" localSheetId="42">'Franklin Protective'!$B$51:$F$51</definedName>
    <definedName name="UT_FINANCIAL" localSheetId="43">'Freelancers CO-OP'!$B$51:$F$51</definedName>
    <definedName name="UT_FINANCIAL" localSheetId="44">Freestone!$B$51:$F$51</definedName>
    <definedName name="UT_FINANCIAL" localSheetId="45">'George Washington'!$B$51:$F$51</definedName>
    <definedName name="UT_FINANCIAL" localSheetId="46">'Golden State'!$B$51:$F$51</definedName>
    <definedName name="UT_FINANCIAL" localSheetId="47">'Guarantee Security'!$B$51:$F$51</definedName>
    <definedName name="UT_FINANCIAL" localSheetId="48">HealthyCT!$B$51:$F$51</definedName>
    <definedName name="UT_FINANCIAL" localSheetId="49">Imerica!$B$51:$F$51</definedName>
    <definedName name="UT_FINANCIAL" localSheetId="50">'Inter-American'!$B$51:$F$51</definedName>
    <definedName name="UT_FINANCIAL" localSheetId="51">'International Fin'!$B$51:$F$51</definedName>
    <definedName name="UT_FINANCIAL" localSheetId="52">'Investment Life of America'!$B$51:$F$51</definedName>
    <definedName name="UT_FINANCIAL" localSheetId="53">'Investors Equity'!$B$51:$F$51</definedName>
    <definedName name="UT_FINANCIAL" localSheetId="54">'Kentucky Central'!$B$51:$F$51</definedName>
    <definedName name="UT_FINANCIAL" localSheetId="55">'Land of Lincoln'!$B$51:$F$51</definedName>
    <definedName name="UT_FINANCIAL" localSheetId="56">Legion!$B$51:$F$51</definedName>
    <definedName name="UT_FINANCIAL" localSheetId="57">'Life Health America'!$B$51:$F$51</definedName>
    <definedName name="UT_FINANCIAL" localSheetId="58">'Lincoln Memorial'!$B$51:$F$51</definedName>
    <definedName name="UT_FINANCIAL" localSheetId="59">'London Pac'!$B$51:$F$51</definedName>
    <definedName name="UT_FINANCIAL" localSheetId="60">Lumbermens!$B$51:$F$51</definedName>
    <definedName name="UT_FINANCIAL" localSheetId="61">'Medical Savings'!$B$51:$F$51</definedName>
    <definedName name="UT_FINANCIAL" localSheetId="62">'Memorial Service'!$B$51:$F$51</definedName>
    <definedName name="UT_FINANCIAL" localSheetId="63">Midcontinent!$B$51:$F$51</definedName>
    <definedName name="UT_FINANCIAL" localSheetId="64">'Midwest Life'!$B$51:$F$51</definedName>
    <definedName name="UT_FINANCIAL" localSheetId="65">'Monarch Life'!$B$51:$F$51</definedName>
    <definedName name="UT_FINANCIAL" localSheetId="66">'Mutual Benefit'!$B$51:$F$51</definedName>
    <definedName name="UT_FINANCIAL" localSheetId="67">'Mutual Security'!$B$51:$F$51</definedName>
    <definedName name="UT_FINANCIAL" localSheetId="68">'National Affiliated'!$B$51:$F$51</definedName>
    <definedName name="UT_FINANCIAL" localSheetId="70">'National Heritage'!$B$51:$F$51</definedName>
    <definedName name="UT_FINANCIAL" localSheetId="71">'National States'!$B$51:$F$51</definedName>
    <definedName name="UT_FINANCIAL" localSheetId="69">'Natl American'!$B$51:$F$51</definedName>
    <definedName name="UT_FINANCIAL" localSheetId="72">'New Jersey Life'!$B$51:$F$51</definedName>
    <definedName name="UT_FINANCIAL" localSheetId="74">NNIC!$B$51:$F$51</definedName>
    <definedName name="UT_FINANCIAL" localSheetId="73">'North Carolina Mutual'!$B$51:$F$51</definedName>
    <definedName name="UT_FINANCIAL" localSheetId="75">'Old Colony Life'!$B$51:$F$51</definedName>
    <definedName name="UT_FINANCIAL" localSheetId="76">'Old Faithful'!$B$51:$F$51</definedName>
    <definedName name="UT_FINANCIAL" localSheetId="77">'Pacific Standard'!$B$51:$F$51</definedName>
    <definedName name="UT_FINANCIAL" localSheetId="78">'Pavonia Life'!$B$51:$F$51</definedName>
    <definedName name="UT_FINANCIAL" localSheetId="79">'Pen  Treaty'!$B$51:$F$51</definedName>
    <definedName name="UT_FINANCIAL" localSheetId="80">'Red Rock'!$B$51:$F$51</definedName>
    <definedName name="UT_FINANCIAL" localSheetId="81">Reliance!$B$51:$F$51</definedName>
    <definedName name="UT_FINANCIAL" localSheetId="82">SeeChange!$B$51:$F$51</definedName>
    <definedName name="UT_FINANCIAL" localSheetId="83">'Senior American'!$B$51:$F$51</definedName>
    <definedName name="UT_FINANCIAL" localSheetId="84">Settlers!$B$51:$F$51</definedName>
    <definedName name="UT_FINANCIAL" localSheetId="85">Shenandoah!$B$51:$F$51</definedName>
    <definedName name="UT_FINANCIAL" localSheetId="86">'Southland National Life'!$B$51:$F$51</definedName>
    <definedName name="UT_FINANCIAL" localSheetId="87">'Standard Life IN'!$B$51:$F$51</definedName>
    <definedName name="UT_FINANCIAL" localSheetId="88">'States General'!$B$51:$F$51</definedName>
    <definedName name="UT_FINANCIAL" localSheetId="89">Statesman!$B$51:$F$51</definedName>
    <definedName name="UT_FINANCIAL" localSheetId="90">'Summit National'!$B$51:$F$51</definedName>
    <definedName name="UT_FINANCIAL" localSheetId="91">Supreme!$B$51:$F$51</definedName>
    <definedName name="UT_FINANCIAL" localSheetId="92">Time!$B$51:$F$51</definedName>
    <definedName name="UT_FINANCIAL" localSheetId="106">'Total Summary'!$B$51:$F$51</definedName>
    <definedName name="UT_FINANCIAL" localSheetId="93">Underwriters!$B$51:$F$51</definedName>
    <definedName name="UT_FINANCIAL" localSheetId="94">Unison!$B$51:$F$51</definedName>
    <definedName name="UT_FINANCIAL" localSheetId="95">'United Republic'!$B$51:$F$51</definedName>
    <definedName name="UT_FINANCIAL" localSheetId="96">'Universal Health Care'!$B$51:$F$51</definedName>
    <definedName name="UT_FINANCIAL" localSheetId="97">'Universal Life'!$B$51:$F$51</definedName>
    <definedName name="UT_FINANCIAL" localSheetId="98">Universe!$B$51:$F$51</definedName>
    <definedName name="UT_FINANCIAL" localSheetId="99">Villanova!$B$51:$F$51</definedName>
    <definedName name="VA_FINANCIAL" localSheetId="0">'Alabama Life'!$B$53:$F$53</definedName>
    <definedName name="VA_FINANCIAL" localSheetId="5">'Amer Life Asr'!$B$53:$F$53</definedName>
    <definedName name="VA_FINANCIAL" localSheetId="8">'Amer Std Life Acc'!$B$53:$F$53</definedName>
    <definedName name="VA_FINANCIAL" localSheetId="1">'American Chambers'!$B$53:$F$53</definedName>
    <definedName name="VA_FINANCIAL" localSheetId="2">'American Community'!$B$53:$F$53</definedName>
    <definedName name="VA_FINANCIAL" localSheetId="3">'American Educators'!$B$53:$F$53</definedName>
    <definedName name="VA_FINANCIAL" localSheetId="4">'American Integrity'!$B$53:$F$53</definedName>
    <definedName name="VA_FINANCIAL" localSheetId="6">'American Medical'!$B$53:$F$53</definedName>
    <definedName name="VA_FINANCIAL" localSheetId="7">'American Network'!$B$53:$F$53</definedName>
    <definedName name="VA_FINANCIAL" localSheetId="9">AmerWstrn!$B$53:$F$53</definedName>
    <definedName name="VA_FINANCIAL" localSheetId="10">'AMS Life'!$B$53:$F$53</definedName>
    <definedName name="VA_FINANCIAL" localSheetId="11">'Andrew Jackson'!$B$53:$F$53</definedName>
    <definedName name="VA_FINANCIAL" localSheetId="12">'Bankers Commercial'!$B$53:$F$53</definedName>
    <definedName name="VA_FINANCIAL" localSheetId="13">'Bankers Life'!$B$53:$F$53</definedName>
    <definedName name="VA_FINANCIAL" localSheetId="14">Benicorp!$B$53:$F$53</definedName>
    <definedName name="VA_FINANCIAL" localSheetId="15">'Booker T Washington'!$B$53:$F$53</definedName>
    <definedName name="VA_FINANCIAL" localSheetId="16">Centennial!$B$53:$F$53</definedName>
    <definedName name="VA_FINANCIAL" localSheetId="18">'CO Bankers'!$B$53:$F$53</definedName>
    <definedName name="VA_FINANCIAL" localSheetId="17">'Coastal States'!$B$53:$F$53</definedName>
    <definedName name="VA_FINANCIAL" localSheetId="19">'Colorado Health'!$B$53:$F$53</definedName>
    <definedName name="VA_FINANCIAL" localSheetId="20">'Compass (dbs Meritus)'!$B$53:$F$53</definedName>
    <definedName name="VA_FINANCIAL" localSheetId="21">'Confed Life &amp; Annty (CLIAC)'!$B$53:$F$53</definedName>
    <definedName name="VA_FINANCIAL" localSheetId="22">'Confed Life (CLIC)'!$B$53:$F$53</definedName>
    <definedName name="VA_FINANCIAL" localSheetId="23">'Consolidated National'!$B$53:$F$53</definedName>
    <definedName name="VA_FINANCIAL" localSheetId="24">'Consumers Choice'!$B$53:$F$53</definedName>
    <definedName name="VA_FINANCIAL" localSheetId="25">'Consumers Mutual'!$B$53:$F$53</definedName>
    <definedName name="VA_FINANCIAL" localSheetId="26">'Consumers United'!$B$53:$F$53</definedName>
    <definedName name="VA_FINANCIAL" localSheetId="27">CoOportunity!$B$53:$F$53</definedName>
    <definedName name="VA_FINANCIAL" localSheetId="28">'Coordinated Hlth'!$B$53:$F$53</definedName>
    <definedName name="VA_FINANCIAL" localSheetId="29">'Corporate Life'!$B$53:$F$53</definedName>
    <definedName name="VA_FINANCIAL" localSheetId="30">'Diamond Benefits'!$B$53:$F$53</definedName>
    <definedName name="VA_FINANCIAL" localSheetId="31">'EBL Life'!$B$53:$F$53</definedName>
    <definedName name="VA_FINANCIAL" localSheetId="33">ELNY!$B$53:$F$53</definedName>
    <definedName name="VA_FINANCIAL" localSheetId="32">'Executive Life'!$B$53:$F$53</definedName>
    <definedName name="VA_FINANCIAL" localSheetId="34">'Family Guaranty'!$B$53:$F$53</definedName>
    <definedName name="VA_FINANCIAL" localSheetId="35">'Farmers &amp; Ranchers'!$B$53:$F$53</definedName>
    <definedName name="VA_FINANCIAL" localSheetId="36">'Fidelity Bankers'!$B$53:$F$53</definedName>
    <definedName name="VA_FINANCIAL" localSheetId="37">'Fidelity Mutual'!$B$53:$F$53</definedName>
    <definedName name="VA_FINANCIAL" localSheetId="38">'First Capital'!$B$53:$F$53</definedName>
    <definedName name="VA_FINANCIAL" localSheetId="39">'First Natl'!$B$53:$F$53</definedName>
    <definedName name="VA_FINANCIAL" localSheetId="40">'First Natl (Thrnr)'!$B$53:$F$53</definedName>
    <definedName name="VA_FINANCIAL" localSheetId="41">'Franklin American'!$B$53:$F$53</definedName>
    <definedName name="VA_FINANCIAL" localSheetId="42">'Franklin Protective'!$B$53:$F$53</definedName>
    <definedName name="VA_FINANCIAL" localSheetId="43">'Freelancers CO-OP'!$B$53:$F$53</definedName>
    <definedName name="VA_FINANCIAL" localSheetId="44">Freestone!$B$53:$F$53</definedName>
    <definedName name="VA_FINANCIAL" localSheetId="45">'George Washington'!$B$53:$F$53</definedName>
    <definedName name="VA_FINANCIAL" localSheetId="46">'Golden State'!$B$53:$F$53</definedName>
    <definedName name="VA_FINANCIAL" localSheetId="47">'Guarantee Security'!$B$53:$F$53</definedName>
    <definedName name="VA_FINANCIAL" localSheetId="48">HealthyCT!$B$53:$F$53</definedName>
    <definedName name="VA_FINANCIAL" localSheetId="49">Imerica!$B$53:$F$53</definedName>
    <definedName name="VA_FINANCIAL" localSheetId="50">'Inter-American'!$B$53:$F$53</definedName>
    <definedName name="VA_FINANCIAL" localSheetId="51">'International Fin'!$B$53:$F$53</definedName>
    <definedName name="VA_FINANCIAL" localSheetId="52">'Investment Life of America'!$B$53:$F$53</definedName>
    <definedName name="VA_FINANCIAL" localSheetId="53">'Investors Equity'!$B$53:$F$53</definedName>
    <definedName name="VA_FINANCIAL" localSheetId="54">'Kentucky Central'!$B$53:$F$53</definedName>
    <definedName name="VA_FINANCIAL" localSheetId="55">'Land of Lincoln'!$B$53:$F$53</definedName>
    <definedName name="VA_FINANCIAL" localSheetId="56">Legion!$B$53:$F$53</definedName>
    <definedName name="VA_FINANCIAL" localSheetId="57">'Life Health America'!$B$53:$F$53</definedName>
    <definedName name="VA_FINANCIAL" localSheetId="58">'Lincoln Memorial'!$B$53:$F$53</definedName>
    <definedName name="VA_FINANCIAL" localSheetId="59">'London Pac'!$B$53:$F$53</definedName>
    <definedName name="VA_FINANCIAL" localSheetId="60">Lumbermens!$B$53:$F$53</definedName>
    <definedName name="VA_FINANCIAL" localSheetId="61">'Medical Savings'!$B$53:$F$53</definedName>
    <definedName name="VA_FINANCIAL" localSheetId="62">'Memorial Service'!$B$53:$F$53</definedName>
    <definedName name="VA_FINANCIAL" localSheetId="63">Midcontinent!$B$53:$F$53</definedName>
    <definedName name="VA_FINANCIAL" localSheetId="64">'Midwest Life'!$B$53:$F$53</definedName>
    <definedName name="VA_FINANCIAL" localSheetId="65">'Monarch Life'!$B$53:$F$53</definedName>
    <definedName name="VA_FINANCIAL" localSheetId="66">'Mutual Benefit'!$B$53:$F$53</definedName>
    <definedName name="VA_FINANCIAL" localSheetId="67">'Mutual Security'!$B$53:$F$53</definedName>
    <definedName name="VA_FINANCIAL" localSheetId="68">'National Affiliated'!$B$53:$F$53</definedName>
    <definedName name="VA_FINANCIAL" localSheetId="70">'National Heritage'!$B$53:$F$53</definedName>
    <definedName name="VA_FINANCIAL" localSheetId="71">'National States'!$B$53:$F$53</definedName>
    <definedName name="VA_FINANCIAL" localSheetId="69">'Natl American'!$B$53:$F$53</definedName>
    <definedName name="VA_FINANCIAL" localSheetId="72">'New Jersey Life'!$B$53:$F$53</definedName>
    <definedName name="VA_FINANCIAL" localSheetId="74">NNIC!$B$53:$F$53</definedName>
    <definedName name="VA_FINANCIAL" localSheetId="73">'North Carolina Mutual'!$B$53:$F$53</definedName>
    <definedName name="VA_FINANCIAL" localSheetId="75">'Old Colony Life'!$B$53:$F$53</definedName>
    <definedName name="VA_FINANCIAL" localSheetId="76">'Old Faithful'!$B$53:$F$53</definedName>
    <definedName name="VA_FINANCIAL" localSheetId="77">'Pacific Standard'!$B$53:$F$53</definedName>
    <definedName name="VA_FINANCIAL" localSheetId="78">'Pavonia Life'!$B$53:$F$53</definedName>
    <definedName name="VA_FINANCIAL" localSheetId="79">'Pen  Treaty'!$B$53:$F$53</definedName>
    <definedName name="VA_FINANCIAL" localSheetId="80">'Red Rock'!$B$53:$F$53</definedName>
    <definedName name="VA_FINANCIAL" localSheetId="81">Reliance!$B$53:$F$53</definedName>
    <definedName name="VA_FINANCIAL" localSheetId="82">SeeChange!$B$53:$F$53</definedName>
    <definedName name="VA_FINANCIAL" localSheetId="83">'Senior American'!$B$53:$F$53</definedName>
    <definedName name="VA_FINANCIAL" localSheetId="84">Settlers!$B$53:$F$53</definedName>
    <definedName name="VA_FINANCIAL" localSheetId="85">Shenandoah!$B$53:$F$53</definedName>
    <definedName name="VA_FINANCIAL" localSheetId="86">'Southland National Life'!$B$53:$F$53</definedName>
    <definedName name="VA_FINANCIAL" localSheetId="87">'Standard Life IN'!$B$53:$F$53</definedName>
    <definedName name="VA_FINANCIAL" localSheetId="88">'States General'!$B$53:$F$53</definedName>
    <definedName name="VA_FINANCIAL" localSheetId="89">Statesman!$B$53:$F$53</definedName>
    <definedName name="VA_FINANCIAL" localSheetId="90">'Summit National'!$B$53:$F$53</definedName>
    <definedName name="VA_FINANCIAL" localSheetId="91">Supreme!$B$53:$F$53</definedName>
    <definedName name="VA_FINANCIAL" localSheetId="92">Time!$B$53:$F$53</definedName>
    <definedName name="VA_FINANCIAL" localSheetId="106">'Total Summary'!$B$53:$F$53</definedName>
    <definedName name="VA_FINANCIAL" localSheetId="93">Underwriters!$B$53:$F$53</definedName>
    <definedName name="VA_FINANCIAL" localSheetId="94">Unison!$B$53:$F$53</definedName>
    <definedName name="VA_FINANCIAL" localSheetId="95">'United Republic'!$B$53:$F$53</definedName>
    <definedName name="VA_FINANCIAL" localSheetId="96">'Universal Health Care'!$B$53:$F$53</definedName>
    <definedName name="VA_FINANCIAL" localSheetId="97">'Universal Life'!$B$53:$F$53</definedName>
    <definedName name="VA_FINANCIAL" localSheetId="98">Universe!$B$53:$F$53</definedName>
    <definedName name="VA_FINANCIAL" localSheetId="99">Villanova!$B$53:$F$53</definedName>
    <definedName name="VT_FINANCIAL" localSheetId="0">'Alabama Life'!$B$52:$F$52</definedName>
    <definedName name="VT_FINANCIAL" localSheetId="5">'Amer Life Asr'!$B$52:$F$52</definedName>
    <definedName name="VT_FINANCIAL" localSheetId="8">'Amer Std Life Acc'!$B$52:$F$52</definedName>
    <definedName name="VT_FINANCIAL" localSheetId="1">'American Chambers'!$B$52:$F$52</definedName>
    <definedName name="VT_FINANCIAL" localSheetId="2">'American Community'!$B$52:$F$52</definedName>
    <definedName name="VT_FINANCIAL" localSheetId="3">'American Educators'!$B$52:$F$52</definedName>
    <definedName name="VT_FINANCIAL" localSheetId="4">'American Integrity'!$B$52:$F$52</definedName>
    <definedName name="VT_FINANCIAL" localSheetId="6">'American Medical'!$B$52:$F$52</definedName>
    <definedName name="VT_FINANCIAL" localSheetId="7">'American Network'!$B$52:$F$52</definedName>
    <definedName name="VT_FINANCIAL" localSheetId="9">AmerWstrn!$B$52:$F$52</definedName>
    <definedName name="VT_FINANCIAL" localSheetId="10">'AMS Life'!$B$52:$F$52</definedName>
    <definedName name="VT_FINANCIAL" localSheetId="11">'Andrew Jackson'!$B$52:$F$52</definedName>
    <definedName name="VT_FINANCIAL" localSheetId="12">'Bankers Commercial'!$B$52:$F$52</definedName>
    <definedName name="VT_FINANCIAL" localSheetId="13">'Bankers Life'!$B$52:$F$52</definedName>
    <definedName name="VT_FINANCIAL" localSheetId="14">Benicorp!$B$52:$F$52</definedName>
    <definedName name="VT_FINANCIAL" localSheetId="15">'Booker T Washington'!$B$52:$F$52</definedName>
    <definedName name="VT_FINANCIAL" localSheetId="16">Centennial!$B$52:$F$52</definedName>
    <definedName name="VT_FINANCIAL" localSheetId="18">'CO Bankers'!$B$52:$F$52</definedName>
    <definedName name="VT_FINANCIAL" localSheetId="17">'Coastal States'!$B$52:$F$52</definedName>
    <definedName name="VT_FINANCIAL" localSheetId="19">'Colorado Health'!$B$52:$F$52</definedName>
    <definedName name="VT_FINANCIAL" localSheetId="20">'Compass (dbs Meritus)'!$B$52:$F$52</definedName>
    <definedName name="VT_FINANCIAL" localSheetId="21">'Confed Life &amp; Annty (CLIAC)'!$B$52:$F$52</definedName>
    <definedName name="VT_FINANCIAL" localSheetId="22">'Confed Life (CLIC)'!$B$52:$F$52</definedName>
    <definedName name="VT_FINANCIAL" localSheetId="23">'Consolidated National'!$B$52:$F$52</definedName>
    <definedName name="VT_FINANCIAL" localSheetId="24">'Consumers Choice'!$B$52:$F$52</definedName>
    <definedName name="VT_FINANCIAL" localSheetId="25">'Consumers Mutual'!$B$52:$F$52</definedName>
    <definedName name="VT_FINANCIAL" localSheetId="26">'Consumers United'!$B$52:$F$52</definedName>
    <definedName name="VT_FINANCIAL" localSheetId="27">CoOportunity!$B$52:$F$52</definedName>
    <definedName name="VT_FINANCIAL" localSheetId="28">'Coordinated Hlth'!$B$52:$F$52</definedName>
    <definedName name="VT_FINANCIAL" localSheetId="29">'Corporate Life'!$B$52:$F$52</definedName>
    <definedName name="VT_FINANCIAL" localSheetId="30">'Diamond Benefits'!$B$52:$F$52</definedName>
    <definedName name="VT_FINANCIAL" localSheetId="31">'EBL Life'!$B$52:$F$52</definedName>
    <definedName name="VT_FINANCIAL" localSheetId="33">ELNY!$B$52:$F$52</definedName>
    <definedName name="VT_FINANCIAL" localSheetId="32">'Executive Life'!$B$52:$F$52</definedName>
    <definedName name="VT_FINANCIAL" localSheetId="34">'Family Guaranty'!$B$52:$F$52</definedName>
    <definedName name="VT_FINANCIAL" localSheetId="35">'Farmers &amp; Ranchers'!$B$52:$F$52</definedName>
    <definedName name="VT_FINANCIAL" localSheetId="36">'Fidelity Bankers'!$B$52:$F$52</definedName>
    <definedName name="VT_FINANCIAL" localSheetId="37">'Fidelity Mutual'!$B$52:$F$52</definedName>
    <definedName name="VT_FINANCIAL" localSheetId="38">'First Capital'!$B$52:$F$52</definedName>
    <definedName name="VT_FINANCIAL" localSheetId="39">'First Natl'!$B$52:$F$52</definedName>
    <definedName name="VT_FINANCIAL" localSheetId="40">'First Natl (Thrnr)'!$B$52:$F$52</definedName>
    <definedName name="VT_FINANCIAL" localSheetId="41">'Franklin American'!$B$52:$F$52</definedName>
    <definedName name="VT_FINANCIAL" localSheetId="42">'Franklin Protective'!$B$52:$F$52</definedName>
    <definedName name="VT_FINANCIAL" localSheetId="43">'Freelancers CO-OP'!$B$52:$F$52</definedName>
    <definedName name="VT_FINANCIAL" localSheetId="44">Freestone!$B$52:$F$52</definedName>
    <definedName name="VT_FINANCIAL" localSheetId="45">'George Washington'!$B$52:$F$52</definedName>
    <definedName name="VT_FINANCIAL" localSheetId="46">'Golden State'!$B$52:$F$52</definedName>
    <definedName name="VT_FINANCIAL" localSheetId="47">'Guarantee Security'!$B$52:$F$52</definedName>
    <definedName name="VT_FINANCIAL" localSheetId="48">HealthyCT!$B$52:$F$52</definedName>
    <definedName name="VT_FINANCIAL" localSheetId="49">Imerica!$B$52:$F$52</definedName>
    <definedName name="VT_FINANCIAL" localSheetId="50">'Inter-American'!$B$52:$F$52</definedName>
    <definedName name="VT_FINANCIAL" localSheetId="51">'International Fin'!$B$52:$F$52</definedName>
    <definedName name="VT_FINANCIAL" localSheetId="52">'Investment Life of America'!$B$52:$F$52</definedName>
    <definedName name="VT_FINANCIAL" localSheetId="53">'Investors Equity'!$B$52:$F$52</definedName>
    <definedName name="VT_FINANCIAL" localSheetId="54">'Kentucky Central'!$B$52:$F$52</definedName>
    <definedName name="VT_FINANCIAL" localSheetId="55">'Land of Lincoln'!$B$52:$F$52</definedName>
    <definedName name="VT_FINANCIAL" localSheetId="56">Legion!$B$52:$F$52</definedName>
    <definedName name="VT_FINANCIAL" localSheetId="57">'Life Health America'!$B$52:$F$52</definedName>
    <definedName name="VT_FINANCIAL" localSheetId="58">'Lincoln Memorial'!$B$52:$F$52</definedName>
    <definedName name="VT_FINANCIAL" localSheetId="59">'London Pac'!$B$52:$F$52</definedName>
    <definedName name="VT_FINANCIAL" localSheetId="60">Lumbermens!$B$52:$F$52</definedName>
    <definedName name="VT_FINANCIAL" localSheetId="61">'Medical Savings'!$B$52:$F$52</definedName>
    <definedName name="VT_FINANCIAL" localSheetId="62">'Memorial Service'!$B$52:$F$52</definedName>
    <definedName name="VT_FINANCIAL" localSheetId="63">Midcontinent!$B$52:$F$52</definedName>
    <definedName name="VT_FINANCIAL" localSheetId="64">'Midwest Life'!$B$52:$F$52</definedName>
    <definedName name="VT_FINANCIAL" localSheetId="65">'Monarch Life'!$B$52:$F$52</definedName>
    <definedName name="VT_FINANCIAL" localSheetId="66">'Mutual Benefit'!$B$52:$F$52</definedName>
    <definedName name="VT_FINANCIAL" localSheetId="67">'Mutual Security'!$B$52:$F$52</definedName>
    <definedName name="VT_FINANCIAL" localSheetId="68">'National Affiliated'!$B$52:$F$52</definedName>
    <definedName name="VT_FINANCIAL" localSheetId="70">'National Heritage'!$B$52:$F$52</definedName>
    <definedName name="VT_FINANCIAL" localSheetId="71">'National States'!$B$52:$F$52</definedName>
    <definedName name="VT_FINANCIAL" localSheetId="69">'Natl American'!$B$52:$F$52</definedName>
    <definedName name="VT_FINANCIAL" localSheetId="72">'New Jersey Life'!$B$52:$F$52</definedName>
    <definedName name="VT_FINANCIAL" localSheetId="74">NNIC!$B$52:$F$52</definedName>
    <definedName name="VT_FINANCIAL" localSheetId="73">'North Carolina Mutual'!$B$52:$F$52</definedName>
    <definedName name="VT_FINANCIAL" localSheetId="75">'Old Colony Life'!$B$52:$F$52</definedName>
    <definedName name="VT_FINANCIAL" localSheetId="76">'Old Faithful'!$B$52:$F$52</definedName>
    <definedName name="VT_FINANCIAL" localSheetId="77">'Pacific Standard'!$B$52:$F$52</definedName>
    <definedName name="VT_FINANCIAL" localSheetId="78">'Pavonia Life'!$B$52:$F$52</definedName>
    <definedName name="VT_FINANCIAL" localSheetId="79">'Pen  Treaty'!$B$52:$F$52</definedName>
    <definedName name="VT_FINANCIAL" localSheetId="80">'Red Rock'!$B$52:$F$52</definedName>
    <definedName name="VT_FINANCIAL" localSheetId="81">Reliance!$B$52:$F$52</definedName>
    <definedName name="VT_FINANCIAL" localSheetId="82">SeeChange!$B$52:$F$52</definedName>
    <definedName name="VT_FINANCIAL" localSheetId="83">'Senior American'!$B$52:$F$52</definedName>
    <definedName name="VT_FINANCIAL" localSheetId="84">Settlers!$B$52:$F$52</definedName>
    <definedName name="VT_FINANCIAL" localSheetId="85">Shenandoah!$B$52:$F$52</definedName>
    <definedName name="VT_FINANCIAL" localSheetId="86">'Southland National Life'!$B$52:$F$52</definedName>
    <definedName name="VT_FINANCIAL" localSheetId="87">'Standard Life IN'!$B$52:$F$52</definedName>
    <definedName name="VT_FINANCIAL" localSheetId="88">'States General'!$B$52:$F$52</definedName>
    <definedName name="VT_FINANCIAL" localSheetId="89">Statesman!$B$52:$F$52</definedName>
    <definedName name="VT_FINANCIAL" localSheetId="90">'Summit National'!$B$52:$F$52</definedName>
    <definedName name="VT_FINANCIAL" localSheetId="91">Supreme!$B$52:$F$52</definedName>
    <definedName name="VT_FINANCIAL" localSheetId="92">Time!$B$52:$F$52</definedName>
    <definedName name="VT_FINANCIAL" localSheetId="106">'Total Summary'!$B$52:$F$52</definedName>
    <definedName name="VT_FINANCIAL" localSheetId="93">Underwriters!$B$52:$F$52</definedName>
    <definedName name="VT_FINANCIAL" localSheetId="94">Unison!$B$52:$F$52</definedName>
    <definedName name="VT_FINANCIAL" localSheetId="95">'United Republic'!$B$52:$F$52</definedName>
    <definedName name="VT_FINANCIAL" localSheetId="96">'Universal Health Care'!$B$52:$F$52</definedName>
    <definedName name="VT_FINANCIAL" localSheetId="97">'Universal Life'!$B$52:$F$52</definedName>
    <definedName name="VT_FINANCIAL" localSheetId="98">Universe!$B$52:$F$52</definedName>
    <definedName name="VT_FINANCIAL" localSheetId="99">Villanova!$B$52:$F$52</definedName>
    <definedName name="WA_FINANCIAL" localSheetId="0">'Alabama Life'!$B$54:$F$54</definedName>
    <definedName name="WA_FINANCIAL" localSheetId="5">'Amer Life Asr'!$B$54:$F$54</definedName>
    <definedName name="WA_FINANCIAL" localSheetId="8">'Amer Std Life Acc'!$B$54:$F$54</definedName>
    <definedName name="WA_FINANCIAL" localSheetId="1">'American Chambers'!$B$54:$F$54</definedName>
    <definedName name="WA_FINANCIAL" localSheetId="2">'American Community'!$B$54:$F$54</definedName>
    <definedName name="WA_FINANCIAL" localSheetId="3">'American Educators'!$B$54:$F$54</definedName>
    <definedName name="WA_FINANCIAL" localSheetId="4">'American Integrity'!$B$54:$F$54</definedName>
    <definedName name="WA_FINANCIAL" localSheetId="6">'American Medical'!$B$54:$F$54</definedName>
    <definedName name="WA_FINANCIAL" localSheetId="7">'American Network'!$B$54:$F$54</definedName>
    <definedName name="WA_FINANCIAL" localSheetId="9">AmerWstrn!$B$54:$F$54</definedName>
    <definedName name="WA_FINANCIAL" localSheetId="10">'AMS Life'!$B$54:$F$54</definedName>
    <definedName name="WA_FINANCIAL" localSheetId="11">'Andrew Jackson'!$B$54:$F$54</definedName>
    <definedName name="WA_FINANCIAL" localSheetId="12">'Bankers Commercial'!$B$54:$F$54</definedName>
    <definedName name="WA_FINANCIAL" localSheetId="13">'Bankers Life'!$B$54:$F$54</definedName>
    <definedName name="WA_FINANCIAL" localSheetId="14">Benicorp!$B$54:$F$54</definedName>
    <definedName name="WA_FINANCIAL" localSheetId="15">'Booker T Washington'!$B$54:$F$54</definedName>
    <definedName name="WA_FINANCIAL" localSheetId="16">Centennial!$B$54:$F$54</definedName>
    <definedName name="WA_FINANCIAL" localSheetId="18">'CO Bankers'!$B$54:$F$54</definedName>
    <definedName name="WA_FINANCIAL" localSheetId="17">'Coastal States'!$B$54:$F$54</definedName>
    <definedName name="WA_FINANCIAL" localSheetId="19">'Colorado Health'!$B$54:$F$54</definedName>
    <definedName name="WA_FINANCIAL" localSheetId="20">'Compass (dbs Meritus)'!$B$54:$F$54</definedName>
    <definedName name="WA_FINANCIAL" localSheetId="21">'Confed Life &amp; Annty (CLIAC)'!$B$54:$F$54</definedName>
    <definedName name="WA_FINANCIAL" localSheetId="22">'Confed Life (CLIC)'!$B$54:$F$54</definedName>
    <definedName name="WA_FINANCIAL" localSheetId="23">'Consolidated National'!$B$54:$F$54</definedName>
    <definedName name="WA_FINANCIAL" localSheetId="24">'Consumers Choice'!$B$54:$F$54</definedName>
    <definedName name="WA_FINANCIAL" localSheetId="25">'Consumers Mutual'!$B$54:$F$54</definedName>
    <definedName name="WA_FINANCIAL" localSheetId="26">'Consumers United'!$B$54:$F$54</definedName>
    <definedName name="WA_FINANCIAL" localSheetId="27">CoOportunity!$B$54:$F$54</definedName>
    <definedName name="WA_FINANCIAL" localSheetId="28">'Coordinated Hlth'!$B$54:$F$54</definedName>
    <definedName name="WA_FINANCIAL" localSheetId="29">'Corporate Life'!$B$54:$F$54</definedName>
    <definedName name="WA_FINANCIAL" localSheetId="30">'Diamond Benefits'!$B$54:$F$54</definedName>
    <definedName name="WA_FINANCIAL" localSheetId="31">'EBL Life'!$B$54:$F$54</definedName>
    <definedName name="WA_FINANCIAL" localSheetId="33">ELNY!$B$54:$F$54</definedName>
    <definedName name="WA_FINANCIAL" localSheetId="32">'Executive Life'!$B$54:$F$54</definedName>
    <definedName name="WA_FINANCIAL" localSheetId="34">'Family Guaranty'!$B$54:$F$54</definedName>
    <definedName name="WA_FINANCIAL" localSheetId="35">'Farmers &amp; Ranchers'!$B$54:$F$54</definedName>
    <definedName name="WA_FINANCIAL" localSheetId="36">'Fidelity Bankers'!$B$54:$F$54</definedName>
    <definedName name="WA_FINANCIAL" localSheetId="37">'Fidelity Mutual'!$B$54:$F$54</definedName>
    <definedName name="WA_FINANCIAL" localSheetId="38">'First Capital'!$B$54:$F$54</definedName>
    <definedName name="WA_FINANCIAL" localSheetId="39">'First Natl'!$B$54:$F$54</definedName>
    <definedName name="WA_FINANCIAL" localSheetId="40">'First Natl (Thrnr)'!$B$54:$F$54</definedName>
    <definedName name="WA_FINANCIAL" localSheetId="41">'Franklin American'!$B$54:$F$54</definedName>
    <definedName name="WA_FINANCIAL" localSheetId="42">'Franklin Protective'!$B$54:$F$54</definedName>
    <definedName name="WA_FINANCIAL" localSheetId="43">'Freelancers CO-OP'!$B$54:$F$54</definedName>
    <definedName name="WA_FINANCIAL" localSheetId="44">Freestone!$B$54:$F$54</definedName>
    <definedName name="WA_FINANCIAL" localSheetId="45">'George Washington'!$B$54:$F$54</definedName>
    <definedName name="WA_FINANCIAL" localSheetId="46">'Golden State'!$B$54:$F$54</definedName>
    <definedName name="WA_FINANCIAL" localSheetId="47">'Guarantee Security'!$B$54:$F$54</definedName>
    <definedName name="WA_FINANCIAL" localSheetId="48">HealthyCT!$B$54:$F$54</definedName>
    <definedName name="WA_FINANCIAL" localSheetId="49">Imerica!$B$54:$F$54</definedName>
    <definedName name="WA_FINANCIAL" localSheetId="50">'Inter-American'!$B$54:$F$54</definedName>
    <definedName name="WA_FINANCIAL" localSheetId="51">'International Fin'!$B$54:$F$54</definedName>
    <definedName name="WA_FINANCIAL" localSheetId="52">'Investment Life of America'!$B$54:$F$54</definedName>
    <definedName name="WA_FINANCIAL" localSheetId="53">'Investors Equity'!$B$54:$F$54</definedName>
    <definedName name="WA_FINANCIAL" localSheetId="54">'Kentucky Central'!$B$54:$F$54</definedName>
    <definedName name="WA_FINANCIAL" localSheetId="55">'Land of Lincoln'!$B$54:$F$54</definedName>
    <definedName name="WA_FINANCIAL" localSheetId="56">Legion!$B$54:$F$54</definedName>
    <definedName name="WA_FINANCIAL" localSheetId="57">'Life Health America'!$B$54:$F$54</definedName>
    <definedName name="WA_FINANCIAL" localSheetId="58">'Lincoln Memorial'!$B$54:$F$54</definedName>
    <definedName name="WA_FINANCIAL" localSheetId="59">'London Pac'!$B$54:$F$54</definedName>
    <definedName name="WA_FINANCIAL" localSheetId="60">Lumbermens!$B$54:$F$54</definedName>
    <definedName name="WA_FINANCIAL" localSheetId="61">'Medical Savings'!$B$54:$F$54</definedName>
    <definedName name="WA_FINANCIAL" localSheetId="62">'Memorial Service'!$B$54:$F$54</definedName>
    <definedName name="WA_FINANCIAL" localSheetId="63">Midcontinent!$B$54:$F$54</definedName>
    <definedName name="WA_FINANCIAL" localSheetId="64">'Midwest Life'!$B$54:$F$54</definedName>
    <definedName name="WA_FINANCIAL" localSheetId="65">'Monarch Life'!$B$54:$F$54</definedName>
    <definedName name="WA_FINANCIAL" localSheetId="66">'Mutual Benefit'!$B$54:$F$54</definedName>
    <definedName name="WA_FINANCIAL" localSheetId="67">'Mutual Security'!$B$54:$F$54</definedName>
    <definedName name="WA_FINANCIAL" localSheetId="68">'National Affiliated'!$B$54:$F$54</definedName>
    <definedName name="WA_FINANCIAL" localSheetId="70">'National Heritage'!$B$54:$F$54</definedName>
    <definedName name="WA_FINANCIAL" localSheetId="71">'National States'!$B$54:$F$54</definedName>
    <definedName name="WA_FINANCIAL" localSheetId="69">'Natl American'!$B$54:$F$54</definedName>
    <definedName name="WA_FINANCIAL" localSheetId="72">'New Jersey Life'!$B$54:$F$54</definedName>
    <definedName name="WA_FINANCIAL" localSheetId="74">NNIC!$B$54:$F$54</definedName>
    <definedName name="WA_FINANCIAL" localSheetId="73">'North Carolina Mutual'!$B$54:$F$54</definedName>
    <definedName name="WA_FINANCIAL" localSheetId="75">'Old Colony Life'!$B$54:$F$54</definedName>
    <definedName name="WA_FINANCIAL" localSheetId="76">'Old Faithful'!$B$54:$F$54</definedName>
    <definedName name="WA_FINANCIAL" localSheetId="77">'Pacific Standard'!$B$54:$F$54</definedName>
    <definedName name="WA_FINANCIAL" localSheetId="78">'Pavonia Life'!$B$54:$F$54</definedName>
    <definedName name="WA_FINANCIAL" localSheetId="79">'Pen  Treaty'!$B$54:$F$54</definedName>
    <definedName name="WA_FINANCIAL" localSheetId="80">'Red Rock'!$B$54:$F$54</definedName>
    <definedName name="WA_FINANCIAL" localSheetId="81">Reliance!$B$54:$F$54</definedName>
    <definedName name="WA_FINANCIAL" localSheetId="82">SeeChange!$B$54:$F$54</definedName>
    <definedName name="WA_FINANCIAL" localSheetId="83">'Senior American'!$B$54:$F$54</definedName>
    <definedName name="WA_FINANCIAL" localSheetId="84">Settlers!$B$54:$F$54</definedName>
    <definedName name="WA_FINANCIAL" localSheetId="85">Shenandoah!$B$54:$F$54</definedName>
    <definedName name="WA_FINANCIAL" localSheetId="86">'Southland National Life'!$B$54:$F$54</definedName>
    <definedName name="WA_FINANCIAL" localSheetId="87">'Standard Life IN'!$B$54:$F$54</definedName>
    <definedName name="WA_FINANCIAL" localSheetId="88">'States General'!$B$54:$F$54</definedName>
    <definedName name="WA_FINANCIAL" localSheetId="89">Statesman!$B$54:$F$54</definedName>
    <definedName name="WA_FINANCIAL" localSheetId="90">'Summit National'!$B$54:$F$54</definedName>
    <definedName name="WA_FINANCIAL" localSheetId="91">Supreme!$B$54:$F$54</definedName>
    <definedName name="WA_FINANCIAL" localSheetId="92">Time!$B$54:$F$54</definedName>
    <definedName name="WA_FINANCIAL" localSheetId="106">'Total Summary'!$B$54:$F$54</definedName>
    <definedName name="WA_FINANCIAL" localSheetId="93">Underwriters!$B$54:$F$54</definedName>
    <definedName name="WA_FINANCIAL" localSheetId="94">Unison!$B$54:$F$54</definedName>
    <definedName name="WA_FINANCIAL" localSheetId="95">'United Republic'!$B$54:$F$54</definedName>
    <definedName name="WA_FINANCIAL" localSheetId="96">'Universal Health Care'!$B$54:$F$54</definedName>
    <definedName name="WA_FINANCIAL" localSheetId="97">'Universal Life'!$B$54:$F$54</definedName>
    <definedName name="WA_FINANCIAL" localSheetId="98">Universe!$B$54:$F$54</definedName>
    <definedName name="WA_FINANCIAL" localSheetId="99">Villanova!$B$54:$F$54</definedName>
    <definedName name="WI_FINANCIAL" localSheetId="0">'Alabama Life'!$B$56:$F$56</definedName>
    <definedName name="WI_FINANCIAL" localSheetId="5">'Amer Life Asr'!$B$56:$F$56</definedName>
    <definedName name="WI_FINANCIAL" localSheetId="8">'Amer Std Life Acc'!$B$56:$F$56</definedName>
    <definedName name="WI_FINANCIAL" localSheetId="1">'American Chambers'!$B$56:$F$56</definedName>
    <definedName name="WI_FINANCIAL" localSheetId="2">'American Community'!$B$56:$F$56</definedName>
    <definedName name="WI_FINANCIAL" localSheetId="3">'American Educators'!$B$56:$F$56</definedName>
    <definedName name="WI_FINANCIAL" localSheetId="4">'American Integrity'!$B$56:$F$56</definedName>
    <definedName name="WI_FINANCIAL" localSheetId="6">'American Medical'!$B$56:$F$56</definedName>
    <definedName name="WI_FINANCIAL" localSheetId="7">'American Network'!$B$56:$F$56</definedName>
    <definedName name="WI_FINANCIAL" localSheetId="9">AmerWstrn!$B$56:$F$56</definedName>
    <definedName name="WI_FINANCIAL" localSheetId="10">'AMS Life'!$B$56:$F$56</definedName>
    <definedName name="WI_FINANCIAL" localSheetId="11">'Andrew Jackson'!$B$56:$F$56</definedName>
    <definedName name="WI_FINANCIAL" localSheetId="12">'Bankers Commercial'!$B$56:$F$56</definedName>
    <definedName name="WI_FINANCIAL" localSheetId="13">'Bankers Life'!$B$56:$F$56</definedName>
    <definedName name="WI_FINANCIAL" localSheetId="14">Benicorp!$B$56:$F$56</definedName>
    <definedName name="WI_FINANCIAL" localSheetId="15">'Booker T Washington'!$B$56:$F$56</definedName>
    <definedName name="WI_FINANCIAL" localSheetId="16">Centennial!$B$56:$F$56</definedName>
    <definedName name="WI_FINANCIAL" localSheetId="18">'CO Bankers'!$B$56:$F$56</definedName>
    <definedName name="WI_FINANCIAL" localSheetId="17">'Coastal States'!$B$56:$F$56</definedName>
    <definedName name="WI_FINANCIAL" localSheetId="19">'Colorado Health'!$B$56:$F$56</definedName>
    <definedName name="WI_FINANCIAL" localSheetId="20">'Compass (dbs Meritus)'!$B$56:$F$56</definedName>
    <definedName name="WI_FINANCIAL" localSheetId="21">'Confed Life &amp; Annty (CLIAC)'!$B$56:$F$56</definedName>
    <definedName name="WI_FINANCIAL" localSheetId="22">'Confed Life (CLIC)'!$B$56:$F$56</definedName>
    <definedName name="WI_FINANCIAL" localSheetId="23">'Consolidated National'!$B$56:$F$56</definedName>
    <definedName name="WI_FINANCIAL" localSheetId="24">'Consumers Choice'!$B$56:$F$56</definedName>
    <definedName name="WI_FINANCIAL" localSheetId="25">'Consumers Mutual'!$B$56:$F$56</definedName>
    <definedName name="WI_FINANCIAL" localSheetId="26">'Consumers United'!$B$56:$F$56</definedName>
    <definedName name="WI_FINANCIAL" localSheetId="27">CoOportunity!$B$56:$F$56</definedName>
    <definedName name="WI_FINANCIAL" localSheetId="28">'Coordinated Hlth'!$B$56:$F$56</definedName>
    <definedName name="WI_FINANCIAL" localSheetId="29">'Corporate Life'!$B$56:$F$56</definedName>
    <definedName name="WI_FINANCIAL" localSheetId="30">'Diamond Benefits'!$B$56:$F$56</definedName>
    <definedName name="WI_FINANCIAL" localSheetId="31">'EBL Life'!$B$56:$F$56</definedName>
    <definedName name="WI_FINANCIAL" localSheetId="33">ELNY!$B$56:$F$56</definedName>
    <definedName name="WI_FINANCIAL" localSheetId="32">'Executive Life'!$B$56:$F$56</definedName>
    <definedName name="WI_FINANCIAL" localSheetId="34">'Family Guaranty'!$B$56:$F$56</definedName>
    <definedName name="WI_FINANCIAL" localSheetId="35">'Farmers &amp; Ranchers'!$B$56:$F$56</definedName>
    <definedName name="WI_FINANCIAL" localSheetId="36">'Fidelity Bankers'!$B$56:$F$56</definedName>
    <definedName name="WI_FINANCIAL" localSheetId="37">'Fidelity Mutual'!$B$56:$F$56</definedName>
    <definedName name="WI_FINANCIAL" localSheetId="38">'First Capital'!$B$56:$F$56</definedName>
    <definedName name="WI_FINANCIAL" localSheetId="39">'First Natl'!$B$56:$F$56</definedName>
    <definedName name="WI_FINANCIAL" localSheetId="40">'First Natl (Thrnr)'!$B$56:$F$56</definedName>
    <definedName name="WI_FINANCIAL" localSheetId="41">'Franklin American'!$B$56:$F$56</definedName>
    <definedName name="WI_FINANCIAL" localSheetId="42">'Franklin Protective'!$B$56:$F$56</definedName>
    <definedName name="WI_FINANCIAL" localSheetId="43">'Freelancers CO-OP'!$B$56:$F$56</definedName>
    <definedName name="WI_FINANCIAL" localSheetId="44">Freestone!$B$56:$F$56</definedName>
    <definedName name="WI_FINANCIAL" localSheetId="45">'George Washington'!$B$56:$F$56</definedName>
    <definedName name="WI_FINANCIAL" localSheetId="46">'Golden State'!$B$56:$F$56</definedName>
    <definedName name="WI_FINANCIAL" localSheetId="47">'Guarantee Security'!$B$56:$F$56</definedName>
    <definedName name="WI_FINANCIAL" localSheetId="48">HealthyCT!$B$56:$F$56</definedName>
    <definedName name="WI_FINANCIAL" localSheetId="49">Imerica!$B$56:$F$56</definedName>
    <definedName name="WI_FINANCIAL" localSheetId="50">'Inter-American'!$B$56:$F$56</definedName>
    <definedName name="WI_FINANCIAL" localSheetId="51">'International Fin'!$B$56:$F$56</definedName>
    <definedName name="WI_FINANCIAL" localSheetId="52">'Investment Life of America'!$B$56:$F$56</definedName>
    <definedName name="WI_FINANCIAL" localSheetId="53">'Investors Equity'!$B$56:$F$56</definedName>
    <definedName name="WI_FINANCIAL" localSheetId="54">'Kentucky Central'!$B$56:$F$56</definedName>
    <definedName name="WI_FINANCIAL" localSheetId="55">'Land of Lincoln'!$B$56:$F$56</definedName>
    <definedName name="WI_FINANCIAL" localSheetId="56">Legion!$B$56:$F$56</definedName>
    <definedName name="WI_FINANCIAL" localSheetId="57">'Life Health America'!$B$56:$F$56</definedName>
    <definedName name="WI_FINANCIAL" localSheetId="58">'Lincoln Memorial'!$B$56:$F$56</definedName>
    <definedName name="WI_FINANCIAL" localSheetId="59">'London Pac'!$B$56:$F$56</definedName>
    <definedName name="WI_FINANCIAL" localSheetId="60">Lumbermens!$B$56:$F$56</definedName>
    <definedName name="WI_FINANCIAL" localSheetId="61">'Medical Savings'!$B$56:$F$56</definedName>
    <definedName name="WI_FINANCIAL" localSheetId="62">'Memorial Service'!$B$56:$F$56</definedName>
    <definedName name="WI_FINANCIAL" localSheetId="63">Midcontinent!$B$56:$F$56</definedName>
    <definedName name="WI_FINANCIAL" localSheetId="64">'Midwest Life'!$B$56:$F$56</definedName>
    <definedName name="WI_FINANCIAL" localSheetId="65">'Monarch Life'!$B$56:$F$56</definedName>
    <definedName name="WI_FINANCIAL" localSheetId="66">'Mutual Benefit'!$B$56:$F$56</definedName>
    <definedName name="WI_FINANCIAL" localSheetId="67">'Mutual Security'!$B$56:$F$56</definedName>
    <definedName name="WI_FINANCIAL" localSheetId="68">'National Affiliated'!$B$56:$F$56</definedName>
    <definedName name="WI_FINANCIAL" localSheetId="70">'National Heritage'!$B$56:$F$56</definedName>
    <definedName name="WI_FINANCIAL" localSheetId="71">'National States'!$B$56:$F$56</definedName>
    <definedName name="WI_FINANCIAL" localSheetId="69">'Natl American'!$B$56:$F$56</definedName>
    <definedName name="WI_FINANCIAL" localSheetId="72">'New Jersey Life'!$B$56:$F$56</definedName>
    <definedName name="WI_FINANCIAL" localSheetId="74">NNIC!$B$56:$F$56</definedName>
    <definedName name="WI_FINANCIAL" localSheetId="73">'North Carolina Mutual'!$B$56:$F$56</definedName>
    <definedName name="WI_FINANCIAL" localSheetId="75">'Old Colony Life'!$B$56:$F$56</definedName>
    <definedName name="WI_FINANCIAL" localSheetId="76">'Old Faithful'!$B$56:$F$56</definedName>
    <definedName name="WI_FINANCIAL" localSheetId="77">'Pacific Standard'!$B$56:$F$56</definedName>
    <definedName name="WI_FINANCIAL" localSheetId="78">'Pavonia Life'!$B$56:$F$56</definedName>
    <definedName name="WI_FINANCIAL" localSheetId="79">'Pen  Treaty'!$B$56:$F$56</definedName>
    <definedName name="WI_FINANCIAL" localSheetId="80">'Red Rock'!$B$56:$F$56</definedName>
    <definedName name="WI_FINANCIAL" localSheetId="81">Reliance!$B$56:$F$56</definedName>
    <definedName name="WI_FINANCIAL" localSheetId="82">SeeChange!$B$56:$F$56</definedName>
    <definedName name="WI_FINANCIAL" localSheetId="83">'Senior American'!$B$56:$F$56</definedName>
    <definedName name="WI_FINANCIAL" localSheetId="84">Settlers!$B$56:$F$56</definedName>
    <definedName name="WI_FINANCIAL" localSheetId="85">Shenandoah!$B$56:$F$56</definedName>
    <definedName name="WI_FINANCIAL" localSheetId="86">'Southland National Life'!$B$56:$F$56</definedName>
    <definedName name="WI_FINANCIAL" localSheetId="87">'Standard Life IN'!$B$56:$F$56</definedName>
    <definedName name="WI_FINANCIAL" localSheetId="88">'States General'!$B$56:$F$56</definedName>
    <definedName name="WI_FINANCIAL" localSheetId="89">Statesman!$B$56:$F$56</definedName>
    <definedName name="WI_FINANCIAL" localSheetId="90">'Summit National'!$B$56:$F$56</definedName>
    <definedName name="WI_FINANCIAL" localSheetId="91">Supreme!$B$56:$F$56</definedName>
    <definedName name="WI_FINANCIAL" localSheetId="92">Time!$B$56:$F$56</definedName>
    <definedName name="WI_FINANCIAL" localSheetId="106">'Total Summary'!$B$56:$F$56</definedName>
    <definedName name="WI_FINANCIAL" localSheetId="93">Underwriters!$B$56:$F$56</definedName>
    <definedName name="WI_FINANCIAL" localSheetId="94">Unison!$B$56:$F$56</definedName>
    <definedName name="WI_FINANCIAL" localSheetId="95">'United Republic'!$B$56:$F$56</definedName>
    <definedName name="WI_FINANCIAL" localSheetId="96">'Universal Health Care'!$B$56:$F$56</definedName>
    <definedName name="WI_FINANCIAL" localSheetId="97">'Universal Life'!$B$56:$F$56</definedName>
    <definedName name="WI_FINANCIAL" localSheetId="98">Universe!$B$56:$F$56</definedName>
    <definedName name="WI_FINANCIAL" localSheetId="99">Villanova!$B$56:$F$56</definedName>
    <definedName name="WV_FINANCIAL" localSheetId="0">'Alabama Life'!$B$55:$F$55</definedName>
    <definedName name="WV_FINANCIAL" localSheetId="5">'Amer Life Asr'!$B$55:$F$55</definedName>
    <definedName name="WV_FINANCIAL" localSheetId="8">'Amer Std Life Acc'!$B$55:$F$55</definedName>
    <definedName name="WV_FINANCIAL" localSheetId="1">'American Chambers'!$B$55:$F$55</definedName>
    <definedName name="WV_FINANCIAL" localSheetId="2">'American Community'!$B$55:$F$55</definedName>
    <definedName name="WV_FINANCIAL" localSheetId="3">'American Educators'!$B$55:$F$55</definedName>
    <definedName name="WV_FINANCIAL" localSheetId="4">'American Integrity'!$B$55:$F$55</definedName>
    <definedName name="WV_FINANCIAL" localSheetId="6">'American Medical'!$B$55:$F$55</definedName>
    <definedName name="WV_FINANCIAL" localSheetId="7">'American Network'!$B$55:$F$55</definedName>
    <definedName name="WV_FINANCIAL" localSheetId="9">AmerWstrn!$B$55:$F$55</definedName>
    <definedName name="WV_FINANCIAL" localSheetId="10">'AMS Life'!$B$55:$F$55</definedName>
    <definedName name="WV_FINANCIAL" localSheetId="11">'Andrew Jackson'!$B$55:$F$55</definedName>
    <definedName name="WV_FINANCIAL" localSheetId="12">'Bankers Commercial'!$B$55:$F$55</definedName>
    <definedName name="WV_FINANCIAL" localSheetId="13">'Bankers Life'!$B$55:$F$55</definedName>
    <definedName name="WV_FINANCIAL" localSheetId="14">Benicorp!$B$55:$F$55</definedName>
    <definedName name="WV_FINANCIAL" localSheetId="15">'Booker T Washington'!$B$55:$F$55</definedName>
    <definedName name="WV_FINANCIAL" localSheetId="16">Centennial!$B$55:$F$55</definedName>
    <definedName name="WV_FINANCIAL" localSheetId="18">'CO Bankers'!$B$55:$F$55</definedName>
    <definedName name="WV_FINANCIAL" localSheetId="17">'Coastal States'!$B$55:$F$55</definedName>
    <definedName name="WV_FINANCIAL" localSheetId="19">'Colorado Health'!$B$55:$F$55</definedName>
    <definedName name="WV_FINANCIAL" localSheetId="20">'Compass (dbs Meritus)'!$B$55:$F$55</definedName>
    <definedName name="WV_FINANCIAL" localSheetId="21">'Confed Life &amp; Annty (CLIAC)'!$B$55:$F$55</definedName>
    <definedName name="WV_FINANCIAL" localSheetId="22">'Confed Life (CLIC)'!$B$55:$F$55</definedName>
    <definedName name="WV_FINANCIAL" localSheetId="23">'Consolidated National'!$B$55:$F$55</definedName>
    <definedName name="WV_FINANCIAL" localSheetId="24">'Consumers Choice'!$B$55:$F$55</definedName>
    <definedName name="WV_FINANCIAL" localSheetId="25">'Consumers Mutual'!$B$55:$F$55</definedName>
    <definedName name="WV_FINANCIAL" localSheetId="26">'Consumers United'!$B$55:$F$55</definedName>
    <definedName name="WV_FINANCIAL" localSheetId="27">CoOportunity!$B$55:$F$55</definedName>
    <definedName name="WV_FINANCIAL" localSheetId="28">'Coordinated Hlth'!$B$55:$F$55</definedName>
    <definedName name="WV_FINANCIAL" localSheetId="29">'Corporate Life'!$B$55:$F$55</definedName>
    <definedName name="WV_FINANCIAL" localSheetId="30">'Diamond Benefits'!$B$55:$F$55</definedName>
    <definedName name="WV_FINANCIAL" localSheetId="31">'EBL Life'!$B$55:$F$55</definedName>
    <definedName name="WV_FINANCIAL" localSheetId="33">ELNY!$B$55:$F$55</definedName>
    <definedName name="WV_FINANCIAL" localSheetId="32">'Executive Life'!$B$55:$F$55</definedName>
    <definedName name="WV_FINANCIAL" localSheetId="34">'Family Guaranty'!$B$55:$F$55</definedName>
    <definedName name="WV_FINANCIAL" localSheetId="35">'Farmers &amp; Ranchers'!$B$55:$F$55</definedName>
    <definedName name="WV_FINANCIAL" localSheetId="36">'Fidelity Bankers'!$B$55:$F$55</definedName>
    <definedName name="WV_FINANCIAL" localSheetId="37">'Fidelity Mutual'!$B$55:$F$55</definedName>
    <definedName name="WV_FINANCIAL" localSheetId="38">'First Capital'!$B$55:$F$55</definedName>
    <definedName name="WV_FINANCIAL" localSheetId="39">'First Natl'!$B$55:$F$55</definedName>
    <definedName name="WV_FINANCIAL" localSheetId="40">'First Natl (Thrnr)'!$B$55:$F$55</definedName>
    <definedName name="WV_FINANCIAL" localSheetId="41">'Franklin American'!$B$55:$F$55</definedName>
    <definedName name="WV_FINANCIAL" localSheetId="42">'Franklin Protective'!$B$55:$F$55</definedName>
    <definedName name="WV_FINANCIAL" localSheetId="43">'Freelancers CO-OP'!$B$55:$F$55</definedName>
    <definedName name="WV_FINANCIAL" localSheetId="44">Freestone!$B$55:$F$55</definedName>
    <definedName name="WV_FINANCIAL" localSheetId="45">'George Washington'!$B$55:$F$55</definedName>
    <definedName name="WV_FINANCIAL" localSheetId="46">'Golden State'!$B$55:$F$55</definedName>
    <definedName name="WV_FINANCIAL" localSheetId="47">'Guarantee Security'!$B$55:$F$55</definedName>
    <definedName name="WV_FINANCIAL" localSheetId="48">HealthyCT!$B$55:$F$55</definedName>
    <definedName name="WV_FINANCIAL" localSheetId="49">Imerica!$B$55:$F$55</definedName>
    <definedName name="WV_FINANCIAL" localSheetId="50">'Inter-American'!$B$55:$F$55</definedName>
    <definedName name="WV_FINANCIAL" localSheetId="51">'International Fin'!$B$55:$F$55</definedName>
    <definedName name="WV_FINANCIAL" localSheetId="52">'Investment Life of America'!$B$55:$F$55</definedName>
    <definedName name="WV_FINANCIAL" localSheetId="53">'Investors Equity'!$B$55:$F$55</definedName>
    <definedName name="WV_FINANCIAL" localSheetId="54">'Kentucky Central'!$B$55:$F$55</definedName>
    <definedName name="WV_FINANCIAL" localSheetId="55">'Land of Lincoln'!$B$55:$F$55</definedName>
    <definedName name="WV_FINANCIAL" localSheetId="56">Legion!$B$55:$F$55</definedName>
    <definedName name="WV_FINANCIAL" localSheetId="57">'Life Health America'!$B$55:$F$55</definedName>
    <definedName name="WV_FINANCIAL" localSheetId="58">'Lincoln Memorial'!$B$55:$F$55</definedName>
    <definedName name="WV_FINANCIAL" localSheetId="59">'London Pac'!$B$55:$F$55</definedName>
    <definedName name="WV_FINANCIAL" localSheetId="60">Lumbermens!$B$55:$F$55</definedName>
    <definedName name="WV_FINANCIAL" localSheetId="61">'Medical Savings'!$B$55:$F$55</definedName>
    <definedName name="WV_FINANCIAL" localSheetId="62">'Memorial Service'!$B$55:$F$55</definedName>
    <definedName name="WV_FINANCIAL" localSheetId="63">Midcontinent!$B$55:$F$55</definedName>
    <definedName name="WV_FINANCIAL" localSheetId="64">'Midwest Life'!$B$55:$F$55</definedName>
    <definedName name="WV_FINANCIAL" localSheetId="65">'Monarch Life'!$B$55:$F$55</definedName>
    <definedName name="WV_FINANCIAL" localSheetId="66">'Mutual Benefit'!$B$55:$F$55</definedName>
    <definedName name="WV_FINANCIAL" localSheetId="67">'Mutual Security'!$B$55:$F$55</definedName>
    <definedName name="WV_FINANCIAL" localSheetId="68">'National Affiliated'!$B$55:$F$55</definedName>
    <definedName name="WV_FINANCIAL" localSheetId="70">'National Heritage'!$B$55:$F$55</definedName>
    <definedName name="WV_FINANCIAL" localSheetId="71">'National States'!$B$55:$F$55</definedName>
    <definedName name="WV_FINANCIAL" localSheetId="69">'Natl American'!$B$55:$F$55</definedName>
    <definedName name="WV_FINANCIAL" localSheetId="72">'New Jersey Life'!$B$55:$F$55</definedName>
    <definedName name="WV_FINANCIAL" localSheetId="74">NNIC!$B$55:$F$55</definedName>
    <definedName name="WV_FINANCIAL" localSheetId="73">'North Carolina Mutual'!$B$55:$F$55</definedName>
    <definedName name="WV_FINANCIAL" localSheetId="75">'Old Colony Life'!$B$55:$F$55</definedName>
    <definedName name="WV_FINANCIAL" localSheetId="76">'Old Faithful'!$B$55:$F$55</definedName>
    <definedName name="WV_FINANCIAL" localSheetId="77">'Pacific Standard'!$B$55:$F$55</definedName>
    <definedName name="WV_FINANCIAL" localSheetId="78">'Pavonia Life'!$B$55:$F$55</definedName>
    <definedName name="WV_FINANCIAL" localSheetId="79">'Pen  Treaty'!$B$55:$F$55</definedName>
    <definedName name="WV_FINANCIAL" localSheetId="80">'Red Rock'!$B$55:$F$55</definedName>
    <definedName name="WV_FINANCIAL" localSheetId="81">Reliance!$B$55:$F$55</definedName>
    <definedName name="WV_FINANCIAL" localSheetId="82">SeeChange!$B$55:$F$55</definedName>
    <definedName name="WV_FINANCIAL" localSheetId="83">'Senior American'!$B$55:$F$55</definedName>
    <definedName name="WV_FINANCIAL" localSheetId="84">Settlers!$B$55:$F$55</definedName>
    <definedName name="WV_FINANCIAL" localSheetId="85">Shenandoah!$B$55:$F$55</definedName>
    <definedName name="WV_FINANCIAL" localSheetId="86">'Southland National Life'!$B$55:$F$55</definedName>
    <definedName name="WV_FINANCIAL" localSheetId="87">'Standard Life IN'!$B$55:$F$55</definedName>
    <definedName name="WV_FINANCIAL" localSheetId="88">'States General'!$B$55:$F$55</definedName>
    <definedName name="WV_FINANCIAL" localSheetId="89">Statesman!$B$55:$F$55</definedName>
    <definedName name="WV_FINANCIAL" localSheetId="90">'Summit National'!$B$55:$F$55</definedName>
    <definedName name="WV_FINANCIAL" localSheetId="91">Supreme!$B$55:$F$55</definedName>
    <definedName name="WV_FINANCIAL" localSheetId="92">Time!$B$55:$F$55</definedName>
    <definedName name="WV_FINANCIAL" localSheetId="106">'Total Summary'!$B$55:$F$55</definedName>
    <definedName name="WV_FINANCIAL" localSheetId="93">Underwriters!$B$55:$F$55</definedName>
    <definedName name="WV_FINANCIAL" localSheetId="94">Unison!$B$55:$F$55</definedName>
    <definedName name="WV_FINANCIAL" localSheetId="95">'United Republic'!$B$55:$F$55</definedName>
    <definedName name="WV_FINANCIAL" localSheetId="96">'Universal Health Care'!$B$55:$F$55</definedName>
    <definedName name="WV_FINANCIAL" localSheetId="97">'Universal Life'!$B$55:$F$55</definedName>
    <definedName name="WV_FINANCIAL" localSheetId="98">Universe!$B$55:$F$55</definedName>
    <definedName name="WV_FINANCIAL" localSheetId="99">Villanova!$B$55:$F$55</definedName>
    <definedName name="WY_FINANCIAL" localSheetId="0">'Alabama Life'!$B$57:$F$57</definedName>
    <definedName name="WY_FINANCIAL" localSheetId="5">'Amer Life Asr'!$B$57:$F$57</definedName>
    <definedName name="WY_FINANCIAL" localSheetId="8">'Amer Std Life Acc'!$B$57:$F$57</definedName>
    <definedName name="WY_FINANCIAL" localSheetId="1">'American Chambers'!$B$57:$F$57</definedName>
    <definedName name="WY_FINANCIAL" localSheetId="2">'American Community'!$B$57:$F$57</definedName>
    <definedName name="WY_FINANCIAL" localSheetId="3">'American Educators'!$B$57:$F$57</definedName>
    <definedName name="WY_FINANCIAL" localSheetId="4">'American Integrity'!$B$57:$F$57</definedName>
    <definedName name="WY_FINANCIAL" localSheetId="6">'American Medical'!$B$57:$F$57</definedName>
    <definedName name="WY_FINANCIAL" localSheetId="7">'American Network'!$B$57:$F$57</definedName>
    <definedName name="WY_FINANCIAL" localSheetId="9">AmerWstrn!$B$57:$F$57</definedName>
    <definedName name="WY_FINANCIAL" localSheetId="10">'AMS Life'!$B$57:$F$57</definedName>
    <definedName name="WY_FINANCIAL" localSheetId="11">'Andrew Jackson'!$B$57:$F$57</definedName>
    <definedName name="WY_FINANCIAL" localSheetId="12">'Bankers Commercial'!$B$57:$F$57</definedName>
    <definedName name="WY_FINANCIAL" localSheetId="13">'Bankers Life'!$B$57:$F$57</definedName>
    <definedName name="WY_FINANCIAL" localSheetId="14">Benicorp!$B$57:$F$57</definedName>
    <definedName name="WY_FINANCIAL" localSheetId="15">'Booker T Washington'!$B$57:$F$57</definedName>
    <definedName name="WY_FINANCIAL" localSheetId="16">Centennial!$B$57:$F$57</definedName>
    <definedName name="WY_FINANCIAL" localSheetId="18">'CO Bankers'!$B$57:$F$57</definedName>
    <definedName name="WY_FINANCIAL" localSheetId="17">'Coastal States'!$B$57:$F$57</definedName>
    <definedName name="WY_FINANCIAL" localSheetId="19">'Colorado Health'!$B$57:$F$57</definedName>
    <definedName name="WY_FINANCIAL" localSheetId="20">'Compass (dbs Meritus)'!$B$57:$F$57</definedName>
    <definedName name="WY_FINANCIAL" localSheetId="21">'Confed Life &amp; Annty (CLIAC)'!$B$57:$F$57</definedName>
    <definedName name="WY_FINANCIAL" localSheetId="22">'Confed Life (CLIC)'!$B$57:$F$57</definedName>
    <definedName name="WY_FINANCIAL" localSheetId="23">'Consolidated National'!$B$57:$F$57</definedName>
    <definedName name="WY_FINANCIAL" localSheetId="24">'Consumers Choice'!$B$57:$F$57</definedName>
    <definedName name="WY_FINANCIAL" localSheetId="25">'Consumers Mutual'!$B$57:$F$57</definedName>
    <definedName name="WY_FINANCIAL" localSheetId="26">'Consumers United'!$B$57:$F$57</definedName>
    <definedName name="WY_FINANCIAL" localSheetId="27">CoOportunity!$B$57:$F$57</definedName>
    <definedName name="WY_FINANCIAL" localSheetId="28">'Coordinated Hlth'!$B$57:$F$57</definedName>
    <definedName name="WY_FINANCIAL" localSheetId="29">'Corporate Life'!$B$57:$F$57</definedName>
    <definedName name="WY_FINANCIAL" localSheetId="30">'Diamond Benefits'!$B$57:$F$57</definedName>
    <definedName name="WY_FINANCIAL" localSheetId="31">'EBL Life'!$B$57:$F$57</definedName>
    <definedName name="WY_FINANCIAL" localSheetId="33">ELNY!$B$57:$F$57</definedName>
    <definedName name="WY_FINANCIAL" localSheetId="32">'Executive Life'!$B$57:$F$57</definedName>
    <definedName name="WY_FINANCIAL" localSheetId="34">'Family Guaranty'!$B$57:$F$57</definedName>
    <definedName name="WY_FINANCIAL" localSheetId="35">'Farmers &amp; Ranchers'!$B$57:$F$57</definedName>
    <definedName name="WY_FINANCIAL" localSheetId="36">'Fidelity Bankers'!$B$57:$F$57</definedName>
    <definedName name="WY_FINANCIAL" localSheetId="37">'Fidelity Mutual'!$B$57:$F$57</definedName>
    <definedName name="WY_FINANCIAL" localSheetId="38">'First Capital'!$B$57:$F$57</definedName>
    <definedName name="WY_FINANCIAL" localSheetId="39">'First Natl'!$B$57:$F$57</definedName>
    <definedName name="WY_FINANCIAL" localSheetId="40">'First Natl (Thrnr)'!$B$57:$F$57</definedName>
    <definedName name="WY_FINANCIAL" localSheetId="41">'Franklin American'!$B$57:$F$57</definedName>
    <definedName name="WY_FINANCIAL" localSheetId="42">'Franklin Protective'!$B$57:$F$57</definedName>
    <definedName name="WY_FINANCIAL" localSheetId="43">'Freelancers CO-OP'!$B$57:$F$57</definedName>
    <definedName name="WY_FINANCIAL" localSheetId="44">Freestone!$B$57:$F$57</definedName>
    <definedName name="WY_FINANCIAL" localSheetId="45">'George Washington'!$B$57:$F$57</definedName>
    <definedName name="WY_FINANCIAL" localSheetId="46">'Golden State'!$B$57:$F$57</definedName>
    <definedName name="WY_FINANCIAL" localSheetId="47">'Guarantee Security'!$B$57:$F$57</definedName>
    <definedName name="WY_FINANCIAL" localSheetId="48">HealthyCT!$B$57:$F$57</definedName>
    <definedName name="WY_FINANCIAL" localSheetId="49">Imerica!$B$57:$F$57</definedName>
    <definedName name="WY_FINANCIAL" localSheetId="50">'Inter-American'!$B$57:$F$57</definedName>
    <definedName name="WY_FINANCIAL" localSheetId="51">'International Fin'!$B$57:$F$57</definedName>
    <definedName name="WY_FINANCIAL" localSheetId="52">'Investment Life of America'!$B$57:$F$57</definedName>
    <definedName name="WY_FINANCIAL" localSheetId="53">'Investors Equity'!$B$57:$F$57</definedName>
    <definedName name="WY_FINANCIAL" localSheetId="54">'Kentucky Central'!$B$57:$F$57</definedName>
    <definedName name="WY_FINANCIAL" localSheetId="55">'Land of Lincoln'!$B$57:$F$57</definedName>
    <definedName name="WY_FINANCIAL" localSheetId="56">Legion!$B$57:$F$57</definedName>
    <definedName name="WY_FINANCIAL" localSheetId="57">'Life Health America'!$B$57:$F$57</definedName>
    <definedName name="WY_FINANCIAL" localSheetId="58">'Lincoln Memorial'!$B$57:$F$57</definedName>
    <definedName name="WY_FINANCIAL" localSheetId="59">'London Pac'!$B$57:$F$57</definedName>
    <definedName name="WY_FINANCIAL" localSheetId="60">Lumbermens!$B$57:$F$57</definedName>
    <definedName name="WY_FINANCIAL" localSheetId="61">'Medical Savings'!$B$57:$F$57</definedName>
    <definedName name="WY_FINANCIAL" localSheetId="62">'Memorial Service'!$B$57:$F$57</definedName>
    <definedName name="WY_FINANCIAL" localSheetId="63">Midcontinent!$B$57:$F$57</definedName>
    <definedName name="WY_FINANCIAL" localSheetId="64">'Midwest Life'!$B$57:$F$57</definedName>
    <definedName name="WY_FINANCIAL" localSheetId="65">'Monarch Life'!$B$57:$F$57</definedName>
    <definedName name="WY_FINANCIAL" localSheetId="66">'Mutual Benefit'!$B$57:$F$57</definedName>
    <definedName name="WY_FINANCIAL" localSheetId="67">'Mutual Security'!$B$57:$F$57</definedName>
    <definedName name="WY_FINANCIAL" localSheetId="68">'National Affiliated'!$B$57:$F$57</definedName>
    <definedName name="WY_FINANCIAL" localSheetId="70">'National Heritage'!$B$57:$F$57</definedName>
    <definedName name="WY_FINANCIAL" localSheetId="71">'National States'!$B$57:$F$57</definedName>
    <definedName name="WY_FINANCIAL" localSheetId="69">'Natl American'!$B$57:$F$57</definedName>
    <definedName name="WY_FINANCIAL" localSheetId="72">'New Jersey Life'!$B$57:$F$57</definedName>
    <definedName name="WY_FINANCIAL" localSheetId="74">NNIC!$B$57:$F$57</definedName>
    <definedName name="WY_FINANCIAL" localSheetId="73">'North Carolina Mutual'!$B$57:$F$57</definedName>
    <definedName name="WY_FINANCIAL" localSheetId="75">'Old Colony Life'!$B$57:$F$57</definedName>
    <definedName name="WY_FINANCIAL" localSheetId="76">'Old Faithful'!$B$57:$F$57</definedName>
    <definedName name="WY_FINANCIAL" localSheetId="77">'Pacific Standard'!$B$57:$F$57</definedName>
    <definedName name="WY_FINANCIAL" localSheetId="78">'Pavonia Life'!$B$57:$F$57</definedName>
    <definedName name="WY_FINANCIAL" localSheetId="79">'Pen  Treaty'!$B$57:$F$57</definedName>
    <definedName name="WY_FINANCIAL" localSheetId="80">'Red Rock'!$B$57:$F$57</definedName>
    <definedName name="WY_FINANCIAL" localSheetId="81">Reliance!$B$57:$F$57</definedName>
    <definedName name="WY_FINANCIAL" localSheetId="82">SeeChange!$B$57:$F$57</definedName>
    <definedName name="WY_FINANCIAL" localSheetId="83">'Senior American'!$B$57:$F$57</definedName>
    <definedName name="WY_FINANCIAL" localSheetId="84">Settlers!$B$57:$F$57</definedName>
    <definedName name="WY_FINANCIAL" localSheetId="85">Shenandoah!$B$57:$F$57</definedName>
    <definedName name="WY_FINANCIAL" localSheetId="86">'Southland National Life'!$B$57:$F$57</definedName>
    <definedName name="WY_FINANCIAL" localSheetId="87">'Standard Life IN'!$B$57:$F$57</definedName>
    <definedName name="WY_FINANCIAL" localSheetId="88">'States General'!$B$57:$F$57</definedName>
    <definedName name="WY_FINANCIAL" localSheetId="89">Statesman!$B$57:$F$57</definedName>
    <definedName name="WY_FINANCIAL" localSheetId="90">'Summit National'!$B$57:$F$57</definedName>
    <definedName name="WY_FINANCIAL" localSheetId="91">Supreme!$B$57:$F$57</definedName>
    <definedName name="WY_FINANCIAL" localSheetId="92">Time!$B$57:$F$57</definedName>
    <definedName name="WY_FINANCIAL" localSheetId="106">'Total Summary'!$B$57:$F$57</definedName>
    <definedName name="WY_FINANCIAL" localSheetId="93">Underwriters!$B$57:$F$57</definedName>
    <definedName name="WY_FINANCIAL" localSheetId="94">Unison!$B$57:$F$57</definedName>
    <definedName name="WY_FINANCIAL" localSheetId="95">'United Republic'!$B$57:$F$57</definedName>
    <definedName name="WY_FINANCIAL" localSheetId="96">'Universal Health Care'!$B$57:$F$57</definedName>
    <definedName name="WY_FINANCIAL" localSheetId="97">'Universal Life'!$B$57:$F$57</definedName>
    <definedName name="WY_FINANCIAL" localSheetId="98">Universe!$B$57:$F$57</definedName>
    <definedName name="WY_FINANCIAL" localSheetId="99">Villanova!$B$57:$F$57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3" i="103" l="1"/>
  <c r="D13" i="103"/>
  <c r="H16" i="103"/>
  <c r="D16" i="103"/>
  <c r="H50" i="103"/>
  <c r="D50" i="103"/>
  <c r="G2094" i="108"/>
  <c r="G2095" i="108" s="1"/>
  <c r="L2093" i="108"/>
  <c r="H2093" i="108"/>
  <c r="H2095" i="108" s="1"/>
  <c r="G2093" i="108"/>
  <c r="F2093" i="108"/>
  <c r="E2093" i="108"/>
  <c r="K2092" i="108"/>
  <c r="I2092" i="108"/>
  <c r="I2091" i="108"/>
  <c r="K2091" i="108" s="1"/>
  <c r="K2093" i="108" s="1"/>
  <c r="L2087" i="108"/>
  <c r="I2087" i="108"/>
  <c r="H2087" i="108"/>
  <c r="G2087" i="108"/>
  <c r="F2087" i="108"/>
  <c r="E2087" i="108"/>
  <c r="K2086" i="108"/>
  <c r="I2086" i="108"/>
  <c r="I2085" i="108"/>
  <c r="K2085" i="108" s="1"/>
  <c r="K2087" i="108" s="1"/>
  <c r="G2076" i="108"/>
  <c r="I2071" i="108"/>
  <c r="K2071" i="108" s="1"/>
  <c r="H2071" i="108"/>
  <c r="H2081" i="108" s="1"/>
  <c r="G2071" i="108"/>
  <c r="G2081" i="108" s="1"/>
  <c r="F2071" i="108"/>
  <c r="F2081" i="108" s="1"/>
  <c r="I2081" i="108" s="1"/>
  <c r="K2081" i="108" s="1"/>
  <c r="E2071" i="108"/>
  <c r="E2081" i="108" s="1"/>
  <c r="H2070" i="108"/>
  <c r="H2080" i="108" s="1"/>
  <c r="G2070" i="108"/>
  <c r="G2080" i="108" s="1"/>
  <c r="F2070" i="108"/>
  <c r="I2070" i="108" s="1"/>
  <c r="K2070" i="108" s="1"/>
  <c r="E2070" i="108"/>
  <c r="E2080" i="108" s="1"/>
  <c r="H2069" i="108"/>
  <c r="H2079" i="108" s="1"/>
  <c r="G2069" i="108"/>
  <c r="G2079" i="108" s="1"/>
  <c r="F2069" i="108"/>
  <c r="F2079" i="108" s="1"/>
  <c r="E2069" i="108"/>
  <c r="I2069" i="108" s="1"/>
  <c r="K2069" i="108" s="1"/>
  <c r="H2068" i="108"/>
  <c r="H2078" i="108" s="1"/>
  <c r="G2068" i="108"/>
  <c r="G2078" i="108" s="1"/>
  <c r="F2068" i="108"/>
  <c r="F2078" i="108" s="1"/>
  <c r="E2068" i="108"/>
  <c r="I2068" i="108" s="1"/>
  <c r="K2068" i="108" s="1"/>
  <c r="H2067" i="108"/>
  <c r="I2067" i="108" s="1"/>
  <c r="K2067" i="108" s="1"/>
  <c r="G2067" i="108"/>
  <c r="G2077" i="108" s="1"/>
  <c r="F2067" i="108"/>
  <c r="F2077" i="108" s="1"/>
  <c r="E2067" i="108"/>
  <c r="E2077" i="108" s="1"/>
  <c r="H2066" i="108"/>
  <c r="H2076" i="108" s="1"/>
  <c r="G2066" i="108"/>
  <c r="I2066" i="108" s="1"/>
  <c r="K2066" i="108" s="1"/>
  <c r="F2066" i="108"/>
  <c r="F2076" i="108" s="1"/>
  <c r="E2066" i="108"/>
  <c r="E2076" i="108" s="1"/>
  <c r="I2065" i="108"/>
  <c r="K2065" i="108" s="1"/>
  <c r="H2065" i="108"/>
  <c r="H2075" i="108" s="1"/>
  <c r="G2065" i="108"/>
  <c r="G2075" i="108" s="1"/>
  <c r="F2065" i="108"/>
  <c r="F2075" i="108" s="1"/>
  <c r="E2065" i="108"/>
  <c r="E2075" i="108" s="1"/>
  <c r="K2064" i="108"/>
  <c r="I2064" i="108"/>
  <c r="H2064" i="108"/>
  <c r="H2074" i="108" s="1"/>
  <c r="G2064" i="108"/>
  <c r="G2074" i="108" s="1"/>
  <c r="F2064" i="108"/>
  <c r="F2074" i="108" s="1"/>
  <c r="E2064" i="108"/>
  <c r="E2074" i="108" s="1"/>
  <c r="I2074" i="108" s="1"/>
  <c r="K2074" i="108" s="1"/>
  <c r="I2061" i="108"/>
  <c r="K2061" i="108" s="1"/>
  <c r="K2060" i="108"/>
  <c r="I2060" i="108"/>
  <c r="I2059" i="108"/>
  <c r="K2059" i="108" s="1"/>
  <c r="I2058" i="108"/>
  <c r="K2058" i="108" s="1"/>
  <c r="K2057" i="108"/>
  <c r="I2057" i="108"/>
  <c r="K2056" i="108"/>
  <c r="I2056" i="108"/>
  <c r="K2055" i="108"/>
  <c r="I2055" i="108"/>
  <c r="I2054" i="108"/>
  <c r="K2054" i="108" s="1"/>
  <c r="I2051" i="108"/>
  <c r="K2051" i="108" s="1"/>
  <c r="I2050" i="108"/>
  <c r="K2050" i="108" s="1"/>
  <c r="I2049" i="108"/>
  <c r="K2049" i="108" s="1"/>
  <c r="I2048" i="108"/>
  <c r="K2048" i="108" s="1"/>
  <c r="K2047" i="108"/>
  <c r="I2047" i="108"/>
  <c r="K2046" i="108"/>
  <c r="I2046" i="108"/>
  <c r="K2045" i="108"/>
  <c r="I2045" i="108"/>
  <c r="I2044" i="108"/>
  <c r="K2044" i="108" s="1"/>
  <c r="I2040" i="108"/>
  <c r="K2040" i="108" s="1"/>
  <c r="I2039" i="108"/>
  <c r="K2039" i="108" s="1"/>
  <c r="I2038" i="108"/>
  <c r="K2038" i="108" s="1"/>
  <c r="I2037" i="108"/>
  <c r="K2037" i="108" s="1"/>
  <c r="K2036" i="108"/>
  <c r="I2036" i="108"/>
  <c r="K2035" i="108"/>
  <c r="I2035" i="108"/>
  <c r="K2034" i="108"/>
  <c r="I2034" i="108"/>
  <c r="I2033" i="108"/>
  <c r="K2033" i="108" s="1"/>
  <c r="L2031" i="108"/>
  <c r="H2031" i="108"/>
  <c r="G2031" i="108"/>
  <c r="F2031" i="108"/>
  <c r="E2031" i="108"/>
  <c r="L2030" i="108"/>
  <c r="H2030" i="108"/>
  <c r="G2030" i="108"/>
  <c r="F2030" i="108"/>
  <c r="E2030" i="108"/>
  <c r="F2029" i="108"/>
  <c r="F2028" i="108"/>
  <c r="F2027" i="108"/>
  <c r="I2027" i="108" s="1"/>
  <c r="K2027" i="108" s="1"/>
  <c r="H2022" i="108"/>
  <c r="G2022" i="108"/>
  <c r="F2022" i="108"/>
  <c r="E2022" i="108"/>
  <c r="H2012" i="108"/>
  <c r="H2008" i="108"/>
  <c r="G2008" i="108"/>
  <c r="F2008" i="108"/>
  <c r="H2007" i="108"/>
  <c r="G2007" i="108"/>
  <c r="G2006" i="108"/>
  <c r="H2005" i="108"/>
  <c r="G2005" i="108"/>
  <c r="H2004" i="108"/>
  <c r="G2004" i="108"/>
  <c r="H2003" i="108"/>
  <c r="E2003" i="108"/>
  <c r="G2003" i="108" s="1"/>
  <c r="H2002" i="108"/>
  <c r="G2001" i="108"/>
  <c r="F2000" i="108"/>
  <c r="H1998" i="108"/>
  <c r="G1998" i="108"/>
  <c r="H1997" i="108"/>
  <c r="F1997" i="108"/>
  <c r="H1992" i="108"/>
  <c r="H1990" i="108"/>
  <c r="F1988" i="108"/>
  <c r="H1984" i="108"/>
  <c r="H1982" i="108"/>
  <c r="H1976" i="108"/>
  <c r="H1974" i="108"/>
  <c r="Z1969" i="108"/>
  <c r="W1969" i="108"/>
  <c r="R1969" i="108"/>
  <c r="Q1969" i="108"/>
  <c r="P1969" i="108"/>
  <c r="L1969" i="108"/>
  <c r="J1969" i="108"/>
  <c r="H1969" i="108"/>
  <c r="G1969" i="108"/>
  <c r="F1969" i="108"/>
  <c r="E1969" i="108"/>
  <c r="Z1965" i="108"/>
  <c r="Y1965" i="108"/>
  <c r="X1965" i="108"/>
  <c r="W1965" i="108"/>
  <c r="S1965" i="108"/>
  <c r="Q1965" i="108"/>
  <c r="P1965" i="108"/>
  <c r="L1965" i="108"/>
  <c r="J1965" i="108"/>
  <c r="I1965" i="108"/>
  <c r="K1965" i="108" s="1"/>
  <c r="H1965" i="108"/>
  <c r="G1965" i="108"/>
  <c r="F1965" i="108"/>
  <c r="E1965" i="108"/>
  <c r="Z1964" i="108"/>
  <c r="Y1964" i="108"/>
  <c r="X1964" i="108"/>
  <c r="W1964" i="108"/>
  <c r="S1964" i="108"/>
  <c r="Q1964" i="108"/>
  <c r="P1964" i="108"/>
  <c r="L1964" i="108"/>
  <c r="J1964" i="108"/>
  <c r="I1964" i="108"/>
  <c r="K1964" i="108" s="1"/>
  <c r="H1964" i="108"/>
  <c r="G1964" i="108"/>
  <c r="F1964" i="108"/>
  <c r="F2007" i="108" s="1"/>
  <c r="E1964" i="108"/>
  <c r="Z1963" i="108"/>
  <c r="Y1963" i="108"/>
  <c r="X1963" i="108"/>
  <c r="W1963" i="108"/>
  <c r="S1963" i="108"/>
  <c r="Q1963" i="108"/>
  <c r="P1963" i="108"/>
  <c r="L1963" i="108"/>
  <c r="J1963" i="108"/>
  <c r="I1963" i="108"/>
  <c r="K1963" i="108" s="1"/>
  <c r="H1963" i="108"/>
  <c r="H2006" i="108" s="1"/>
  <c r="G1963" i="108"/>
  <c r="F1963" i="108"/>
  <c r="F2006" i="108" s="1"/>
  <c r="E1963" i="108"/>
  <c r="Z1962" i="108"/>
  <c r="X1962" i="108"/>
  <c r="W1962" i="108"/>
  <c r="S1962" i="108"/>
  <c r="Q1962" i="108"/>
  <c r="P1962" i="108"/>
  <c r="L1962" i="108"/>
  <c r="J1962" i="108"/>
  <c r="I1962" i="108"/>
  <c r="K1962" i="108" s="1"/>
  <c r="H1962" i="108"/>
  <c r="G1962" i="108"/>
  <c r="F1962" i="108"/>
  <c r="F2005" i="108" s="1"/>
  <c r="E1962" i="108"/>
  <c r="Z1961" i="108"/>
  <c r="X1961" i="108"/>
  <c r="W1961" i="108"/>
  <c r="S1961" i="108"/>
  <c r="Q1961" i="108"/>
  <c r="P1961" i="108"/>
  <c r="L1961" i="108"/>
  <c r="J1961" i="108"/>
  <c r="I1961" i="108"/>
  <c r="K1961" i="108" s="1"/>
  <c r="H1961" i="108"/>
  <c r="G1961" i="108"/>
  <c r="F1961" i="108"/>
  <c r="F2004" i="108" s="1"/>
  <c r="E1961" i="108"/>
  <c r="Z1960" i="108"/>
  <c r="Y1960" i="108"/>
  <c r="X1960" i="108"/>
  <c r="W1960" i="108"/>
  <c r="S1960" i="108"/>
  <c r="Q1960" i="108"/>
  <c r="P1960" i="108"/>
  <c r="L1960" i="108"/>
  <c r="J1960" i="108"/>
  <c r="H1960" i="108"/>
  <c r="G1960" i="108"/>
  <c r="F1960" i="108"/>
  <c r="F2003" i="108" s="1"/>
  <c r="E1960" i="108"/>
  <c r="I1960" i="108" s="1"/>
  <c r="K1960" i="108" s="1"/>
  <c r="D1960" i="108"/>
  <c r="D1961" i="108" s="1"/>
  <c r="D1962" i="108" s="1"/>
  <c r="D1963" i="108" s="1"/>
  <c r="D1964" i="108" s="1"/>
  <c r="D1965" i="108" s="1"/>
  <c r="Z1959" i="108"/>
  <c r="Y1959" i="108"/>
  <c r="X1959" i="108"/>
  <c r="W1959" i="108"/>
  <c r="Q1959" i="108"/>
  <c r="P1959" i="108"/>
  <c r="L1959" i="108"/>
  <c r="J1959" i="108"/>
  <c r="H1959" i="108"/>
  <c r="G1959" i="108"/>
  <c r="F1959" i="108"/>
  <c r="F2002" i="108" s="1"/>
  <c r="E1959" i="108"/>
  <c r="I1959" i="108" s="1"/>
  <c r="K1959" i="108" s="1"/>
  <c r="Z1958" i="108"/>
  <c r="Y1958" i="108"/>
  <c r="X1958" i="108"/>
  <c r="W1958" i="108"/>
  <c r="Q1958" i="108"/>
  <c r="P1958" i="108"/>
  <c r="L1958" i="108"/>
  <c r="J1958" i="108"/>
  <c r="H1958" i="108"/>
  <c r="H2001" i="108" s="1"/>
  <c r="G1958" i="108"/>
  <c r="F1958" i="108"/>
  <c r="F2001" i="108" s="1"/>
  <c r="E1958" i="108"/>
  <c r="I1958" i="108" s="1"/>
  <c r="K1958" i="108" s="1"/>
  <c r="Z1957" i="108"/>
  <c r="Y1957" i="108"/>
  <c r="X1957" i="108"/>
  <c r="W1957" i="108"/>
  <c r="Q1957" i="108"/>
  <c r="P1957" i="108"/>
  <c r="L1957" i="108"/>
  <c r="J1957" i="108"/>
  <c r="H1957" i="108"/>
  <c r="H2000" i="108" s="1"/>
  <c r="G1957" i="108"/>
  <c r="F1957" i="108"/>
  <c r="I1957" i="108" s="1"/>
  <c r="K1957" i="108" s="1"/>
  <c r="E1957" i="108"/>
  <c r="Z1956" i="108"/>
  <c r="Y1956" i="108"/>
  <c r="X1956" i="108"/>
  <c r="W1956" i="108"/>
  <c r="S1956" i="108"/>
  <c r="Q1956" i="108"/>
  <c r="P1956" i="108"/>
  <c r="L1956" i="108"/>
  <c r="J1956" i="108"/>
  <c r="H1956" i="108"/>
  <c r="H1999" i="108" s="1"/>
  <c r="G1956" i="108"/>
  <c r="F1956" i="108"/>
  <c r="F1999" i="108" s="1"/>
  <c r="E1956" i="108"/>
  <c r="I1956" i="108" s="1"/>
  <c r="K1956" i="108" s="1"/>
  <c r="Z1955" i="108"/>
  <c r="Y1955" i="108"/>
  <c r="X1955" i="108"/>
  <c r="W1955" i="108"/>
  <c r="S1955" i="108"/>
  <c r="Q1955" i="108"/>
  <c r="P1955" i="108"/>
  <c r="L1955" i="108"/>
  <c r="F1998" i="108" s="1"/>
  <c r="J1955" i="108"/>
  <c r="H1955" i="108"/>
  <c r="G1955" i="108"/>
  <c r="F1955" i="108"/>
  <c r="E1955" i="108"/>
  <c r="I1955" i="108" s="1"/>
  <c r="K1955" i="108" s="1"/>
  <c r="Z1954" i="108"/>
  <c r="Y1954" i="108"/>
  <c r="X1954" i="108"/>
  <c r="W1954" i="108"/>
  <c r="S1954" i="108"/>
  <c r="Q1954" i="108"/>
  <c r="P1954" i="108"/>
  <c r="L1954" i="108"/>
  <c r="J1954" i="108"/>
  <c r="H1954" i="108"/>
  <c r="G1954" i="108"/>
  <c r="F1954" i="108"/>
  <c r="E1954" i="108"/>
  <c r="I1954" i="108" s="1"/>
  <c r="K1954" i="108" s="1"/>
  <c r="Z1953" i="108"/>
  <c r="Y1953" i="108"/>
  <c r="X1953" i="108"/>
  <c r="W1953" i="108"/>
  <c r="S1953" i="108"/>
  <c r="Q1953" i="108"/>
  <c r="P1953" i="108"/>
  <c r="L1953" i="108"/>
  <c r="F1996" i="108" s="1"/>
  <c r="J1953" i="108"/>
  <c r="H1996" i="108" s="1"/>
  <c r="I1953" i="108"/>
  <c r="K1953" i="108" s="1"/>
  <c r="H1953" i="108"/>
  <c r="G1953" i="108"/>
  <c r="F1953" i="108"/>
  <c r="E1953" i="108"/>
  <c r="Z1952" i="108"/>
  <c r="Y1952" i="108"/>
  <c r="X1952" i="108"/>
  <c r="W1952" i="108"/>
  <c r="S1952" i="108"/>
  <c r="Q1952" i="108"/>
  <c r="P1952" i="108"/>
  <c r="L1952" i="108"/>
  <c r="K1952" i="108"/>
  <c r="J1952" i="108"/>
  <c r="I1952" i="108"/>
  <c r="H1952" i="108"/>
  <c r="H1995" i="108" s="1"/>
  <c r="G1952" i="108"/>
  <c r="F1952" i="108"/>
  <c r="F1995" i="108" s="1"/>
  <c r="E1952" i="108"/>
  <c r="Z1951" i="108"/>
  <c r="Y1951" i="108"/>
  <c r="X1951" i="108"/>
  <c r="W1951" i="108"/>
  <c r="S1951" i="108"/>
  <c r="Q1951" i="108"/>
  <c r="P1951" i="108"/>
  <c r="L1951" i="108"/>
  <c r="J1951" i="108"/>
  <c r="H1951" i="108"/>
  <c r="H1994" i="108" s="1"/>
  <c r="G1951" i="108"/>
  <c r="I1951" i="108" s="1"/>
  <c r="K1951" i="108" s="1"/>
  <c r="F1951" i="108"/>
  <c r="F1994" i="108" s="1"/>
  <c r="E1951" i="108"/>
  <c r="Z1950" i="108"/>
  <c r="Y1950" i="108"/>
  <c r="X1950" i="108"/>
  <c r="W1950" i="108"/>
  <c r="S1950" i="108"/>
  <c r="Q1950" i="108"/>
  <c r="P1950" i="108"/>
  <c r="L1950" i="108"/>
  <c r="J1950" i="108"/>
  <c r="I1950" i="108"/>
  <c r="K1950" i="108" s="1"/>
  <c r="H1950" i="108"/>
  <c r="H1993" i="108" s="1"/>
  <c r="G1950" i="108"/>
  <c r="F1950" i="108"/>
  <c r="E1950" i="108"/>
  <c r="Z1949" i="108"/>
  <c r="Y1949" i="108"/>
  <c r="X1949" i="108"/>
  <c r="W1949" i="108"/>
  <c r="S1949" i="108"/>
  <c r="Q1949" i="108"/>
  <c r="P1949" i="108"/>
  <c r="L1949" i="108"/>
  <c r="K1949" i="108"/>
  <c r="J1949" i="108"/>
  <c r="I1949" i="108"/>
  <c r="H1949" i="108"/>
  <c r="G1949" i="108"/>
  <c r="F1949" i="108"/>
  <c r="F1992" i="108" s="1"/>
  <c r="E1949" i="108"/>
  <c r="Z1948" i="108"/>
  <c r="Y1948" i="108"/>
  <c r="X1948" i="108"/>
  <c r="W1948" i="108"/>
  <c r="S1948" i="108"/>
  <c r="Q1948" i="108"/>
  <c r="P1948" i="108"/>
  <c r="L1948" i="108"/>
  <c r="J1948" i="108"/>
  <c r="H1948" i="108"/>
  <c r="G1948" i="108"/>
  <c r="F1948" i="108"/>
  <c r="F1991" i="108" s="1"/>
  <c r="E1948" i="108"/>
  <c r="I1948" i="108" s="1"/>
  <c r="K1948" i="108" s="1"/>
  <c r="Z1947" i="108"/>
  <c r="Y1947" i="108"/>
  <c r="W1947" i="108"/>
  <c r="S1947" i="108"/>
  <c r="Q1947" i="108"/>
  <c r="P1947" i="108"/>
  <c r="L1947" i="108"/>
  <c r="J1947" i="108"/>
  <c r="I1947" i="108"/>
  <c r="K1947" i="108" s="1"/>
  <c r="H1947" i="108"/>
  <c r="G1947" i="108"/>
  <c r="F1947" i="108"/>
  <c r="F1990" i="108" s="1"/>
  <c r="E1947" i="108"/>
  <c r="Z1946" i="108"/>
  <c r="Y1946" i="108"/>
  <c r="X1946" i="108"/>
  <c r="W1946" i="108"/>
  <c r="S1946" i="108"/>
  <c r="Q1946" i="108"/>
  <c r="P1946" i="108"/>
  <c r="L1946" i="108"/>
  <c r="J1946" i="108"/>
  <c r="H1946" i="108"/>
  <c r="H1989" i="108" s="1"/>
  <c r="G1946" i="108"/>
  <c r="F1946" i="108"/>
  <c r="F1989" i="108" s="1"/>
  <c r="E1946" i="108"/>
  <c r="Z1945" i="108"/>
  <c r="Y1945" i="108"/>
  <c r="W1945" i="108"/>
  <c r="S1945" i="108"/>
  <c r="Q1945" i="108"/>
  <c r="P1945" i="108"/>
  <c r="L1945" i="108"/>
  <c r="J1945" i="108"/>
  <c r="H1945" i="108"/>
  <c r="H1988" i="108" s="1"/>
  <c r="G1945" i="108"/>
  <c r="F1945" i="108"/>
  <c r="E1945" i="108"/>
  <c r="I1945" i="108" s="1"/>
  <c r="K1945" i="108" s="1"/>
  <c r="Z1944" i="108"/>
  <c r="Y1944" i="108"/>
  <c r="X1944" i="108"/>
  <c r="W1944" i="108"/>
  <c r="S1944" i="108"/>
  <c r="Q1944" i="108"/>
  <c r="P1944" i="108"/>
  <c r="L1944" i="108"/>
  <c r="J1944" i="108"/>
  <c r="H1987" i="108" s="1"/>
  <c r="H1944" i="108"/>
  <c r="G1944" i="108"/>
  <c r="F1944" i="108"/>
  <c r="F1987" i="108" s="1"/>
  <c r="E1944" i="108"/>
  <c r="Z1943" i="108"/>
  <c r="Y1943" i="108"/>
  <c r="X1943" i="108"/>
  <c r="W1943" i="108"/>
  <c r="S1943" i="108"/>
  <c r="Q1943" i="108"/>
  <c r="P1943" i="108"/>
  <c r="L1943" i="108"/>
  <c r="J1943" i="108"/>
  <c r="H1943" i="108"/>
  <c r="H1986" i="108" s="1"/>
  <c r="G1943" i="108"/>
  <c r="F1943" i="108"/>
  <c r="F1986" i="108" s="1"/>
  <c r="E1943" i="108"/>
  <c r="Z1942" i="108"/>
  <c r="Y1942" i="108"/>
  <c r="X1942" i="108"/>
  <c r="W1942" i="108"/>
  <c r="S1942" i="108"/>
  <c r="Q1942" i="108"/>
  <c r="P1942" i="108"/>
  <c r="L1942" i="108"/>
  <c r="J1942" i="108"/>
  <c r="H1942" i="108"/>
  <c r="H1985" i="108" s="1"/>
  <c r="G1942" i="108"/>
  <c r="F1942" i="108"/>
  <c r="F1985" i="108" s="1"/>
  <c r="E1942" i="108"/>
  <c r="Z1941" i="108"/>
  <c r="Y1941" i="108"/>
  <c r="X1941" i="108"/>
  <c r="W1941" i="108"/>
  <c r="S1941" i="108"/>
  <c r="Q1941" i="108"/>
  <c r="P1941" i="108"/>
  <c r="L1941" i="108"/>
  <c r="J1941" i="108"/>
  <c r="H1941" i="108"/>
  <c r="G1941" i="108"/>
  <c r="F1941" i="108"/>
  <c r="F1984" i="108" s="1"/>
  <c r="E1941" i="108"/>
  <c r="Z1940" i="108"/>
  <c r="Y1940" i="108"/>
  <c r="X1940" i="108"/>
  <c r="W1940" i="108"/>
  <c r="S1940" i="108"/>
  <c r="Q1940" i="108"/>
  <c r="P1940" i="108"/>
  <c r="L1940" i="108"/>
  <c r="J1940" i="108"/>
  <c r="H1940" i="108"/>
  <c r="H1983" i="108" s="1"/>
  <c r="H2094" i="108" s="1"/>
  <c r="G1940" i="108"/>
  <c r="F1940" i="108"/>
  <c r="F1983" i="108" s="1"/>
  <c r="F2094" i="108" s="1"/>
  <c r="F2095" i="108" s="1"/>
  <c r="E1940" i="108"/>
  <c r="E2094" i="108" s="1"/>
  <c r="E2095" i="108" s="1"/>
  <c r="Z1939" i="108"/>
  <c r="Y1939" i="108"/>
  <c r="X1939" i="108"/>
  <c r="W1939" i="108"/>
  <c r="S1939" i="108"/>
  <c r="Q1939" i="108"/>
  <c r="P1939" i="108"/>
  <c r="L1939" i="108"/>
  <c r="J1939" i="108"/>
  <c r="H1939" i="108"/>
  <c r="G1939" i="108"/>
  <c r="F1939" i="108"/>
  <c r="F1982" i="108" s="1"/>
  <c r="E1939" i="108"/>
  <c r="Z1938" i="108"/>
  <c r="Y1938" i="108"/>
  <c r="X1938" i="108"/>
  <c r="W1938" i="108"/>
  <c r="S1938" i="108"/>
  <c r="Q1938" i="108"/>
  <c r="P1938" i="108"/>
  <c r="L1938" i="108"/>
  <c r="F1981" i="108" s="1"/>
  <c r="J1938" i="108"/>
  <c r="H1981" i="108" s="1"/>
  <c r="H1938" i="108"/>
  <c r="G1938" i="108"/>
  <c r="F1938" i="108"/>
  <c r="E1938" i="108"/>
  <c r="Z1937" i="108"/>
  <c r="Y1937" i="108"/>
  <c r="X1937" i="108"/>
  <c r="W1937" i="108"/>
  <c r="S1937" i="108"/>
  <c r="Q1937" i="108"/>
  <c r="P1937" i="108"/>
  <c r="L1937" i="108"/>
  <c r="F1980" i="108" s="1"/>
  <c r="J1937" i="108"/>
  <c r="H1937" i="108"/>
  <c r="G1937" i="108"/>
  <c r="F1937" i="108"/>
  <c r="E1937" i="108"/>
  <c r="Z1936" i="108"/>
  <c r="Y1936" i="108"/>
  <c r="X1936" i="108"/>
  <c r="W1936" i="108"/>
  <c r="S1936" i="108"/>
  <c r="Q1936" i="108"/>
  <c r="P1936" i="108"/>
  <c r="L1936" i="108"/>
  <c r="J1936" i="108"/>
  <c r="H1936" i="108"/>
  <c r="H1979" i="108" s="1"/>
  <c r="G1936" i="108"/>
  <c r="F1936" i="108"/>
  <c r="E1936" i="108"/>
  <c r="Z1935" i="108"/>
  <c r="Y1935" i="108"/>
  <c r="X1935" i="108"/>
  <c r="W1935" i="108"/>
  <c r="S1935" i="108"/>
  <c r="Q1935" i="108"/>
  <c r="P1935" i="108"/>
  <c r="L1935" i="108"/>
  <c r="J1935" i="108"/>
  <c r="H1935" i="108"/>
  <c r="G1935" i="108"/>
  <c r="F1935" i="108"/>
  <c r="F1978" i="108" s="1"/>
  <c r="E1935" i="108"/>
  <c r="Z1934" i="108"/>
  <c r="Y1934" i="108"/>
  <c r="X1934" i="108"/>
  <c r="W1934" i="108"/>
  <c r="S1934" i="108"/>
  <c r="Q1934" i="108"/>
  <c r="P1934" i="108"/>
  <c r="L1934" i="108"/>
  <c r="J1934" i="108"/>
  <c r="J1967" i="108" s="1"/>
  <c r="J1970" i="108" s="1"/>
  <c r="H1934" i="108"/>
  <c r="G1934" i="108"/>
  <c r="F1934" i="108"/>
  <c r="F1977" i="108" s="1"/>
  <c r="E1934" i="108"/>
  <c r="Z1933" i="108"/>
  <c r="Y1933" i="108"/>
  <c r="X1933" i="108"/>
  <c r="W1933" i="108"/>
  <c r="S1933" i="108"/>
  <c r="Q1933" i="108"/>
  <c r="P1933" i="108"/>
  <c r="L1933" i="108"/>
  <c r="J1933" i="108"/>
  <c r="H1933" i="108"/>
  <c r="G1933" i="108"/>
  <c r="F1933" i="108"/>
  <c r="F1976" i="108" s="1"/>
  <c r="E1933" i="108"/>
  <c r="Z1932" i="108"/>
  <c r="Y1932" i="108"/>
  <c r="X1932" i="108"/>
  <c r="W1932" i="108"/>
  <c r="S1932" i="108"/>
  <c r="Q1932" i="108"/>
  <c r="P1932" i="108"/>
  <c r="L1932" i="108"/>
  <c r="J1932" i="108"/>
  <c r="H1932" i="108"/>
  <c r="H1975" i="108" s="1"/>
  <c r="G1932" i="108"/>
  <c r="F1932" i="108"/>
  <c r="F1975" i="108" s="1"/>
  <c r="E1932" i="108"/>
  <c r="Z1931" i="108"/>
  <c r="Y1931" i="108"/>
  <c r="X1931" i="108"/>
  <c r="W1931" i="108"/>
  <c r="S1931" i="108"/>
  <c r="Q1931" i="108"/>
  <c r="P1931" i="108"/>
  <c r="L1931" i="108"/>
  <c r="J1931" i="108"/>
  <c r="H1931" i="108"/>
  <c r="G1931" i="108"/>
  <c r="F1931" i="108"/>
  <c r="F1974" i="108" s="1"/>
  <c r="E1931" i="108"/>
  <c r="Z1930" i="108"/>
  <c r="Z1967" i="108" s="1"/>
  <c r="Z1970" i="108" s="1"/>
  <c r="Y1930" i="108"/>
  <c r="X1930" i="108"/>
  <c r="W1930" i="108"/>
  <c r="W1967" i="108" s="1"/>
  <c r="W1970" i="108" s="1"/>
  <c r="S1930" i="108"/>
  <c r="Q1930" i="108"/>
  <c r="P1930" i="108"/>
  <c r="L1930" i="108"/>
  <c r="J1930" i="108"/>
  <c r="H1930" i="108"/>
  <c r="G1930" i="108"/>
  <c r="F1930" i="108"/>
  <c r="E1930" i="108"/>
  <c r="I1928" i="108"/>
  <c r="K1928" i="108" s="1"/>
  <c r="K1927" i="108"/>
  <c r="I1927" i="108"/>
  <c r="I1926" i="108"/>
  <c r="K1926" i="108" s="1"/>
  <c r="O1925" i="108"/>
  <c r="I1925" i="108"/>
  <c r="K1925" i="108" s="1"/>
  <c r="O1924" i="108"/>
  <c r="I1924" i="108"/>
  <c r="K1924" i="108" s="1"/>
  <c r="O1923" i="108"/>
  <c r="I1923" i="108"/>
  <c r="K1923" i="108" s="1"/>
  <c r="O1922" i="108"/>
  <c r="I1922" i="108"/>
  <c r="K1922" i="108" s="1"/>
  <c r="O1921" i="108"/>
  <c r="I1921" i="108"/>
  <c r="K1921" i="108" s="1"/>
  <c r="O1920" i="108"/>
  <c r="I1920" i="108"/>
  <c r="K1920" i="108" s="1"/>
  <c r="O1919" i="108"/>
  <c r="K1919" i="108"/>
  <c r="I1919" i="108"/>
  <c r="O1918" i="108"/>
  <c r="K1918" i="108"/>
  <c r="I1918" i="108"/>
  <c r="O1917" i="108"/>
  <c r="K1917" i="108"/>
  <c r="I1917" i="108"/>
  <c r="O1916" i="108"/>
  <c r="K1916" i="108"/>
  <c r="I1916" i="108"/>
  <c r="O1915" i="108"/>
  <c r="K1915" i="108"/>
  <c r="I1915" i="108"/>
  <c r="O1914" i="108"/>
  <c r="K1914" i="108"/>
  <c r="I1914" i="108"/>
  <c r="O1913" i="108"/>
  <c r="I1913" i="108"/>
  <c r="K1913" i="108" s="1"/>
  <c r="O1912" i="108"/>
  <c r="I1912" i="108"/>
  <c r="K1912" i="108" s="1"/>
  <c r="O1911" i="108"/>
  <c r="K1911" i="108"/>
  <c r="I1911" i="108"/>
  <c r="O1910" i="108"/>
  <c r="I1910" i="108"/>
  <c r="K1910" i="108" s="1"/>
  <c r="O1909" i="108"/>
  <c r="I1909" i="108"/>
  <c r="K1909" i="108" s="1"/>
  <c r="O1908" i="108"/>
  <c r="I1908" i="108"/>
  <c r="K1908" i="108" s="1"/>
  <c r="O1907" i="108"/>
  <c r="I1907" i="108"/>
  <c r="K1907" i="108" s="1"/>
  <c r="O1906" i="108"/>
  <c r="I1906" i="108"/>
  <c r="K1906" i="108" s="1"/>
  <c r="O1905" i="108"/>
  <c r="I1905" i="108"/>
  <c r="K1905" i="108" s="1"/>
  <c r="O1904" i="108"/>
  <c r="I1904" i="108"/>
  <c r="K1904" i="108" s="1"/>
  <c r="O1903" i="108"/>
  <c r="K1903" i="108"/>
  <c r="I1903" i="108"/>
  <c r="O1902" i="108"/>
  <c r="K1902" i="108"/>
  <c r="I1902" i="108"/>
  <c r="O1901" i="108"/>
  <c r="K1901" i="108"/>
  <c r="I1901" i="108"/>
  <c r="O1900" i="108"/>
  <c r="K1900" i="108"/>
  <c r="I1900" i="108"/>
  <c r="O1899" i="108"/>
  <c r="K1899" i="108"/>
  <c r="I1899" i="108"/>
  <c r="O1898" i="108"/>
  <c r="K1898" i="108"/>
  <c r="I1898" i="108"/>
  <c r="O1897" i="108"/>
  <c r="I1897" i="108"/>
  <c r="K1897" i="108" s="1"/>
  <c r="O1896" i="108"/>
  <c r="K1896" i="108"/>
  <c r="I1896" i="108"/>
  <c r="O1895" i="108"/>
  <c r="K1895" i="108"/>
  <c r="I1895" i="108"/>
  <c r="O1894" i="108"/>
  <c r="I1894" i="108"/>
  <c r="K1894" i="108" s="1"/>
  <c r="O1893" i="108"/>
  <c r="I1893" i="108"/>
  <c r="K1893" i="108" s="1"/>
  <c r="K1891" i="108"/>
  <c r="I1891" i="108"/>
  <c r="O1890" i="108"/>
  <c r="K1890" i="108"/>
  <c r="I1890" i="108"/>
  <c r="I1889" i="108"/>
  <c r="K1889" i="108" s="1"/>
  <c r="O1888" i="108"/>
  <c r="K1888" i="108"/>
  <c r="I1888" i="108"/>
  <c r="O1887" i="108"/>
  <c r="I1887" i="108"/>
  <c r="K1887" i="108" s="1"/>
  <c r="O1886" i="108"/>
  <c r="I1886" i="108"/>
  <c r="K1886" i="108" s="1"/>
  <c r="U1885" i="108"/>
  <c r="S1885" i="108"/>
  <c r="S1959" i="108" s="1"/>
  <c r="O1885" i="108"/>
  <c r="K1885" i="108"/>
  <c r="I1885" i="108"/>
  <c r="U1884" i="108"/>
  <c r="S1884" i="108"/>
  <c r="S1958" i="108" s="1"/>
  <c r="O1884" i="108"/>
  <c r="K1884" i="108"/>
  <c r="I1884" i="108"/>
  <c r="U1883" i="108"/>
  <c r="S1883" i="108"/>
  <c r="S1957" i="108" s="1"/>
  <c r="O1883" i="108"/>
  <c r="I1883" i="108"/>
  <c r="K1883" i="108" s="1"/>
  <c r="U1882" i="108"/>
  <c r="S1882" i="108"/>
  <c r="S1969" i="108" s="1"/>
  <c r="O1882" i="108"/>
  <c r="I1882" i="108"/>
  <c r="K1882" i="108" s="1"/>
  <c r="O1881" i="108"/>
  <c r="I1881" i="108"/>
  <c r="K1881" i="108" s="1"/>
  <c r="O1880" i="108"/>
  <c r="K1880" i="108"/>
  <c r="I1880" i="108"/>
  <c r="O1879" i="108"/>
  <c r="I1879" i="108"/>
  <c r="K1879" i="108" s="1"/>
  <c r="O1878" i="108"/>
  <c r="I1878" i="108"/>
  <c r="K1878" i="108" s="1"/>
  <c r="O1877" i="108"/>
  <c r="I1877" i="108"/>
  <c r="K1877" i="108" s="1"/>
  <c r="O1876" i="108"/>
  <c r="I1876" i="108"/>
  <c r="K1876" i="108" s="1"/>
  <c r="O1875" i="108"/>
  <c r="I1875" i="108"/>
  <c r="K1875" i="108" s="1"/>
  <c r="O1874" i="108"/>
  <c r="I1874" i="108"/>
  <c r="K1874" i="108" s="1"/>
  <c r="O1873" i="108"/>
  <c r="I1873" i="108"/>
  <c r="K1873" i="108" s="1"/>
  <c r="O1872" i="108"/>
  <c r="K1872" i="108"/>
  <c r="I1872" i="108"/>
  <c r="O1871" i="108"/>
  <c r="K1871" i="108"/>
  <c r="I1871" i="108"/>
  <c r="O1870" i="108"/>
  <c r="K1870" i="108"/>
  <c r="I1870" i="108"/>
  <c r="O1869" i="108"/>
  <c r="K1869" i="108"/>
  <c r="I1869" i="108"/>
  <c r="O1868" i="108"/>
  <c r="K1868" i="108"/>
  <c r="I1868" i="108"/>
  <c r="O1867" i="108"/>
  <c r="K1867" i="108"/>
  <c r="I1867" i="108"/>
  <c r="O1866" i="108"/>
  <c r="I1866" i="108"/>
  <c r="K1866" i="108" s="1"/>
  <c r="O1865" i="108"/>
  <c r="K1865" i="108"/>
  <c r="I1865" i="108"/>
  <c r="O1864" i="108"/>
  <c r="K1864" i="108"/>
  <c r="I1864" i="108"/>
  <c r="O1863" i="108"/>
  <c r="I1863" i="108"/>
  <c r="K1863" i="108" s="1"/>
  <c r="O1862" i="108"/>
  <c r="I1862" i="108"/>
  <c r="K1862" i="108" s="1"/>
  <c r="O1861" i="108"/>
  <c r="I1861" i="108"/>
  <c r="K1861" i="108" s="1"/>
  <c r="O1860" i="108"/>
  <c r="I1860" i="108"/>
  <c r="K1860" i="108" s="1"/>
  <c r="O1859" i="108"/>
  <c r="I1859" i="108"/>
  <c r="K1859" i="108" s="1"/>
  <c r="O1858" i="108"/>
  <c r="I1858" i="108"/>
  <c r="K1858" i="108" s="1"/>
  <c r="O1857" i="108"/>
  <c r="I1857" i="108"/>
  <c r="K1857" i="108" s="1"/>
  <c r="O1856" i="108"/>
  <c r="K1856" i="108"/>
  <c r="I1856" i="108"/>
  <c r="I1854" i="108"/>
  <c r="K1854" i="108" s="1"/>
  <c r="O1853" i="108"/>
  <c r="I1853" i="108"/>
  <c r="K1853" i="108" s="1"/>
  <c r="I1852" i="108"/>
  <c r="K1852" i="108" s="1"/>
  <c r="O1851" i="108"/>
  <c r="I1851" i="108"/>
  <c r="K1851" i="108" s="1"/>
  <c r="O1850" i="108"/>
  <c r="I1850" i="108"/>
  <c r="K1850" i="108" s="1"/>
  <c r="O1849" i="108"/>
  <c r="K1849" i="108"/>
  <c r="I1849" i="108"/>
  <c r="O1848" i="108"/>
  <c r="K1848" i="108"/>
  <c r="I1848" i="108"/>
  <c r="O1847" i="108"/>
  <c r="K1847" i="108"/>
  <c r="I1847" i="108"/>
  <c r="O1846" i="108"/>
  <c r="K1846" i="108"/>
  <c r="I1846" i="108"/>
  <c r="O1845" i="108"/>
  <c r="K1845" i="108"/>
  <c r="I1845" i="108"/>
  <c r="O1844" i="108"/>
  <c r="K1844" i="108"/>
  <c r="I1844" i="108"/>
  <c r="O1843" i="108"/>
  <c r="I1843" i="108"/>
  <c r="K1843" i="108" s="1"/>
  <c r="O1842" i="108"/>
  <c r="K1842" i="108"/>
  <c r="I1842" i="108"/>
  <c r="O1841" i="108"/>
  <c r="K1841" i="108"/>
  <c r="I1841" i="108"/>
  <c r="O1840" i="108"/>
  <c r="I1840" i="108"/>
  <c r="K1840" i="108" s="1"/>
  <c r="O1839" i="108"/>
  <c r="I1839" i="108"/>
  <c r="K1839" i="108" s="1"/>
  <c r="O1838" i="108"/>
  <c r="I1838" i="108"/>
  <c r="K1838" i="108" s="1"/>
  <c r="O1837" i="108"/>
  <c r="I1837" i="108"/>
  <c r="K1837" i="108" s="1"/>
  <c r="O1836" i="108"/>
  <c r="I1836" i="108"/>
  <c r="K1836" i="108" s="1"/>
  <c r="O1835" i="108"/>
  <c r="I1835" i="108"/>
  <c r="K1835" i="108" s="1"/>
  <c r="O1834" i="108"/>
  <c r="I1834" i="108"/>
  <c r="K1834" i="108" s="1"/>
  <c r="O1833" i="108"/>
  <c r="K1833" i="108"/>
  <c r="I1833" i="108"/>
  <c r="O1832" i="108"/>
  <c r="K1832" i="108"/>
  <c r="I1832" i="108"/>
  <c r="O1831" i="108"/>
  <c r="K1831" i="108"/>
  <c r="I1831" i="108"/>
  <c r="O1830" i="108"/>
  <c r="K1830" i="108"/>
  <c r="I1830" i="108"/>
  <c r="O1829" i="108"/>
  <c r="K1829" i="108"/>
  <c r="I1829" i="108"/>
  <c r="O1828" i="108"/>
  <c r="K1828" i="108"/>
  <c r="I1828" i="108"/>
  <c r="O1827" i="108"/>
  <c r="I1827" i="108"/>
  <c r="K1827" i="108" s="1"/>
  <c r="O1826" i="108"/>
  <c r="I1826" i="108"/>
  <c r="K1826" i="108" s="1"/>
  <c r="O1825" i="108"/>
  <c r="K1825" i="108"/>
  <c r="I1825" i="108"/>
  <c r="O1824" i="108"/>
  <c r="I1824" i="108"/>
  <c r="K1824" i="108" s="1"/>
  <c r="O1823" i="108"/>
  <c r="I1823" i="108"/>
  <c r="K1823" i="108" s="1"/>
  <c r="O1822" i="108"/>
  <c r="I1822" i="108"/>
  <c r="K1822" i="108" s="1"/>
  <c r="O1821" i="108"/>
  <c r="I1821" i="108"/>
  <c r="K1821" i="108" s="1"/>
  <c r="O1820" i="108"/>
  <c r="I1820" i="108"/>
  <c r="K1820" i="108" s="1"/>
  <c r="O1819" i="108"/>
  <c r="I1819" i="108"/>
  <c r="K1819" i="108" s="1"/>
  <c r="K1817" i="108"/>
  <c r="I1817" i="108"/>
  <c r="O1816" i="108"/>
  <c r="K1816" i="108"/>
  <c r="I1816" i="108"/>
  <c r="I1815" i="108"/>
  <c r="K1815" i="108" s="1"/>
  <c r="O1814" i="108"/>
  <c r="I1814" i="108"/>
  <c r="K1814" i="108" s="1"/>
  <c r="O1813" i="108"/>
  <c r="I1813" i="108"/>
  <c r="K1813" i="108" s="1"/>
  <c r="O1812" i="108"/>
  <c r="I1812" i="108"/>
  <c r="K1812" i="108" s="1"/>
  <c r="O1811" i="108"/>
  <c r="I1811" i="108"/>
  <c r="K1811" i="108" s="1"/>
  <c r="O1810" i="108"/>
  <c r="K1810" i="108"/>
  <c r="I1810" i="108"/>
  <c r="O1809" i="108"/>
  <c r="K1809" i="108"/>
  <c r="I1809" i="108"/>
  <c r="O1808" i="108"/>
  <c r="K1808" i="108"/>
  <c r="I1808" i="108"/>
  <c r="O1807" i="108"/>
  <c r="K1807" i="108"/>
  <c r="I1807" i="108"/>
  <c r="O1806" i="108"/>
  <c r="K1806" i="108"/>
  <c r="I1806" i="108"/>
  <c r="O1805" i="108"/>
  <c r="K1805" i="108"/>
  <c r="I1805" i="108"/>
  <c r="O1804" i="108"/>
  <c r="I1804" i="108"/>
  <c r="K1804" i="108" s="1"/>
  <c r="O1803" i="108"/>
  <c r="K1803" i="108"/>
  <c r="I1803" i="108"/>
  <c r="O1802" i="108"/>
  <c r="K1802" i="108"/>
  <c r="I1802" i="108"/>
  <c r="O1801" i="108"/>
  <c r="I1801" i="108"/>
  <c r="K1801" i="108" s="1"/>
  <c r="O1800" i="108"/>
  <c r="I1800" i="108"/>
  <c r="K1800" i="108" s="1"/>
  <c r="O1799" i="108"/>
  <c r="I1799" i="108"/>
  <c r="K1799" i="108" s="1"/>
  <c r="O1798" i="108"/>
  <c r="I1798" i="108"/>
  <c r="K1798" i="108" s="1"/>
  <c r="O1797" i="108"/>
  <c r="I1797" i="108"/>
  <c r="K1797" i="108" s="1"/>
  <c r="O1796" i="108"/>
  <c r="I1796" i="108"/>
  <c r="K1796" i="108" s="1"/>
  <c r="O1795" i="108"/>
  <c r="I1795" i="108"/>
  <c r="K1795" i="108" s="1"/>
  <c r="O1794" i="108"/>
  <c r="K1794" i="108"/>
  <c r="I1794" i="108"/>
  <c r="O1793" i="108"/>
  <c r="K1793" i="108"/>
  <c r="I1793" i="108"/>
  <c r="O1792" i="108"/>
  <c r="K1792" i="108"/>
  <c r="I1792" i="108"/>
  <c r="O1791" i="108"/>
  <c r="K1791" i="108"/>
  <c r="I1791" i="108"/>
  <c r="O1790" i="108"/>
  <c r="K1790" i="108"/>
  <c r="I1790" i="108"/>
  <c r="O1789" i="108"/>
  <c r="K1789" i="108"/>
  <c r="I1789" i="108"/>
  <c r="O1788" i="108"/>
  <c r="I1788" i="108"/>
  <c r="K1788" i="108" s="1"/>
  <c r="O1787" i="108"/>
  <c r="I1787" i="108"/>
  <c r="K1787" i="108" s="1"/>
  <c r="O1786" i="108"/>
  <c r="K1786" i="108"/>
  <c r="I1786" i="108"/>
  <c r="O1785" i="108"/>
  <c r="I1785" i="108"/>
  <c r="K1785" i="108" s="1"/>
  <c r="O1784" i="108"/>
  <c r="I1784" i="108"/>
  <c r="K1784" i="108" s="1"/>
  <c r="O1783" i="108"/>
  <c r="I1783" i="108"/>
  <c r="K1783" i="108" s="1"/>
  <c r="O1782" i="108"/>
  <c r="I1782" i="108"/>
  <c r="K1782" i="108" s="1"/>
  <c r="K1780" i="108"/>
  <c r="I1780" i="108"/>
  <c r="O1779" i="108"/>
  <c r="K1779" i="108"/>
  <c r="I1779" i="108"/>
  <c r="I1778" i="108"/>
  <c r="K1778" i="108" s="1"/>
  <c r="O1777" i="108"/>
  <c r="I1777" i="108"/>
  <c r="K1777" i="108" s="1"/>
  <c r="O1776" i="108"/>
  <c r="I1776" i="108"/>
  <c r="K1776" i="108" s="1"/>
  <c r="O1775" i="108"/>
  <c r="I1775" i="108"/>
  <c r="K1775" i="108" s="1"/>
  <c r="O1774" i="108"/>
  <c r="I1774" i="108"/>
  <c r="K1774" i="108" s="1"/>
  <c r="O1773" i="108"/>
  <c r="I1773" i="108"/>
  <c r="K1773" i="108" s="1"/>
  <c r="O1772" i="108"/>
  <c r="I1772" i="108"/>
  <c r="K1772" i="108" s="1"/>
  <c r="O1771" i="108"/>
  <c r="K1771" i="108"/>
  <c r="I1771" i="108"/>
  <c r="O1770" i="108"/>
  <c r="K1770" i="108"/>
  <c r="I1770" i="108"/>
  <c r="O1769" i="108"/>
  <c r="K1769" i="108"/>
  <c r="I1769" i="108"/>
  <c r="O1768" i="108"/>
  <c r="K1768" i="108"/>
  <c r="I1768" i="108"/>
  <c r="O1767" i="108"/>
  <c r="K1767" i="108"/>
  <c r="I1767" i="108"/>
  <c r="O1766" i="108"/>
  <c r="K1766" i="108"/>
  <c r="I1766" i="108"/>
  <c r="O1765" i="108"/>
  <c r="I1765" i="108"/>
  <c r="K1765" i="108" s="1"/>
  <c r="O1764" i="108"/>
  <c r="I1764" i="108"/>
  <c r="K1764" i="108" s="1"/>
  <c r="O1763" i="108"/>
  <c r="K1763" i="108"/>
  <c r="I1763" i="108"/>
  <c r="O1762" i="108"/>
  <c r="K1762" i="108"/>
  <c r="I1762" i="108"/>
  <c r="O1761" i="108"/>
  <c r="I1761" i="108"/>
  <c r="K1761" i="108" s="1"/>
  <c r="O1760" i="108"/>
  <c r="I1760" i="108"/>
  <c r="K1760" i="108" s="1"/>
  <c r="O1759" i="108"/>
  <c r="I1759" i="108"/>
  <c r="K1759" i="108" s="1"/>
  <c r="O1758" i="108"/>
  <c r="I1758" i="108"/>
  <c r="K1758" i="108" s="1"/>
  <c r="O1757" i="108"/>
  <c r="I1757" i="108"/>
  <c r="K1757" i="108" s="1"/>
  <c r="O1756" i="108"/>
  <c r="K1756" i="108"/>
  <c r="I1756" i="108"/>
  <c r="O1755" i="108"/>
  <c r="K1755" i="108"/>
  <c r="I1755" i="108"/>
  <c r="O1754" i="108"/>
  <c r="K1754" i="108"/>
  <c r="I1754" i="108"/>
  <c r="O1753" i="108"/>
  <c r="K1753" i="108"/>
  <c r="I1753" i="108"/>
  <c r="O1752" i="108"/>
  <c r="K1752" i="108"/>
  <c r="I1752" i="108"/>
  <c r="O1751" i="108"/>
  <c r="I1751" i="108"/>
  <c r="K1751" i="108" s="1"/>
  <c r="O1750" i="108"/>
  <c r="K1750" i="108"/>
  <c r="I1750" i="108"/>
  <c r="O1749" i="108"/>
  <c r="I1749" i="108"/>
  <c r="K1749" i="108" s="1"/>
  <c r="O1748" i="108"/>
  <c r="I1748" i="108"/>
  <c r="K1748" i="108" s="1"/>
  <c r="O1747" i="108"/>
  <c r="K1747" i="108"/>
  <c r="I1747" i="108"/>
  <c r="O1746" i="108"/>
  <c r="K1746" i="108"/>
  <c r="I1746" i="108"/>
  <c r="O1745" i="108"/>
  <c r="I1745" i="108"/>
  <c r="K1745" i="108" s="1"/>
  <c r="K1743" i="108"/>
  <c r="I1743" i="108"/>
  <c r="O1742" i="108"/>
  <c r="K1742" i="108"/>
  <c r="I1742" i="108"/>
  <c r="K1741" i="108"/>
  <c r="I1741" i="108"/>
  <c r="O1740" i="108"/>
  <c r="K1740" i="108"/>
  <c r="I1740" i="108"/>
  <c r="O1739" i="108"/>
  <c r="K1739" i="108"/>
  <c r="I1739" i="108"/>
  <c r="O1738" i="108"/>
  <c r="I1738" i="108"/>
  <c r="K1738" i="108" s="1"/>
  <c r="O1737" i="108"/>
  <c r="I1737" i="108"/>
  <c r="K1737" i="108" s="1"/>
  <c r="O1736" i="108"/>
  <c r="I1736" i="108"/>
  <c r="K1736" i="108" s="1"/>
  <c r="O1735" i="108"/>
  <c r="I1735" i="108"/>
  <c r="K1735" i="108" s="1"/>
  <c r="O1734" i="108"/>
  <c r="I1734" i="108"/>
  <c r="K1734" i="108" s="1"/>
  <c r="O1733" i="108"/>
  <c r="K1733" i="108"/>
  <c r="I1733" i="108"/>
  <c r="O1732" i="108"/>
  <c r="K1732" i="108"/>
  <c r="I1732" i="108"/>
  <c r="O1731" i="108"/>
  <c r="K1731" i="108"/>
  <c r="I1731" i="108"/>
  <c r="O1730" i="108"/>
  <c r="K1730" i="108"/>
  <c r="I1730" i="108"/>
  <c r="O1729" i="108"/>
  <c r="K1729" i="108"/>
  <c r="I1729" i="108"/>
  <c r="O1728" i="108"/>
  <c r="I1728" i="108"/>
  <c r="K1728" i="108" s="1"/>
  <c r="O1727" i="108"/>
  <c r="K1727" i="108"/>
  <c r="I1727" i="108"/>
  <c r="O1726" i="108"/>
  <c r="I1726" i="108"/>
  <c r="K1726" i="108" s="1"/>
  <c r="O1725" i="108"/>
  <c r="K1725" i="108"/>
  <c r="I1725" i="108"/>
  <c r="O1724" i="108"/>
  <c r="K1724" i="108"/>
  <c r="I1724" i="108"/>
  <c r="O1723" i="108"/>
  <c r="K1723" i="108"/>
  <c r="I1723" i="108"/>
  <c r="O1722" i="108"/>
  <c r="I1722" i="108"/>
  <c r="K1722" i="108" s="1"/>
  <c r="O1721" i="108"/>
  <c r="I1721" i="108"/>
  <c r="K1721" i="108" s="1"/>
  <c r="O1720" i="108"/>
  <c r="I1720" i="108"/>
  <c r="K1720" i="108" s="1"/>
  <c r="O1719" i="108"/>
  <c r="I1719" i="108"/>
  <c r="K1719" i="108" s="1"/>
  <c r="O1718" i="108"/>
  <c r="I1718" i="108"/>
  <c r="K1718" i="108" s="1"/>
  <c r="O1717" i="108"/>
  <c r="I1717" i="108"/>
  <c r="K1717" i="108" s="1"/>
  <c r="O1716" i="108"/>
  <c r="K1716" i="108"/>
  <c r="I1716" i="108"/>
  <c r="O1715" i="108"/>
  <c r="K1715" i="108"/>
  <c r="I1715" i="108"/>
  <c r="O1714" i="108"/>
  <c r="K1714" i="108"/>
  <c r="I1714" i="108"/>
  <c r="O1713" i="108"/>
  <c r="K1713" i="108"/>
  <c r="I1713" i="108"/>
  <c r="O1712" i="108"/>
  <c r="K1712" i="108"/>
  <c r="I1712" i="108"/>
  <c r="O1711" i="108"/>
  <c r="K1711" i="108"/>
  <c r="I1711" i="108"/>
  <c r="O1710" i="108"/>
  <c r="I1710" i="108"/>
  <c r="K1710" i="108" s="1"/>
  <c r="O1709" i="108"/>
  <c r="I1709" i="108"/>
  <c r="K1709" i="108" s="1"/>
  <c r="O1708" i="108"/>
  <c r="K1708" i="108"/>
  <c r="I1708" i="108"/>
  <c r="I1706" i="108"/>
  <c r="K1706" i="108" s="1"/>
  <c r="O1705" i="108"/>
  <c r="K1705" i="108"/>
  <c r="I1705" i="108"/>
  <c r="K1704" i="108"/>
  <c r="I1704" i="108"/>
  <c r="O1703" i="108"/>
  <c r="I1703" i="108"/>
  <c r="K1703" i="108" s="1"/>
  <c r="O1702" i="108"/>
  <c r="K1702" i="108"/>
  <c r="I1702" i="108"/>
  <c r="O1701" i="108"/>
  <c r="K1701" i="108"/>
  <c r="I1701" i="108"/>
  <c r="O1700" i="108"/>
  <c r="K1700" i="108"/>
  <c r="I1700" i="108"/>
  <c r="O1699" i="108"/>
  <c r="I1699" i="108"/>
  <c r="K1699" i="108" s="1"/>
  <c r="O1698" i="108"/>
  <c r="I1698" i="108"/>
  <c r="K1698" i="108" s="1"/>
  <c r="O1697" i="108"/>
  <c r="I1697" i="108"/>
  <c r="K1697" i="108" s="1"/>
  <c r="O1696" i="108"/>
  <c r="I1696" i="108"/>
  <c r="K1696" i="108" s="1"/>
  <c r="O1695" i="108"/>
  <c r="I1695" i="108"/>
  <c r="K1695" i="108" s="1"/>
  <c r="O1694" i="108"/>
  <c r="K1694" i="108"/>
  <c r="I1694" i="108"/>
  <c r="O1693" i="108"/>
  <c r="K1693" i="108"/>
  <c r="I1693" i="108"/>
  <c r="O1692" i="108"/>
  <c r="K1692" i="108"/>
  <c r="I1692" i="108"/>
  <c r="O1691" i="108"/>
  <c r="K1691" i="108"/>
  <c r="I1691" i="108"/>
  <c r="O1690" i="108"/>
  <c r="K1690" i="108"/>
  <c r="I1690" i="108"/>
  <c r="O1689" i="108"/>
  <c r="I1689" i="108"/>
  <c r="K1689" i="108" s="1"/>
  <c r="O1688" i="108"/>
  <c r="K1688" i="108"/>
  <c r="I1688" i="108"/>
  <c r="O1687" i="108"/>
  <c r="I1687" i="108"/>
  <c r="K1687" i="108" s="1"/>
  <c r="O1686" i="108"/>
  <c r="K1686" i="108"/>
  <c r="I1686" i="108"/>
  <c r="O1685" i="108"/>
  <c r="K1685" i="108"/>
  <c r="I1685" i="108"/>
  <c r="O1684" i="108"/>
  <c r="K1684" i="108"/>
  <c r="I1684" i="108"/>
  <c r="O1683" i="108"/>
  <c r="I1683" i="108"/>
  <c r="K1683" i="108" s="1"/>
  <c r="O1682" i="108"/>
  <c r="I1682" i="108"/>
  <c r="K1682" i="108" s="1"/>
  <c r="O1681" i="108"/>
  <c r="I1681" i="108"/>
  <c r="K1681" i="108" s="1"/>
  <c r="O1680" i="108"/>
  <c r="I1680" i="108"/>
  <c r="K1680" i="108" s="1"/>
  <c r="O1679" i="108"/>
  <c r="K1679" i="108"/>
  <c r="I1679" i="108"/>
  <c r="O1678" i="108"/>
  <c r="K1678" i="108"/>
  <c r="I1678" i="108"/>
  <c r="O1677" i="108"/>
  <c r="K1677" i="108"/>
  <c r="I1677" i="108"/>
  <c r="O1676" i="108"/>
  <c r="K1676" i="108"/>
  <c r="I1676" i="108"/>
  <c r="O1675" i="108"/>
  <c r="K1675" i="108"/>
  <c r="I1675" i="108"/>
  <c r="O1674" i="108"/>
  <c r="K1674" i="108"/>
  <c r="I1674" i="108"/>
  <c r="O1673" i="108"/>
  <c r="I1673" i="108"/>
  <c r="K1673" i="108" s="1"/>
  <c r="O1672" i="108"/>
  <c r="K1672" i="108"/>
  <c r="I1672" i="108"/>
  <c r="O1671" i="108"/>
  <c r="I1671" i="108"/>
  <c r="K1671" i="108" s="1"/>
  <c r="I1669" i="108"/>
  <c r="K1669" i="108" s="1"/>
  <c r="O1668" i="108"/>
  <c r="I1668" i="108"/>
  <c r="K1668" i="108" s="1"/>
  <c r="K1667" i="108"/>
  <c r="I1667" i="108"/>
  <c r="O1666" i="108"/>
  <c r="I1666" i="108"/>
  <c r="K1666" i="108" s="1"/>
  <c r="O1665" i="108"/>
  <c r="K1665" i="108"/>
  <c r="I1665" i="108"/>
  <c r="O1664" i="108"/>
  <c r="I1664" i="108"/>
  <c r="K1664" i="108" s="1"/>
  <c r="O1663" i="108"/>
  <c r="I1663" i="108"/>
  <c r="K1663" i="108" s="1"/>
  <c r="O1662" i="108"/>
  <c r="K1662" i="108"/>
  <c r="I1662" i="108"/>
  <c r="O1661" i="108"/>
  <c r="I1661" i="108"/>
  <c r="K1661" i="108" s="1"/>
  <c r="O1660" i="108"/>
  <c r="I1660" i="108"/>
  <c r="K1660" i="108" s="1"/>
  <c r="O1659" i="108"/>
  <c r="I1659" i="108"/>
  <c r="K1659" i="108" s="1"/>
  <c r="O1658" i="108"/>
  <c r="I1658" i="108"/>
  <c r="K1658" i="108" s="1"/>
  <c r="O1657" i="108"/>
  <c r="I1657" i="108"/>
  <c r="K1657" i="108" s="1"/>
  <c r="O1656" i="108"/>
  <c r="I1656" i="108"/>
  <c r="K1656" i="108" s="1"/>
  <c r="O1655" i="108"/>
  <c r="I1655" i="108"/>
  <c r="K1655" i="108" s="1"/>
  <c r="O1654" i="108"/>
  <c r="K1654" i="108"/>
  <c r="I1654" i="108"/>
  <c r="O1653" i="108"/>
  <c r="K1653" i="108"/>
  <c r="I1653" i="108"/>
  <c r="O1652" i="108"/>
  <c r="K1652" i="108"/>
  <c r="I1652" i="108"/>
  <c r="O1651" i="108"/>
  <c r="K1651" i="108"/>
  <c r="I1651" i="108"/>
  <c r="O1650" i="108"/>
  <c r="I1650" i="108"/>
  <c r="K1650" i="108" s="1"/>
  <c r="O1649" i="108"/>
  <c r="K1649" i="108"/>
  <c r="I1649" i="108"/>
  <c r="O1648" i="108"/>
  <c r="I1648" i="108"/>
  <c r="K1648" i="108" s="1"/>
  <c r="O1647" i="108"/>
  <c r="I1647" i="108"/>
  <c r="K1647" i="108" s="1"/>
  <c r="O1646" i="108"/>
  <c r="K1646" i="108"/>
  <c r="I1646" i="108"/>
  <c r="O1645" i="108"/>
  <c r="I1645" i="108"/>
  <c r="K1645" i="108" s="1"/>
  <c r="O1644" i="108"/>
  <c r="I1644" i="108"/>
  <c r="K1644" i="108" s="1"/>
  <c r="O1643" i="108"/>
  <c r="I1643" i="108"/>
  <c r="K1643" i="108" s="1"/>
  <c r="O1642" i="108"/>
  <c r="I1642" i="108"/>
  <c r="K1642" i="108" s="1"/>
  <c r="O1641" i="108"/>
  <c r="I1641" i="108"/>
  <c r="K1641" i="108" s="1"/>
  <c r="O1640" i="108"/>
  <c r="I1640" i="108"/>
  <c r="K1640" i="108" s="1"/>
  <c r="O1639" i="108"/>
  <c r="I1639" i="108"/>
  <c r="K1639" i="108" s="1"/>
  <c r="O1638" i="108"/>
  <c r="K1638" i="108"/>
  <c r="I1638" i="108"/>
  <c r="O1637" i="108"/>
  <c r="K1637" i="108"/>
  <c r="I1637" i="108"/>
  <c r="O1636" i="108"/>
  <c r="K1636" i="108"/>
  <c r="I1636" i="108"/>
  <c r="O1635" i="108"/>
  <c r="K1635" i="108"/>
  <c r="I1635" i="108"/>
  <c r="O1634" i="108"/>
  <c r="I1634" i="108"/>
  <c r="K1634" i="108" s="1"/>
  <c r="I1632" i="108"/>
  <c r="K1632" i="108" s="1"/>
  <c r="O1631" i="108"/>
  <c r="I1631" i="108"/>
  <c r="K1631" i="108" s="1"/>
  <c r="K1630" i="108"/>
  <c r="I1630" i="108"/>
  <c r="O1629" i="108"/>
  <c r="K1629" i="108"/>
  <c r="I1629" i="108"/>
  <c r="O1628" i="108"/>
  <c r="K1628" i="108"/>
  <c r="I1628" i="108"/>
  <c r="O1627" i="108"/>
  <c r="I1627" i="108"/>
  <c r="K1627" i="108" s="1"/>
  <c r="O1626" i="108"/>
  <c r="K1626" i="108"/>
  <c r="I1626" i="108"/>
  <c r="O1625" i="108"/>
  <c r="I1625" i="108"/>
  <c r="K1625" i="108" s="1"/>
  <c r="O1624" i="108"/>
  <c r="I1624" i="108"/>
  <c r="K1624" i="108" s="1"/>
  <c r="O1623" i="108"/>
  <c r="K1623" i="108"/>
  <c r="I1623" i="108"/>
  <c r="O1622" i="108"/>
  <c r="K1622" i="108"/>
  <c r="I1622" i="108"/>
  <c r="O1621" i="108"/>
  <c r="I1621" i="108"/>
  <c r="K1621" i="108" s="1"/>
  <c r="O1620" i="108"/>
  <c r="I1620" i="108"/>
  <c r="K1620" i="108" s="1"/>
  <c r="O1619" i="108"/>
  <c r="I1619" i="108"/>
  <c r="K1619" i="108" s="1"/>
  <c r="O1618" i="108"/>
  <c r="I1618" i="108"/>
  <c r="K1618" i="108" s="1"/>
  <c r="O1617" i="108"/>
  <c r="K1617" i="108"/>
  <c r="I1617" i="108"/>
  <c r="O1616" i="108"/>
  <c r="I1616" i="108"/>
  <c r="K1616" i="108" s="1"/>
  <c r="O1615" i="108"/>
  <c r="K1615" i="108"/>
  <c r="I1615" i="108"/>
  <c r="O1614" i="108"/>
  <c r="K1614" i="108"/>
  <c r="I1614" i="108"/>
  <c r="O1613" i="108"/>
  <c r="K1613" i="108"/>
  <c r="I1613" i="108"/>
  <c r="O1612" i="108"/>
  <c r="K1612" i="108"/>
  <c r="I1612" i="108"/>
  <c r="O1611" i="108"/>
  <c r="I1611" i="108"/>
  <c r="K1611" i="108" s="1"/>
  <c r="O1610" i="108"/>
  <c r="K1610" i="108"/>
  <c r="I1610" i="108"/>
  <c r="O1609" i="108"/>
  <c r="I1609" i="108"/>
  <c r="K1609" i="108" s="1"/>
  <c r="O1608" i="108"/>
  <c r="K1608" i="108"/>
  <c r="I1608" i="108"/>
  <c r="O1607" i="108"/>
  <c r="K1607" i="108"/>
  <c r="I1607" i="108"/>
  <c r="O1606" i="108"/>
  <c r="K1606" i="108"/>
  <c r="I1606" i="108"/>
  <c r="O1605" i="108"/>
  <c r="I1605" i="108"/>
  <c r="K1605" i="108" s="1"/>
  <c r="O1604" i="108"/>
  <c r="I1604" i="108"/>
  <c r="K1604" i="108" s="1"/>
  <c r="O1603" i="108"/>
  <c r="I1603" i="108"/>
  <c r="K1603" i="108" s="1"/>
  <c r="O1602" i="108"/>
  <c r="I1602" i="108"/>
  <c r="K1602" i="108" s="1"/>
  <c r="O1601" i="108"/>
  <c r="I1601" i="108"/>
  <c r="K1601" i="108" s="1"/>
  <c r="O1600" i="108"/>
  <c r="I1600" i="108"/>
  <c r="K1600" i="108" s="1"/>
  <c r="O1599" i="108"/>
  <c r="K1599" i="108"/>
  <c r="I1599" i="108"/>
  <c r="O1598" i="108"/>
  <c r="K1598" i="108"/>
  <c r="I1598" i="108"/>
  <c r="O1597" i="108"/>
  <c r="K1597" i="108"/>
  <c r="I1597" i="108"/>
  <c r="K1595" i="108"/>
  <c r="I1595" i="108"/>
  <c r="O1594" i="108"/>
  <c r="K1594" i="108"/>
  <c r="I1594" i="108"/>
  <c r="I1593" i="108"/>
  <c r="K1593" i="108" s="1"/>
  <c r="O1592" i="108"/>
  <c r="K1592" i="108"/>
  <c r="I1592" i="108"/>
  <c r="O1591" i="108"/>
  <c r="K1591" i="108"/>
  <c r="I1591" i="108"/>
  <c r="O1590" i="108"/>
  <c r="K1590" i="108"/>
  <c r="I1590" i="108"/>
  <c r="O1589" i="108"/>
  <c r="K1589" i="108"/>
  <c r="I1589" i="108"/>
  <c r="O1588" i="108"/>
  <c r="I1588" i="108"/>
  <c r="K1588" i="108" s="1"/>
  <c r="O1587" i="108"/>
  <c r="K1587" i="108"/>
  <c r="I1587" i="108"/>
  <c r="O1586" i="108"/>
  <c r="I1586" i="108"/>
  <c r="K1586" i="108" s="1"/>
  <c r="O1585" i="108"/>
  <c r="I1585" i="108"/>
  <c r="K1585" i="108" s="1"/>
  <c r="O1584" i="108"/>
  <c r="K1584" i="108"/>
  <c r="I1584" i="108"/>
  <c r="O1583" i="108"/>
  <c r="K1583" i="108"/>
  <c r="I1583" i="108"/>
  <c r="O1582" i="108"/>
  <c r="I1582" i="108"/>
  <c r="K1582" i="108" s="1"/>
  <c r="O1581" i="108"/>
  <c r="I1581" i="108"/>
  <c r="K1581" i="108" s="1"/>
  <c r="O1580" i="108"/>
  <c r="I1580" i="108"/>
  <c r="K1580" i="108" s="1"/>
  <c r="O1579" i="108"/>
  <c r="I1579" i="108"/>
  <c r="K1579" i="108" s="1"/>
  <c r="O1578" i="108"/>
  <c r="K1578" i="108"/>
  <c r="I1578" i="108"/>
  <c r="X1577" i="108"/>
  <c r="X1947" i="108" s="1"/>
  <c r="O1577" i="108"/>
  <c r="I1577" i="108"/>
  <c r="K1577" i="108" s="1"/>
  <c r="O1576" i="108"/>
  <c r="I1576" i="108"/>
  <c r="K1576" i="108" s="1"/>
  <c r="X1575" i="108"/>
  <c r="O1575" i="108"/>
  <c r="I1575" i="108"/>
  <c r="K1575" i="108" s="1"/>
  <c r="O1574" i="108"/>
  <c r="K1574" i="108"/>
  <c r="I1574" i="108"/>
  <c r="O1573" i="108"/>
  <c r="K1573" i="108"/>
  <c r="I1573" i="108"/>
  <c r="O1572" i="108"/>
  <c r="I1572" i="108"/>
  <c r="K1572" i="108" s="1"/>
  <c r="O1571" i="108"/>
  <c r="I1571" i="108"/>
  <c r="K1571" i="108" s="1"/>
  <c r="O1570" i="108"/>
  <c r="I1570" i="108"/>
  <c r="K1570" i="108" s="1"/>
  <c r="O1569" i="108"/>
  <c r="I1569" i="108"/>
  <c r="K1569" i="108" s="1"/>
  <c r="O1568" i="108"/>
  <c r="K1568" i="108"/>
  <c r="I1568" i="108"/>
  <c r="O1567" i="108"/>
  <c r="I1567" i="108"/>
  <c r="K1567" i="108" s="1"/>
  <c r="O1566" i="108"/>
  <c r="K1566" i="108"/>
  <c r="I1566" i="108"/>
  <c r="O1565" i="108"/>
  <c r="K1565" i="108"/>
  <c r="I1565" i="108"/>
  <c r="O1564" i="108"/>
  <c r="K1564" i="108"/>
  <c r="I1564" i="108"/>
  <c r="O1563" i="108"/>
  <c r="K1563" i="108"/>
  <c r="I1563" i="108"/>
  <c r="O1562" i="108"/>
  <c r="I1562" i="108"/>
  <c r="K1562" i="108" s="1"/>
  <c r="O1561" i="108"/>
  <c r="K1561" i="108"/>
  <c r="I1561" i="108"/>
  <c r="O1560" i="108"/>
  <c r="I1560" i="108"/>
  <c r="K1560" i="108" s="1"/>
  <c r="I1558" i="108"/>
  <c r="K1558" i="108" s="1"/>
  <c r="O1557" i="108"/>
  <c r="I1557" i="108"/>
  <c r="K1557" i="108" s="1"/>
  <c r="K1556" i="108"/>
  <c r="I1556" i="108"/>
  <c r="O1555" i="108"/>
  <c r="I1555" i="108"/>
  <c r="K1555" i="108" s="1"/>
  <c r="O1554" i="108"/>
  <c r="K1554" i="108"/>
  <c r="I1554" i="108"/>
  <c r="O1553" i="108"/>
  <c r="I1553" i="108"/>
  <c r="K1553" i="108" s="1"/>
  <c r="O1552" i="108"/>
  <c r="K1552" i="108"/>
  <c r="I1552" i="108"/>
  <c r="O1551" i="108"/>
  <c r="K1551" i="108"/>
  <c r="I1551" i="108"/>
  <c r="O1550" i="108"/>
  <c r="K1550" i="108"/>
  <c r="I1550" i="108"/>
  <c r="O1549" i="108"/>
  <c r="I1549" i="108"/>
  <c r="K1549" i="108" s="1"/>
  <c r="O1548" i="108"/>
  <c r="I1548" i="108"/>
  <c r="K1548" i="108" s="1"/>
  <c r="O1547" i="108"/>
  <c r="I1547" i="108"/>
  <c r="K1547" i="108" s="1"/>
  <c r="O1546" i="108"/>
  <c r="I1546" i="108"/>
  <c r="K1546" i="108" s="1"/>
  <c r="O1545" i="108"/>
  <c r="I1545" i="108"/>
  <c r="K1545" i="108" s="1"/>
  <c r="O1544" i="108"/>
  <c r="I1544" i="108"/>
  <c r="K1544" i="108" s="1"/>
  <c r="O1543" i="108"/>
  <c r="K1543" i="108"/>
  <c r="I1543" i="108"/>
  <c r="O1542" i="108"/>
  <c r="K1542" i="108"/>
  <c r="I1542" i="108"/>
  <c r="O1541" i="108"/>
  <c r="K1541" i="108"/>
  <c r="I1541" i="108"/>
  <c r="O1540" i="108"/>
  <c r="K1540" i="108"/>
  <c r="I1540" i="108"/>
  <c r="O1539" i="108"/>
  <c r="I1539" i="108"/>
  <c r="K1539" i="108" s="1"/>
  <c r="O1538" i="108"/>
  <c r="K1538" i="108"/>
  <c r="I1538" i="108"/>
  <c r="O1537" i="108"/>
  <c r="I1537" i="108"/>
  <c r="K1537" i="108" s="1"/>
  <c r="O1536" i="108"/>
  <c r="I1536" i="108"/>
  <c r="K1536" i="108" s="1"/>
  <c r="O1535" i="108"/>
  <c r="K1535" i="108"/>
  <c r="I1535" i="108"/>
  <c r="O1534" i="108"/>
  <c r="K1534" i="108"/>
  <c r="I1534" i="108"/>
  <c r="O1533" i="108"/>
  <c r="I1533" i="108"/>
  <c r="K1533" i="108" s="1"/>
  <c r="O1532" i="108"/>
  <c r="I1532" i="108"/>
  <c r="K1532" i="108" s="1"/>
  <c r="O1531" i="108"/>
  <c r="I1531" i="108"/>
  <c r="K1531" i="108" s="1"/>
  <c r="O1530" i="108"/>
  <c r="I1530" i="108"/>
  <c r="K1530" i="108" s="1"/>
  <c r="O1529" i="108"/>
  <c r="I1529" i="108"/>
  <c r="K1529" i="108" s="1"/>
  <c r="O1528" i="108"/>
  <c r="I1528" i="108"/>
  <c r="K1528" i="108" s="1"/>
  <c r="O1527" i="108"/>
  <c r="K1527" i="108"/>
  <c r="I1527" i="108"/>
  <c r="O1526" i="108"/>
  <c r="K1526" i="108"/>
  <c r="I1526" i="108"/>
  <c r="O1525" i="108"/>
  <c r="K1525" i="108"/>
  <c r="I1525" i="108"/>
  <c r="O1524" i="108"/>
  <c r="K1524" i="108"/>
  <c r="I1524" i="108"/>
  <c r="O1523" i="108"/>
  <c r="I1523" i="108"/>
  <c r="K1523" i="108" s="1"/>
  <c r="I1521" i="108"/>
  <c r="K1521" i="108" s="1"/>
  <c r="O1520" i="108"/>
  <c r="I1520" i="108"/>
  <c r="K1520" i="108" s="1"/>
  <c r="K1519" i="108"/>
  <c r="I1519" i="108"/>
  <c r="O1518" i="108"/>
  <c r="K1518" i="108"/>
  <c r="I1518" i="108"/>
  <c r="O1517" i="108"/>
  <c r="K1517" i="108"/>
  <c r="I1517" i="108"/>
  <c r="O1516" i="108"/>
  <c r="I1516" i="108"/>
  <c r="K1516" i="108" s="1"/>
  <c r="O1515" i="108"/>
  <c r="K1515" i="108"/>
  <c r="I1515" i="108"/>
  <c r="O1514" i="108"/>
  <c r="I1514" i="108"/>
  <c r="K1514" i="108" s="1"/>
  <c r="O1513" i="108"/>
  <c r="K1513" i="108"/>
  <c r="I1513" i="108"/>
  <c r="O1512" i="108"/>
  <c r="K1512" i="108"/>
  <c r="I1512" i="108"/>
  <c r="O1511" i="108"/>
  <c r="K1511" i="108"/>
  <c r="I1511" i="108"/>
  <c r="O1510" i="108"/>
  <c r="I1510" i="108"/>
  <c r="K1510" i="108" s="1"/>
  <c r="O1509" i="108"/>
  <c r="I1509" i="108"/>
  <c r="K1509" i="108" s="1"/>
  <c r="O1508" i="108"/>
  <c r="I1508" i="108"/>
  <c r="K1508" i="108" s="1"/>
  <c r="O1507" i="108"/>
  <c r="I1507" i="108"/>
  <c r="K1507" i="108" s="1"/>
  <c r="O1506" i="108"/>
  <c r="I1506" i="108"/>
  <c r="K1506" i="108" s="1"/>
  <c r="O1505" i="108"/>
  <c r="I1505" i="108"/>
  <c r="K1505" i="108" s="1"/>
  <c r="O1504" i="108"/>
  <c r="K1504" i="108"/>
  <c r="I1504" i="108"/>
  <c r="O1503" i="108"/>
  <c r="K1503" i="108"/>
  <c r="I1503" i="108"/>
  <c r="O1502" i="108"/>
  <c r="K1502" i="108"/>
  <c r="I1502" i="108"/>
  <c r="O1501" i="108"/>
  <c r="K1501" i="108"/>
  <c r="I1501" i="108"/>
  <c r="O1500" i="108"/>
  <c r="I1500" i="108"/>
  <c r="K1500" i="108" s="1"/>
  <c r="O1499" i="108"/>
  <c r="K1499" i="108"/>
  <c r="I1499" i="108"/>
  <c r="O1498" i="108"/>
  <c r="I1498" i="108"/>
  <c r="K1498" i="108" s="1"/>
  <c r="O1497" i="108"/>
  <c r="I1497" i="108"/>
  <c r="K1497" i="108" s="1"/>
  <c r="O1496" i="108"/>
  <c r="K1496" i="108"/>
  <c r="I1496" i="108"/>
  <c r="O1495" i="108"/>
  <c r="K1495" i="108"/>
  <c r="I1495" i="108"/>
  <c r="O1494" i="108"/>
  <c r="I1494" i="108"/>
  <c r="K1494" i="108" s="1"/>
  <c r="O1493" i="108"/>
  <c r="I1493" i="108"/>
  <c r="K1493" i="108" s="1"/>
  <c r="O1492" i="108"/>
  <c r="I1492" i="108"/>
  <c r="K1492" i="108" s="1"/>
  <c r="O1491" i="108"/>
  <c r="I1491" i="108"/>
  <c r="K1491" i="108" s="1"/>
  <c r="O1490" i="108"/>
  <c r="I1490" i="108"/>
  <c r="K1490" i="108" s="1"/>
  <c r="O1489" i="108"/>
  <c r="I1489" i="108"/>
  <c r="K1489" i="108" s="1"/>
  <c r="O1488" i="108"/>
  <c r="K1488" i="108"/>
  <c r="I1488" i="108"/>
  <c r="O1487" i="108"/>
  <c r="K1487" i="108"/>
  <c r="I1487" i="108"/>
  <c r="O1486" i="108"/>
  <c r="K1486" i="108"/>
  <c r="I1486" i="108"/>
  <c r="K1484" i="108"/>
  <c r="I1484" i="108"/>
  <c r="O1483" i="108"/>
  <c r="K1483" i="108"/>
  <c r="I1483" i="108"/>
  <c r="I1482" i="108"/>
  <c r="K1482" i="108" s="1"/>
  <c r="O1481" i="108"/>
  <c r="K1481" i="108"/>
  <c r="I1481" i="108"/>
  <c r="O1480" i="108"/>
  <c r="K1480" i="108"/>
  <c r="I1480" i="108"/>
  <c r="O1479" i="108"/>
  <c r="K1479" i="108"/>
  <c r="I1479" i="108"/>
  <c r="O1478" i="108"/>
  <c r="K1478" i="108"/>
  <c r="I1478" i="108"/>
  <c r="O1477" i="108"/>
  <c r="I1477" i="108"/>
  <c r="K1477" i="108" s="1"/>
  <c r="O1476" i="108"/>
  <c r="K1476" i="108"/>
  <c r="I1476" i="108"/>
  <c r="O1475" i="108"/>
  <c r="I1475" i="108"/>
  <c r="K1475" i="108" s="1"/>
  <c r="O1474" i="108"/>
  <c r="K1474" i="108"/>
  <c r="I1474" i="108"/>
  <c r="O1473" i="108"/>
  <c r="K1473" i="108"/>
  <c r="I1473" i="108"/>
  <c r="O1472" i="108"/>
  <c r="K1472" i="108"/>
  <c r="I1472" i="108"/>
  <c r="O1471" i="108"/>
  <c r="I1471" i="108"/>
  <c r="K1471" i="108" s="1"/>
  <c r="O1470" i="108"/>
  <c r="I1470" i="108"/>
  <c r="K1470" i="108" s="1"/>
  <c r="O1469" i="108"/>
  <c r="I1469" i="108"/>
  <c r="K1469" i="108" s="1"/>
  <c r="O1468" i="108"/>
  <c r="I1468" i="108"/>
  <c r="K1468" i="108" s="1"/>
  <c r="O1467" i="108"/>
  <c r="I1467" i="108"/>
  <c r="K1467" i="108" s="1"/>
  <c r="O1466" i="108"/>
  <c r="I1466" i="108"/>
  <c r="K1466" i="108" s="1"/>
  <c r="O1465" i="108"/>
  <c r="K1465" i="108"/>
  <c r="I1465" i="108"/>
  <c r="O1464" i="108"/>
  <c r="K1464" i="108"/>
  <c r="I1464" i="108"/>
  <c r="O1463" i="108"/>
  <c r="K1463" i="108"/>
  <c r="I1463" i="108"/>
  <c r="O1462" i="108"/>
  <c r="K1462" i="108"/>
  <c r="I1462" i="108"/>
  <c r="O1461" i="108"/>
  <c r="I1461" i="108"/>
  <c r="K1461" i="108" s="1"/>
  <c r="O1460" i="108"/>
  <c r="K1460" i="108"/>
  <c r="I1460" i="108"/>
  <c r="O1459" i="108"/>
  <c r="I1459" i="108"/>
  <c r="K1459" i="108" s="1"/>
  <c r="O1458" i="108"/>
  <c r="I1458" i="108"/>
  <c r="K1458" i="108" s="1"/>
  <c r="O1457" i="108"/>
  <c r="K1457" i="108"/>
  <c r="I1457" i="108"/>
  <c r="O1456" i="108"/>
  <c r="K1456" i="108"/>
  <c r="I1456" i="108"/>
  <c r="O1455" i="108"/>
  <c r="I1455" i="108"/>
  <c r="K1455" i="108" s="1"/>
  <c r="O1454" i="108"/>
  <c r="I1454" i="108"/>
  <c r="K1454" i="108" s="1"/>
  <c r="O1453" i="108"/>
  <c r="I1453" i="108"/>
  <c r="K1453" i="108" s="1"/>
  <c r="O1452" i="108"/>
  <c r="I1452" i="108"/>
  <c r="K1452" i="108" s="1"/>
  <c r="O1451" i="108"/>
  <c r="I1451" i="108"/>
  <c r="K1451" i="108" s="1"/>
  <c r="O1450" i="108"/>
  <c r="I1450" i="108"/>
  <c r="K1450" i="108" s="1"/>
  <c r="O1449" i="108"/>
  <c r="K1449" i="108"/>
  <c r="I1449" i="108"/>
  <c r="I1447" i="108"/>
  <c r="K1447" i="108" s="1"/>
  <c r="O1446" i="108"/>
  <c r="I1446" i="108"/>
  <c r="K1446" i="108" s="1"/>
  <c r="I1445" i="108"/>
  <c r="K1445" i="108" s="1"/>
  <c r="O1444" i="108"/>
  <c r="I1444" i="108"/>
  <c r="K1444" i="108" s="1"/>
  <c r="O1443" i="108"/>
  <c r="I1443" i="108"/>
  <c r="K1443" i="108" s="1"/>
  <c r="O1442" i="108"/>
  <c r="K1442" i="108"/>
  <c r="I1442" i="108"/>
  <c r="O1441" i="108"/>
  <c r="K1441" i="108"/>
  <c r="I1441" i="108"/>
  <c r="O1440" i="108"/>
  <c r="K1440" i="108"/>
  <c r="I1440" i="108"/>
  <c r="O1439" i="108"/>
  <c r="K1439" i="108"/>
  <c r="I1439" i="108"/>
  <c r="O1438" i="108"/>
  <c r="I1438" i="108"/>
  <c r="K1438" i="108" s="1"/>
  <c r="O1437" i="108"/>
  <c r="K1437" i="108"/>
  <c r="I1437" i="108"/>
  <c r="O1436" i="108"/>
  <c r="I1436" i="108"/>
  <c r="K1436" i="108" s="1"/>
  <c r="O1435" i="108"/>
  <c r="I1435" i="108"/>
  <c r="K1435" i="108" s="1"/>
  <c r="O1434" i="108"/>
  <c r="I1434" i="108"/>
  <c r="K1434" i="108" s="1"/>
  <c r="O1433" i="108"/>
  <c r="K1433" i="108"/>
  <c r="I1433" i="108"/>
  <c r="O1432" i="108"/>
  <c r="I1432" i="108"/>
  <c r="K1432" i="108" s="1"/>
  <c r="O1431" i="108"/>
  <c r="I1431" i="108"/>
  <c r="K1431" i="108" s="1"/>
  <c r="O1430" i="108"/>
  <c r="I1430" i="108"/>
  <c r="K1430" i="108" s="1"/>
  <c r="O1429" i="108"/>
  <c r="I1429" i="108"/>
  <c r="K1429" i="108" s="1"/>
  <c r="O1428" i="108"/>
  <c r="I1428" i="108"/>
  <c r="K1428" i="108" s="1"/>
  <c r="O1427" i="108"/>
  <c r="I1427" i="108"/>
  <c r="K1427" i="108" s="1"/>
  <c r="O1426" i="108"/>
  <c r="K1426" i="108"/>
  <c r="I1426" i="108"/>
  <c r="O1425" i="108"/>
  <c r="K1425" i="108"/>
  <c r="I1425" i="108"/>
  <c r="O1424" i="108"/>
  <c r="K1424" i="108"/>
  <c r="I1424" i="108"/>
  <c r="O1423" i="108"/>
  <c r="K1423" i="108"/>
  <c r="I1423" i="108"/>
  <c r="O1422" i="108"/>
  <c r="I1422" i="108"/>
  <c r="K1422" i="108" s="1"/>
  <c r="O1421" i="108"/>
  <c r="K1421" i="108"/>
  <c r="I1421" i="108"/>
  <c r="O1420" i="108"/>
  <c r="I1420" i="108"/>
  <c r="K1420" i="108" s="1"/>
  <c r="O1419" i="108"/>
  <c r="K1419" i="108"/>
  <c r="I1419" i="108"/>
  <c r="O1418" i="108"/>
  <c r="K1418" i="108"/>
  <c r="I1418" i="108"/>
  <c r="O1417" i="108"/>
  <c r="K1417" i="108"/>
  <c r="I1417" i="108"/>
  <c r="O1416" i="108"/>
  <c r="I1416" i="108"/>
  <c r="K1416" i="108" s="1"/>
  <c r="O1415" i="108"/>
  <c r="I1415" i="108"/>
  <c r="K1415" i="108" s="1"/>
  <c r="O1414" i="108"/>
  <c r="I1414" i="108"/>
  <c r="K1414" i="108" s="1"/>
  <c r="O1413" i="108"/>
  <c r="I1413" i="108"/>
  <c r="K1413" i="108" s="1"/>
  <c r="O1412" i="108"/>
  <c r="I1412" i="108"/>
  <c r="K1412" i="108" s="1"/>
  <c r="I1410" i="108"/>
  <c r="K1410" i="108" s="1"/>
  <c r="O1409" i="108"/>
  <c r="K1409" i="108"/>
  <c r="I1409" i="108"/>
  <c r="I1408" i="108"/>
  <c r="K1408" i="108" s="1"/>
  <c r="O1407" i="108"/>
  <c r="I1407" i="108"/>
  <c r="K1407" i="108" s="1"/>
  <c r="O1406" i="108"/>
  <c r="I1406" i="108"/>
  <c r="K1406" i="108" s="1"/>
  <c r="O1405" i="108"/>
  <c r="I1405" i="108"/>
  <c r="K1405" i="108" s="1"/>
  <c r="O1404" i="108"/>
  <c r="I1404" i="108"/>
  <c r="K1404" i="108" s="1"/>
  <c r="O1403" i="108"/>
  <c r="I1403" i="108"/>
  <c r="K1403" i="108" s="1"/>
  <c r="O1402" i="108"/>
  <c r="K1402" i="108"/>
  <c r="I1402" i="108"/>
  <c r="O1401" i="108"/>
  <c r="K1401" i="108"/>
  <c r="I1401" i="108"/>
  <c r="O1400" i="108"/>
  <c r="K1400" i="108"/>
  <c r="I1400" i="108"/>
  <c r="O1399" i="108"/>
  <c r="I1399" i="108"/>
  <c r="K1399" i="108" s="1"/>
  <c r="O1398" i="108"/>
  <c r="K1398" i="108"/>
  <c r="I1398" i="108"/>
  <c r="O1397" i="108"/>
  <c r="K1397" i="108"/>
  <c r="I1397" i="108"/>
  <c r="O1396" i="108"/>
  <c r="K1396" i="108"/>
  <c r="I1396" i="108"/>
  <c r="O1395" i="108"/>
  <c r="I1395" i="108"/>
  <c r="K1395" i="108" s="1"/>
  <c r="O1394" i="108"/>
  <c r="K1394" i="108"/>
  <c r="I1394" i="108"/>
  <c r="O1393" i="108"/>
  <c r="I1393" i="108"/>
  <c r="K1393" i="108" s="1"/>
  <c r="O1392" i="108"/>
  <c r="I1392" i="108"/>
  <c r="K1392" i="108" s="1"/>
  <c r="O1391" i="108"/>
  <c r="I1391" i="108"/>
  <c r="K1391" i="108" s="1"/>
  <c r="O1390" i="108"/>
  <c r="I1390" i="108"/>
  <c r="K1390" i="108" s="1"/>
  <c r="O1389" i="108"/>
  <c r="I1389" i="108"/>
  <c r="K1389" i="108" s="1"/>
  <c r="O1388" i="108"/>
  <c r="I1388" i="108"/>
  <c r="K1388" i="108" s="1"/>
  <c r="O1387" i="108"/>
  <c r="I1387" i="108"/>
  <c r="K1387" i="108" s="1"/>
  <c r="O1386" i="108"/>
  <c r="K1386" i="108"/>
  <c r="I1386" i="108"/>
  <c r="O1385" i="108"/>
  <c r="K1385" i="108"/>
  <c r="I1385" i="108"/>
  <c r="O1384" i="108"/>
  <c r="K1384" i="108"/>
  <c r="I1384" i="108"/>
  <c r="O1383" i="108"/>
  <c r="I1383" i="108"/>
  <c r="K1383" i="108" s="1"/>
  <c r="O1382" i="108"/>
  <c r="K1382" i="108"/>
  <c r="I1382" i="108"/>
  <c r="O1381" i="108"/>
  <c r="I1381" i="108"/>
  <c r="K1381" i="108" s="1"/>
  <c r="O1380" i="108"/>
  <c r="I1380" i="108"/>
  <c r="K1380" i="108" s="1"/>
  <c r="O1379" i="108"/>
  <c r="K1379" i="108"/>
  <c r="I1379" i="108"/>
  <c r="O1378" i="108"/>
  <c r="K1378" i="108"/>
  <c r="I1378" i="108"/>
  <c r="O1377" i="108"/>
  <c r="I1377" i="108"/>
  <c r="K1377" i="108" s="1"/>
  <c r="O1376" i="108"/>
  <c r="I1376" i="108"/>
  <c r="K1376" i="108" s="1"/>
  <c r="O1375" i="108"/>
  <c r="I1375" i="108"/>
  <c r="K1375" i="108" s="1"/>
  <c r="K1373" i="108"/>
  <c r="I1373" i="108"/>
  <c r="O1372" i="108"/>
  <c r="K1372" i="108"/>
  <c r="I1372" i="108"/>
  <c r="K1371" i="108"/>
  <c r="I1371" i="108"/>
  <c r="O1370" i="108"/>
  <c r="I1370" i="108"/>
  <c r="K1370" i="108" s="1"/>
  <c r="O1369" i="108"/>
  <c r="I1369" i="108"/>
  <c r="K1369" i="108" s="1"/>
  <c r="O1368" i="108"/>
  <c r="I1368" i="108"/>
  <c r="K1368" i="108" s="1"/>
  <c r="O1367" i="108"/>
  <c r="I1367" i="108"/>
  <c r="K1367" i="108" s="1"/>
  <c r="O1366" i="108"/>
  <c r="I1366" i="108"/>
  <c r="K1366" i="108" s="1"/>
  <c r="O1365" i="108"/>
  <c r="I1365" i="108"/>
  <c r="K1365" i="108" s="1"/>
  <c r="O1364" i="108"/>
  <c r="K1364" i="108"/>
  <c r="I1364" i="108"/>
  <c r="O1363" i="108"/>
  <c r="K1363" i="108"/>
  <c r="I1363" i="108"/>
  <c r="O1362" i="108"/>
  <c r="K1362" i="108"/>
  <c r="I1362" i="108"/>
  <c r="O1361" i="108"/>
  <c r="K1361" i="108"/>
  <c r="I1361" i="108"/>
  <c r="O1360" i="108"/>
  <c r="I1360" i="108"/>
  <c r="K1360" i="108" s="1"/>
  <c r="O1359" i="108"/>
  <c r="K1359" i="108"/>
  <c r="I1359" i="108"/>
  <c r="O1358" i="108"/>
  <c r="K1358" i="108"/>
  <c r="I1358" i="108"/>
  <c r="O1357" i="108"/>
  <c r="I1357" i="108"/>
  <c r="K1357" i="108" s="1"/>
  <c r="O1356" i="108"/>
  <c r="I1356" i="108"/>
  <c r="K1356" i="108" s="1"/>
  <c r="O1355" i="108"/>
  <c r="K1355" i="108"/>
  <c r="I1355" i="108"/>
  <c r="O1354" i="108"/>
  <c r="I1354" i="108"/>
  <c r="K1354" i="108" s="1"/>
  <c r="O1353" i="108"/>
  <c r="I1353" i="108"/>
  <c r="K1353" i="108" s="1"/>
  <c r="O1352" i="108"/>
  <c r="I1352" i="108"/>
  <c r="K1352" i="108" s="1"/>
  <c r="O1351" i="108"/>
  <c r="I1351" i="108"/>
  <c r="K1351" i="108" s="1"/>
  <c r="O1350" i="108"/>
  <c r="I1350" i="108"/>
  <c r="K1350" i="108" s="1"/>
  <c r="O1349" i="108"/>
  <c r="I1349" i="108"/>
  <c r="K1349" i="108" s="1"/>
  <c r="O1348" i="108"/>
  <c r="K1348" i="108"/>
  <c r="I1348" i="108"/>
  <c r="O1347" i="108"/>
  <c r="K1347" i="108"/>
  <c r="I1347" i="108"/>
  <c r="O1346" i="108"/>
  <c r="K1346" i="108"/>
  <c r="I1346" i="108"/>
  <c r="O1345" i="108"/>
  <c r="K1345" i="108"/>
  <c r="I1345" i="108"/>
  <c r="O1344" i="108"/>
  <c r="I1344" i="108"/>
  <c r="K1344" i="108" s="1"/>
  <c r="O1343" i="108"/>
  <c r="K1343" i="108"/>
  <c r="I1343" i="108"/>
  <c r="O1342" i="108"/>
  <c r="K1342" i="108"/>
  <c r="I1342" i="108"/>
  <c r="O1341" i="108"/>
  <c r="K1341" i="108"/>
  <c r="I1341" i="108"/>
  <c r="O1340" i="108"/>
  <c r="I1340" i="108"/>
  <c r="K1340" i="108" s="1"/>
  <c r="O1339" i="108"/>
  <c r="K1339" i="108"/>
  <c r="I1339" i="108"/>
  <c r="O1338" i="108"/>
  <c r="I1338" i="108"/>
  <c r="K1338" i="108" s="1"/>
  <c r="K1336" i="108"/>
  <c r="I1336" i="108"/>
  <c r="O1335" i="108"/>
  <c r="K1335" i="108"/>
  <c r="I1335" i="108"/>
  <c r="K1334" i="108"/>
  <c r="I1334" i="108"/>
  <c r="O1333" i="108"/>
  <c r="K1333" i="108"/>
  <c r="I1333" i="108"/>
  <c r="O1332" i="108"/>
  <c r="K1332" i="108"/>
  <c r="I1332" i="108"/>
  <c r="O1331" i="108"/>
  <c r="I1331" i="108"/>
  <c r="K1331" i="108" s="1"/>
  <c r="O1330" i="108"/>
  <c r="I1330" i="108"/>
  <c r="K1330" i="108" s="1"/>
  <c r="O1329" i="108"/>
  <c r="I1329" i="108"/>
  <c r="K1329" i="108" s="1"/>
  <c r="O1328" i="108"/>
  <c r="I1328" i="108"/>
  <c r="K1328" i="108" s="1"/>
  <c r="O1327" i="108"/>
  <c r="I1327" i="108"/>
  <c r="K1327" i="108" s="1"/>
  <c r="O1326" i="108"/>
  <c r="K1326" i="108"/>
  <c r="I1326" i="108"/>
  <c r="O1325" i="108"/>
  <c r="K1325" i="108"/>
  <c r="I1325" i="108"/>
  <c r="O1324" i="108"/>
  <c r="K1324" i="108"/>
  <c r="I1324" i="108"/>
  <c r="O1323" i="108"/>
  <c r="I1323" i="108"/>
  <c r="K1323" i="108" s="1"/>
  <c r="O1322" i="108"/>
  <c r="K1322" i="108"/>
  <c r="I1322" i="108"/>
  <c r="O1321" i="108"/>
  <c r="I1321" i="108"/>
  <c r="K1321" i="108" s="1"/>
  <c r="O1320" i="108"/>
  <c r="K1320" i="108"/>
  <c r="I1320" i="108"/>
  <c r="O1319" i="108"/>
  <c r="I1319" i="108"/>
  <c r="K1319" i="108" s="1"/>
  <c r="O1318" i="108"/>
  <c r="I1318" i="108"/>
  <c r="K1318" i="108" s="1"/>
  <c r="O1317" i="108"/>
  <c r="K1317" i="108"/>
  <c r="I1317" i="108"/>
  <c r="O1316" i="108"/>
  <c r="K1316" i="108"/>
  <c r="I1316" i="108"/>
  <c r="O1315" i="108"/>
  <c r="I1315" i="108"/>
  <c r="K1315" i="108" s="1"/>
  <c r="O1314" i="108"/>
  <c r="I1314" i="108"/>
  <c r="K1314" i="108" s="1"/>
  <c r="O1313" i="108"/>
  <c r="I1313" i="108"/>
  <c r="K1313" i="108" s="1"/>
  <c r="O1312" i="108"/>
  <c r="K1312" i="108"/>
  <c r="I1312" i="108"/>
  <c r="O1311" i="108"/>
  <c r="I1311" i="108"/>
  <c r="K1311" i="108" s="1"/>
  <c r="O1310" i="108"/>
  <c r="K1310" i="108"/>
  <c r="I1310" i="108"/>
  <c r="O1309" i="108"/>
  <c r="K1309" i="108"/>
  <c r="I1309" i="108"/>
  <c r="O1308" i="108"/>
  <c r="K1308" i="108"/>
  <c r="I1308" i="108"/>
  <c r="O1307" i="108"/>
  <c r="I1307" i="108"/>
  <c r="K1307" i="108" s="1"/>
  <c r="O1306" i="108"/>
  <c r="K1306" i="108"/>
  <c r="I1306" i="108"/>
  <c r="O1305" i="108"/>
  <c r="I1305" i="108"/>
  <c r="K1305" i="108" s="1"/>
  <c r="O1304" i="108"/>
  <c r="K1304" i="108"/>
  <c r="I1304" i="108"/>
  <c r="O1303" i="108"/>
  <c r="K1303" i="108"/>
  <c r="I1303" i="108"/>
  <c r="O1302" i="108"/>
  <c r="I1302" i="108"/>
  <c r="K1302" i="108" s="1"/>
  <c r="O1301" i="108"/>
  <c r="I1301" i="108"/>
  <c r="K1301" i="108" s="1"/>
  <c r="I1299" i="108"/>
  <c r="K1299" i="108" s="1"/>
  <c r="O1298" i="108"/>
  <c r="I1298" i="108"/>
  <c r="K1298" i="108" s="1"/>
  <c r="K1297" i="108"/>
  <c r="I1297" i="108"/>
  <c r="O1296" i="108"/>
  <c r="K1296" i="108"/>
  <c r="I1296" i="108"/>
  <c r="O1295" i="108"/>
  <c r="K1295" i="108"/>
  <c r="I1295" i="108"/>
  <c r="O1294" i="108"/>
  <c r="K1294" i="108"/>
  <c r="I1294" i="108"/>
  <c r="O1293" i="108"/>
  <c r="K1293" i="108"/>
  <c r="I1293" i="108"/>
  <c r="O1292" i="108"/>
  <c r="I1292" i="108"/>
  <c r="K1292" i="108" s="1"/>
  <c r="O1291" i="108"/>
  <c r="I1291" i="108"/>
  <c r="K1291" i="108" s="1"/>
  <c r="O1290" i="108"/>
  <c r="K1290" i="108"/>
  <c r="I1290" i="108"/>
  <c r="O1289" i="108"/>
  <c r="K1289" i="108"/>
  <c r="I1289" i="108"/>
  <c r="O1288" i="108"/>
  <c r="K1288" i="108"/>
  <c r="I1288" i="108"/>
  <c r="O1287" i="108"/>
  <c r="I1287" i="108"/>
  <c r="K1287" i="108" s="1"/>
  <c r="O1286" i="108"/>
  <c r="I1286" i="108"/>
  <c r="K1286" i="108" s="1"/>
  <c r="O1285" i="108"/>
  <c r="K1285" i="108"/>
  <c r="I1285" i="108"/>
  <c r="O1284" i="108"/>
  <c r="K1284" i="108"/>
  <c r="I1284" i="108"/>
  <c r="O1283" i="108"/>
  <c r="K1283" i="108"/>
  <c r="I1283" i="108"/>
  <c r="O1282" i="108"/>
  <c r="I1282" i="108"/>
  <c r="K1282" i="108" s="1"/>
  <c r="O1281" i="108"/>
  <c r="K1281" i="108"/>
  <c r="I1281" i="108"/>
  <c r="O1280" i="108"/>
  <c r="I1280" i="108"/>
  <c r="K1280" i="108" s="1"/>
  <c r="O1279" i="108"/>
  <c r="I1279" i="108"/>
  <c r="K1279" i="108" s="1"/>
  <c r="O1278" i="108"/>
  <c r="I1278" i="108"/>
  <c r="K1278" i="108" s="1"/>
  <c r="O1277" i="108"/>
  <c r="K1277" i="108"/>
  <c r="I1277" i="108"/>
  <c r="O1276" i="108"/>
  <c r="I1276" i="108"/>
  <c r="K1276" i="108" s="1"/>
  <c r="O1275" i="108"/>
  <c r="I1275" i="108"/>
  <c r="K1275" i="108" s="1"/>
  <c r="O1274" i="108"/>
  <c r="I1274" i="108"/>
  <c r="K1274" i="108" s="1"/>
  <c r="O1273" i="108"/>
  <c r="I1273" i="108"/>
  <c r="K1273" i="108" s="1"/>
  <c r="O1272" i="108"/>
  <c r="K1272" i="108"/>
  <c r="I1272" i="108"/>
  <c r="O1271" i="108"/>
  <c r="I1271" i="108"/>
  <c r="K1271" i="108" s="1"/>
  <c r="O1270" i="108"/>
  <c r="I1270" i="108"/>
  <c r="K1270" i="108" s="1"/>
  <c r="O1269" i="108"/>
  <c r="I1269" i="108"/>
  <c r="K1269" i="108" s="1"/>
  <c r="O1268" i="108"/>
  <c r="I1268" i="108"/>
  <c r="K1268" i="108" s="1"/>
  <c r="O1267" i="108"/>
  <c r="K1267" i="108"/>
  <c r="I1267" i="108"/>
  <c r="O1266" i="108"/>
  <c r="I1266" i="108"/>
  <c r="K1266" i="108" s="1"/>
  <c r="O1265" i="108"/>
  <c r="K1265" i="108"/>
  <c r="I1265" i="108"/>
  <c r="O1264" i="108"/>
  <c r="K1264" i="108"/>
  <c r="I1264" i="108"/>
  <c r="I1262" i="108"/>
  <c r="K1262" i="108" s="1"/>
  <c r="O1261" i="108"/>
  <c r="I1261" i="108"/>
  <c r="K1261" i="108" s="1"/>
  <c r="K1260" i="108"/>
  <c r="I1260" i="108"/>
  <c r="O1259" i="108"/>
  <c r="I1259" i="108"/>
  <c r="K1259" i="108" s="1"/>
  <c r="O1258" i="108"/>
  <c r="K1258" i="108"/>
  <c r="I1258" i="108"/>
  <c r="O1257" i="108"/>
  <c r="I1257" i="108"/>
  <c r="K1257" i="108" s="1"/>
  <c r="O1256" i="108"/>
  <c r="I1256" i="108"/>
  <c r="K1256" i="108" s="1"/>
  <c r="O1255" i="108"/>
  <c r="I1255" i="108"/>
  <c r="K1255" i="108" s="1"/>
  <c r="O1254" i="108"/>
  <c r="K1254" i="108"/>
  <c r="I1254" i="108"/>
  <c r="O1253" i="108"/>
  <c r="I1253" i="108"/>
  <c r="K1253" i="108" s="1"/>
  <c r="O1252" i="108"/>
  <c r="I1252" i="108"/>
  <c r="K1252" i="108" s="1"/>
  <c r="O1251" i="108"/>
  <c r="I1251" i="108"/>
  <c r="K1251" i="108" s="1"/>
  <c r="O1250" i="108"/>
  <c r="I1250" i="108"/>
  <c r="K1250" i="108" s="1"/>
  <c r="O1249" i="108"/>
  <c r="I1249" i="108"/>
  <c r="K1249" i="108" s="1"/>
  <c r="O1248" i="108"/>
  <c r="I1248" i="108"/>
  <c r="K1248" i="108" s="1"/>
  <c r="O1247" i="108"/>
  <c r="I1247" i="108"/>
  <c r="K1247" i="108" s="1"/>
  <c r="O1246" i="108"/>
  <c r="I1246" i="108"/>
  <c r="K1246" i="108" s="1"/>
  <c r="O1245" i="108"/>
  <c r="K1245" i="108"/>
  <c r="I1245" i="108"/>
  <c r="O1244" i="108"/>
  <c r="K1244" i="108"/>
  <c r="I1244" i="108"/>
  <c r="O1243" i="108"/>
  <c r="I1243" i="108"/>
  <c r="K1243" i="108" s="1"/>
  <c r="O1242" i="108"/>
  <c r="K1242" i="108"/>
  <c r="I1242" i="108"/>
  <c r="O1241" i="108"/>
  <c r="K1241" i="108"/>
  <c r="I1241" i="108"/>
  <c r="O1240" i="108"/>
  <c r="K1240" i="108"/>
  <c r="I1240" i="108"/>
  <c r="O1239" i="108"/>
  <c r="I1239" i="108"/>
  <c r="K1239" i="108" s="1"/>
  <c r="O1238" i="108"/>
  <c r="K1238" i="108"/>
  <c r="I1238" i="108"/>
  <c r="O1237" i="108"/>
  <c r="I1237" i="108"/>
  <c r="K1237" i="108" s="1"/>
  <c r="O1236" i="108"/>
  <c r="I1236" i="108"/>
  <c r="K1236" i="108" s="1"/>
  <c r="O1235" i="108"/>
  <c r="K1235" i="108"/>
  <c r="I1235" i="108"/>
  <c r="O1234" i="108"/>
  <c r="K1234" i="108"/>
  <c r="I1234" i="108"/>
  <c r="O1233" i="108"/>
  <c r="I1233" i="108"/>
  <c r="K1233" i="108" s="1"/>
  <c r="O1232" i="108"/>
  <c r="I1232" i="108"/>
  <c r="K1232" i="108" s="1"/>
  <c r="O1231" i="108"/>
  <c r="I1231" i="108"/>
  <c r="K1231" i="108" s="1"/>
  <c r="O1230" i="108"/>
  <c r="I1230" i="108"/>
  <c r="K1230" i="108" s="1"/>
  <c r="O1229" i="108"/>
  <c r="I1229" i="108"/>
  <c r="K1229" i="108" s="1"/>
  <c r="O1228" i="108"/>
  <c r="K1228" i="108"/>
  <c r="I1228" i="108"/>
  <c r="O1227" i="108"/>
  <c r="I1227" i="108"/>
  <c r="K1227" i="108" s="1"/>
  <c r="I1225" i="108"/>
  <c r="K1225" i="108" s="1"/>
  <c r="O1224" i="108"/>
  <c r="I1224" i="108"/>
  <c r="K1224" i="108" s="1"/>
  <c r="I1223" i="108"/>
  <c r="K1223" i="108" s="1"/>
  <c r="O1222" i="108"/>
  <c r="I1222" i="108"/>
  <c r="K1222" i="108" s="1"/>
  <c r="O1221" i="108"/>
  <c r="K1221" i="108"/>
  <c r="I1221" i="108"/>
  <c r="O1220" i="108"/>
  <c r="I1220" i="108"/>
  <c r="K1220" i="108" s="1"/>
  <c r="O1219" i="108"/>
  <c r="K1219" i="108"/>
  <c r="I1219" i="108"/>
  <c r="O1218" i="108"/>
  <c r="K1218" i="108"/>
  <c r="I1218" i="108"/>
  <c r="O1217" i="108"/>
  <c r="K1217" i="108"/>
  <c r="I1217" i="108"/>
  <c r="O1216" i="108"/>
  <c r="I1216" i="108"/>
  <c r="K1216" i="108" s="1"/>
  <c r="O1215" i="108"/>
  <c r="K1215" i="108"/>
  <c r="I1215" i="108"/>
  <c r="O1214" i="108"/>
  <c r="I1214" i="108"/>
  <c r="K1214" i="108" s="1"/>
  <c r="O1213" i="108"/>
  <c r="I1213" i="108"/>
  <c r="K1213" i="108" s="1"/>
  <c r="O1212" i="108"/>
  <c r="K1212" i="108"/>
  <c r="I1212" i="108"/>
  <c r="O1211" i="108"/>
  <c r="K1211" i="108"/>
  <c r="I1211" i="108"/>
  <c r="O1210" i="108"/>
  <c r="I1210" i="108"/>
  <c r="K1210" i="108" s="1"/>
  <c r="O1209" i="108"/>
  <c r="I1209" i="108"/>
  <c r="K1209" i="108" s="1"/>
  <c r="O1208" i="108"/>
  <c r="I1208" i="108"/>
  <c r="K1208" i="108" s="1"/>
  <c r="O1207" i="108"/>
  <c r="K1207" i="108"/>
  <c r="I1207" i="108"/>
  <c r="O1206" i="108"/>
  <c r="I1206" i="108"/>
  <c r="K1206" i="108" s="1"/>
  <c r="O1205" i="108"/>
  <c r="K1205" i="108"/>
  <c r="I1205" i="108"/>
  <c r="O1204" i="108"/>
  <c r="I1204" i="108"/>
  <c r="K1204" i="108" s="1"/>
  <c r="O1203" i="108"/>
  <c r="K1203" i="108"/>
  <c r="I1203" i="108"/>
  <c r="O1202" i="108"/>
  <c r="K1202" i="108"/>
  <c r="I1202" i="108"/>
  <c r="O1201" i="108"/>
  <c r="I1201" i="108"/>
  <c r="K1201" i="108" s="1"/>
  <c r="O1200" i="108"/>
  <c r="K1200" i="108"/>
  <c r="I1200" i="108"/>
  <c r="O1199" i="108"/>
  <c r="K1199" i="108"/>
  <c r="I1199" i="108"/>
  <c r="O1198" i="108"/>
  <c r="I1198" i="108"/>
  <c r="K1198" i="108" s="1"/>
  <c r="O1197" i="108"/>
  <c r="I1197" i="108"/>
  <c r="K1197" i="108" s="1"/>
  <c r="O1196" i="108"/>
  <c r="K1196" i="108"/>
  <c r="I1196" i="108"/>
  <c r="O1195" i="108"/>
  <c r="I1195" i="108"/>
  <c r="K1195" i="108" s="1"/>
  <c r="O1194" i="108"/>
  <c r="I1194" i="108"/>
  <c r="K1194" i="108" s="1"/>
  <c r="O1193" i="108"/>
  <c r="K1193" i="108"/>
  <c r="I1193" i="108"/>
  <c r="O1192" i="108"/>
  <c r="I1192" i="108"/>
  <c r="K1192" i="108" s="1"/>
  <c r="O1191" i="108"/>
  <c r="K1191" i="108"/>
  <c r="I1191" i="108"/>
  <c r="O1190" i="108"/>
  <c r="K1190" i="108"/>
  <c r="I1190" i="108"/>
  <c r="K1188" i="108"/>
  <c r="I1188" i="108"/>
  <c r="O1187" i="108"/>
  <c r="I1187" i="108"/>
  <c r="K1187" i="108" s="1"/>
  <c r="K1186" i="108"/>
  <c r="I1186" i="108"/>
  <c r="O1185" i="108"/>
  <c r="I1185" i="108"/>
  <c r="K1185" i="108" s="1"/>
  <c r="O1184" i="108"/>
  <c r="I1184" i="108"/>
  <c r="K1184" i="108" s="1"/>
  <c r="O1183" i="108"/>
  <c r="I1183" i="108"/>
  <c r="K1183" i="108" s="1"/>
  <c r="O1182" i="108"/>
  <c r="K1182" i="108"/>
  <c r="I1182" i="108"/>
  <c r="O1181" i="108"/>
  <c r="I1181" i="108"/>
  <c r="K1181" i="108" s="1"/>
  <c r="O1180" i="108"/>
  <c r="K1180" i="108"/>
  <c r="I1180" i="108"/>
  <c r="O1179" i="108"/>
  <c r="K1179" i="108"/>
  <c r="I1179" i="108"/>
  <c r="O1178" i="108"/>
  <c r="I1178" i="108"/>
  <c r="K1178" i="108" s="1"/>
  <c r="O1177" i="108"/>
  <c r="K1177" i="108"/>
  <c r="I1177" i="108"/>
  <c r="O1176" i="108"/>
  <c r="K1176" i="108"/>
  <c r="I1176" i="108"/>
  <c r="O1175" i="108"/>
  <c r="I1175" i="108"/>
  <c r="K1175" i="108" s="1"/>
  <c r="O1174" i="108"/>
  <c r="I1174" i="108"/>
  <c r="K1174" i="108" s="1"/>
  <c r="O1173" i="108"/>
  <c r="K1173" i="108"/>
  <c r="I1173" i="108"/>
  <c r="O1172" i="108"/>
  <c r="I1172" i="108"/>
  <c r="K1172" i="108" s="1"/>
  <c r="O1171" i="108"/>
  <c r="K1171" i="108"/>
  <c r="I1171" i="108"/>
  <c r="O1170" i="108"/>
  <c r="K1170" i="108"/>
  <c r="I1170" i="108"/>
  <c r="O1169" i="108"/>
  <c r="I1169" i="108"/>
  <c r="K1169" i="108" s="1"/>
  <c r="O1168" i="108"/>
  <c r="I1168" i="108"/>
  <c r="K1168" i="108" s="1"/>
  <c r="O1167" i="108"/>
  <c r="I1167" i="108"/>
  <c r="K1167" i="108" s="1"/>
  <c r="O1166" i="108"/>
  <c r="K1166" i="108"/>
  <c r="I1166" i="108"/>
  <c r="O1165" i="108"/>
  <c r="I1165" i="108"/>
  <c r="K1165" i="108" s="1"/>
  <c r="O1164" i="108"/>
  <c r="K1164" i="108"/>
  <c r="I1164" i="108"/>
  <c r="O1163" i="108"/>
  <c r="I1163" i="108"/>
  <c r="K1163" i="108" s="1"/>
  <c r="O1162" i="108"/>
  <c r="I1162" i="108"/>
  <c r="K1162" i="108" s="1"/>
  <c r="O1161" i="108"/>
  <c r="I1161" i="108"/>
  <c r="K1161" i="108" s="1"/>
  <c r="O1160" i="108"/>
  <c r="I1160" i="108"/>
  <c r="K1160" i="108" s="1"/>
  <c r="O1159" i="108"/>
  <c r="I1159" i="108"/>
  <c r="K1159" i="108" s="1"/>
  <c r="O1158" i="108"/>
  <c r="I1158" i="108"/>
  <c r="K1158" i="108" s="1"/>
  <c r="O1157" i="108"/>
  <c r="K1157" i="108"/>
  <c r="I1157" i="108"/>
  <c r="O1156" i="108"/>
  <c r="I1156" i="108"/>
  <c r="K1156" i="108" s="1"/>
  <c r="O1155" i="108"/>
  <c r="K1155" i="108"/>
  <c r="I1155" i="108"/>
  <c r="O1154" i="108"/>
  <c r="K1154" i="108"/>
  <c r="I1154" i="108"/>
  <c r="O1153" i="108"/>
  <c r="I1153" i="108"/>
  <c r="K1153" i="108" s="1"/>
  <c r="I1151" i="108"/>
  <c r="K1151" i="108" s="1"/>
  <c r="O1150" i="108"/>
  <c r="K1150" i="108"/>
  <c r="I1150" i="108"/>
  <c r="K1149" i="108"/>
  <c r="I1149" i="108"/>
  <c r="O1148" i="108"/>
  <c r="K1148" i="108"/>
  <c r="I1148" i="108"/>
  <c r="O1147" i="108"/>
  <c r="K1147" i="108"/>
  <c r="I1147" i="108"/>
  <c r="O1146" i="108"/>
  <c r="I1146" i="108"/>
  <c r="K1146" i="108" s="1"/>
  <c r="O1145" i="108"/>
  <c r="I1145" i="108"/>
  <c r="K1145" i="108" s="1"/>
  <c r="O1144" i="108"/>
  <c r="K1144" i="108"/>
  <c r="I1144" i="108"/>
  <c r="O1143" i="108"/>
  <c r="K1143" i="108"/>
  <c r="I1143" i="108"/>
  <c r="O1142" i="108"/>
  <c r="I1142" i="108"/>
  <c r="K1142" i="108" s="1"/>
  <c r="O1141" i="108"/>
  <c r="K1141" i="108"/>
  <c r="I1141" i="108"/>
  <c r="O1140" i="108"/>
  <c r="K1140" i="108"/>
  <c r="I1140" i="108"/>
  <c r="O1139" i="108"/>
  <c r="K1139" i="108"/>
  <c r="I1139" i="108"/>
  <c r="O1138" i="108"/>
  <c r="I1138" i="108"/>
  <c r="K1138" i="108" s="1"/>
  <c r="O1137" i="108"/>
  <c r="I1137" i="108"/>
  <c r="K1137" i="108" s="1"/>
  <c r="O1136" i="108"/>
  <c r="I1136" i="108"/>
  <c r="K1136" i="108" s="1"/>
  <c r="O1135" i="108"/>
  <c r="I1135" i="108"/>
  <c r="K1135" i="108" s="1"/>
  <c r="O1134" i="108"/>
  <c r="I1134" i="108"/>
  <c r="K1134" i="108" s="1"/>
  <c r="O1133" i="108"/>
  <c r="I1133" i="108"/>
  <c r="K1133" i="108" s="1"/>
  <c r="O1132" i="108"/>
  <c r="K1132" i="108"/>
  <c r="I1132" i="108"/>
  <c r="O1131" i="108"/>
  <c r="K1131" i="108"/>
  <c r="I1131" i="108"/>
  <c r="O1130" i="108"/>
  <c r="I1130" i="108"/>
  <c r="K1130" i="108" s="1"/>
  <c r="O1129" i="108"/>
  <c r="I1129" i="108"/>
  <c r="K1129" i="108" s="1"/>
  <c r="O1128" i="108"/>
  <c r="K1128" i="108"/>
  <c r="I1128" i="108"/>
  <c r="O1127" i="108"/>
  <c r="K1127" i="108"/>
  <c r="I1127" i="108"/>
  <c r="O1126" i="108"/>
  <c r="I1126" i="108"/>
  <c r="K1126" i="108" s="1"/>
  <c r="O1125" i="108"/>
  <c r="K1125" i="108"/>
  <c r="I1125" i="108"/>
  <c r="O1124" i="108"/>
  <c r="I1124" i="108"/>
  <c r="K1124" i="108" s="1"/>
  <c r="O1123" i="108"/>
  <c r="K1123" i="108"/>
  <c r="I1123" i="108"/>
  <c r="O1122" i="108"/>
  <c r="K1122" i="108"/>
  <c r="I1122" i="108"/>
  <c r="O1121" i="108"/>
  <c r="I1121" i="108"/>
  <c r="K1121" i="108" s="1"/>
  <c r="O1120" i="108"/>
  <c r="I1120" i="108"/>
  <c r="K1120" i="108" s="1"/>
  <c r="O1119" i="108"/>
  <c r="I1119" i="108"/>
  <c r="K1119" i="108" s="1"/>
  <c r="O1118" i="108"/>
  <c r="K1118" i="108"/>
  <c r="I1118" i="108"/>
  <c r="O1117" i="108"/>
  <c r="I1117" i="108"/>
  <c r="K1117" i="108" s="1"/>
  <c r="O1116" i="108"/>
  <c r="I1116" i="108"/>
  <c r="K1116" i="108" s="1"/>
  <c r="I1114" i="108"/>
  <c r="K1114" i="108" s="1"/>
  <c r="O1113" i="108"/>
  <c r="K1113" i="108"/>
  <c r="I1113" i="108"/>
  <c r="I1112" i="108"/>
  <c r="K1112" i="108" s="1"/>
  <c r="O1111" i="108"/>
  <c r="K1111" i="108"/>
  <c r="I1111" i="108"/>
  <c r="O1110" i="108"/>
  <c r="K1110" i="108"/>
  <c r="I1110" i="108"/>
  <c r="O1109" i="108"/>
  <c r="I1109" i="108"/>
  <c r="K1109" i="108" s="1"/>
  <c r="O1108" i="108"/>
  <c r="K1108" i="108"/>
  <c r="I1108" i="108"/>
  <c r="O1107" i="108"/>
  <c r="I1107" i="108"/>
  <c r="K1107" i="108" s="1"/>
  <c r="O1106" i="108"/>
  <c r="I1106" i="108"/>
  <c r="K1106" i="108" s="1"/>
  <c r="O1105" i="108"/>
  <c r="K1105" i="108"/>
  <c r="I1105" i="108"/>
  <c r="O1104" i="108"/>
  <c r="K1104" i="108"/>
  <c r="I1104" i="108"/>
  <c r="O1103" i="108"/>
  <c r="I1103" i="108"/>
  <c r="K1103" i="108" s="1"/>
  <c r="O1102" i="108"/>
  <c r="K1102" i="108"/>
  <c r="I1102" i="108"/>
  <c r="O1101" i="108"/>
  <c r="I1101" i="108"/>
  <c r="K1101" i="108" s="1"/>
  <c r="O1100" i="108"/>
  <c r="I1100" i="108"/>
  <c r="K1100" i="108" s="1"/>
  <c r="O1099" i="108"/>
  <c r="I1099" i="108"/>
  <c r="K1099" i="108" s="1"/>
  <c r="O1098" i="108"/>
  <c r="I1098" i="108"/>
  <c r="K1098" i="108" s="1"/>
  <c r="O1097" i="108"/>
  <c r="I1097" i="108"/>
  <c r="K1097" i="108" s="1"/>
  <c r="O1096" i="108"/>
  <c r="I1096" i="108"/>
  <c r="K1096" i="108" s="1"/>
  <c r="O1095" i="108"/>
  <c r="K1095" i="108"/>
  <c r="I1095" i="108"/>
  <c r="O1094" i="108"/>
  <c r="K1094" i="108"/>
  <c r="I1094" i="108"/>
  <c r="O1093" i="108"/>
  <c r="K1093" i="108"/>
  <c r="I1093" i="108"/>
  <c r="O1092" i="108"/>
  <c r="K1092" i="108"/>
  <c r="I1092" i="108"/>
  <c r="O1091" i="108"/>
  <c r="I1091" i="108"/>
  <c r="K1091" i="108" s="1"/>
  <c r="O1090" i="108"/>
  <c r="I1090" i="108"/>
  <c r="K1090" i="108" s="1"/>
  <c r="O1089" i="108"/>
  <c r="I1089" i="108"/>
  <c r="K1089" i="108" s="1"/>
  <c r="O1088" i="108"/>
  <c r="K1088" i="108"/>
  <c r="I1088" i="108"/>
  <c r="O1087" i="108"/>
  <c r="K1087" i="108"/>
  <c r="I1087" i="108"/>
  <c r="O1086" i="108"/>
  <c r="K1086" i="108"/>
  <c r="I1086" i="108"/>
  <c r="O1085" i="108"/>
  <c r="K1085" i="108"/>
  <c r="I1085" i="108"/>
  <c r="O1084" i="108"/>
  <c r="K1084" i="108"/>
  <c r="I1084" i="108"/>
  <c r="O1083" i="108"/>
  <c r="K1083" i="108"/>
  <c r="I1083" i="108"/>
  <c r="O1082" i="108"/>
  <c r="I1082" i="108"/>
  <c r="K1082" i="108" s="1"/>
  <c r="O1081" i="108"/>
  <c r="I1081" i="108"/>
  <c r="K1081" i="108" s="1"/>
  <c r="O1080" i="108"/>
  <c r="I1080" i="108"/>
  <c r="K1080" i="108" s="1"/>
  <c r="O1079" i="108"/>
  <c r="I1079" i="108"/>
  <c r="K1079" i="108" s="1"/>
  <c r="I1077" i="108"/>
  <c r="K1077" i="108" s="1"/>
  <c r="O1076" i="108"/>
  <c r="K1076" i="108"/>
  <c r="I1076" i="108"/>
  <c r="I1075" i="108"/>
  <c r="K1075" i="108" s="1"/>
  <c r="O1074" i="108"/>
  <c r="I1074" i="108"/>
  <c r="K1074" i="108" s="1"/>
  <c r="O1073" i="108"/>
  <c r="I1073" i="108"/>
  <c r="K1073" i="108" s="1"/>
  <c r="O1072" i="108"/>
  <c r="K1072" i="108"/>
  <c r="I1072" i="108"/>
  <c r="O1071" i="108"/>
  <c r="I1071" i="108"/>
  <c r="K1071" i="108" s="1"/>
  <c r="O1070" i="108"/>
  <c r="K1070" i="108"/>
  <c r="I1070" i="108"/>
  <c r="O1069" i="108"/>
  <c r="K1069" i="108"/>
  <c r="I1069" i="108"/>
  <c r="O1068" i="108"/>
  <c r="K1068" i="108"/>
  <c r="I1068" i="108"/>
  <c r="O1067" i="108"/>
  <c r="I1067" i="108"/>
  <c r="K1067" i="108" s="1"/>
  <c r="O1066" i="108"/>
  <c r="I1066" i="108"/>
  <c r="K1066" i="108" s="1"/>
  <c r="O1065" i="108"/>
  <c r="K1065" i="108"/>
  <c r="I1065" i="108"/>
  <c r="O1064" i="108"/>
  <c r="I1064" i="108"/>
  <c r="K1064" i="108" s="1"/>
  <c r="O1063" i="108"/>
  <c r="K1063" i="108"/>
  <c r="I1063" i="108"/>
  <c r="O1062" i="108"/>
  <c r="K1062" i="108"/>
  <c r="I1062" i="108"/>
  <c r="O1061" i="108"/>
  <c r="K1061" i="108"/>
  <c r="I1061" i="108"/>
  <c r="O1060" i="108"/>
  <c r="I1060" i="108"/>
  <c r="K1060" i="108" s="1"/>
  <c r="O1059" i="108"/>
  <c r="I1059" i="108"/>
  <c r="K1059" i="108" s="1"/>
  <c r="O1058" i="108"/>
  <c r="I1058" i="108"/>
  <c r="K1058" i="108" s="1"/>
  <c r="O1057" i="108"/>
  <c r="I1057" i="108"/>
  <c r="K1057" i="108" s="1"/>
  <c r="O1056" i="108"/>
  <c r="K1056" i="108"/>
  <c r="I1056" i="108"/>
  <c r="O1055" i="108"/>
  <c r="I1055" i="108"/>
  <c r="K1055" i="108" s="1"/>
  <c r="O1054" i="108"/>
  <c r="K1054" i="108"/>
  <c r="I1054" i="108"/>
  <c r="O1053" i="108"/>
  <c r="K1053" i="108"/>
  <c r="I1053" i="108"/>
  <c r="O1052" i="108"/>
  <c r="I1052" i="108"/>
  <c r="K1052" i="108" s="1"/>
  <c r="O1051" i="108"/>
  <c r="I1051" i="108"/>
  <c r="K1051" i="108" s="1"/>
  <c r="O1050" i="108"/>
  <c r="K1050" i="108"/>
  <c r="I1050" i="108"/>
  <c r="O1049" i="108"/>
  <c r="K1049" i="108"/>
  <c r="I1049" i="108"/>
  <c r="O1048" i="108"/>
  <c r="I1048" i="108"/>
  <c r="K1048" i="108" s="1"/>
  <c r="O1047" i="108"/>
  <c r="K1047" i="108"/>
  <c r="I1047" i="108"/>
  <c r="O1046" i="108"/>
  <c r="I1046" i="108"/>
  <c r="K1046" i="108" s="1"/>
  <c r="O1045" i="108"/>
  <c r="I1045" i="108"/>
  <c r="K1045" i="108" s="1"/>
  <c r="O1044" i="108"/>
  <c r="I1044" i="108"/>
  <c r="K1044" i="108" s="1"/>
  <c r="O1043" i="108"/>
  <c r="I1043" i="108"/>
  <c r="K1043" i="108" s="1"/>
  <c r="O1042" i="108"/>
  <c r="I1042" i="108"/>
  <c r="K1042" i="108" s="1"/>
  <c r="I1040" i="108"/>
  <c r="K1040" i="108" s="1"/>
  <c r="O1039" i="108"/>
  <c r="I1039" i="108"/>
  <c r="K1039" i="108" s="1"/>
  <c r="I1038" i="108"/>
  <c r="K1038" i="108" s="1"/>
  <c r="O1037" i="108"/>
  <c r="I1037" i="108"/>
  <c r="K1037" i="108" s="1"/>
  <c r="O1036" i="108"/>
  <c r="I1036" i="108"/>
  <c r="K1036" i="108" s="1"/>
  <c r="O1035" i="108"/>
  <c r="I1035" i="108"/>
  <c r="K1035" i="108" s="1"/>
  <c r="O1034" i="108"/>
  <c r="I1034" i="108"/>
  <c r="K1034" i="108" s="1"/>
  <c r="O1033" i="108"/>
  <c r="K1033" i="108"/>
  <c r="I1033" i="108"/>
  <c r="O1032" i="108"/>
  <c r="K1032" i="108"/>
  <c r="I1032" i="108"/>
  <c r="O1031" i="108"/>
  <c r="K1031" i="108"/>
  <c r="I1031" i="108"/>
  <c r="O1030" i="108"/>
  <c r="K1030" i="108"/>
  <c r="I1030" i="108"/>
  <c r="O1029" i="108"/>
  <c r="I1029" i="108"/>
  <c r="K1029" i="108" s="1"/>
  <c r="O1028" i="108"/>
  <c r="I1028" i="108"/>
  <c r="K1028" i="108" s="1"/>
  <c r="O1027" i="108"/>
  <c r="I1027" i="108"/>
  <c r="K1027" i="108" s="1"/>
  <c r="O1026" i="108"/>
  <c r="K1026" i="108"/>
  <c r="I1026" i="108"/>
  <c r="O1025" i="108"/>
  <c r="I1025" i="108"/>
  <c r="K1025" i="108" s="1"/>
  <c r="O1024" i="108"/>
  <c r="K1024" i="108"/>
  <c r="I1024" i="108"/>
  <c r="O1023" i="108"/>
  <c r="K1023" i="108"/>
  <c r="I1023" i="108"/>
  <c r="O1022" i="108"/>
  <c r="I1022" i="108"/>
  <c r="K1022" i="108" s="1"/>
  <c r="O1021" i="108"/>
  <c r="I1021" i="108"/>
  <c r="K1021" i="108" s="1"/>
  <c r="O1020" i="108"/>
  <c r="I1020" i="108"/>
  <c r="K1020" i="108" s="1"/>
  <c r="O1019" i="108"/>
  <c r="I1019" i="108"/>
  <c r="K1019" i="108" s="1"/>
  <c r="O1018" i="108"/>
  <c r="I1018" i="108"/>
  <c r="K1018" i="108" s="1"/>
  <c r="O1017" i="108"/>
  <c r="I1017" i="108"/>
  <c r="K1017" i="108" s="1"/>
  <c r="O1016" i="108"/>
  <c r="I1016" i="108"/>
  <c r="K1016" i="108" s="1"/>
  <c r="O1015" i="108"/>
  <c r="K1015" i="108"/>
  <c r="I1015" i="108"/>
  <c r="O1014" i="108"/>
  <c r="K1014" i="108"/>
  <c r="I1014" i="108"/>
  <c r="O1013" i="108"/>
  <c r="I1013" i="108"/>
  <c r="K1013" i="108" s="1"/>
  <c r="O1012" i="108"/>
  <c r="K1012" i="108"/>
  <c r="I1012" i="108"/>
  <c r="O1011" i="108"/>
  <c r="K1011" i="108"/>
  <c r="I1011" i="108"/>
  <c r="O1010" i="108"/>
  <c r="K1010" i="108"/>
  <c r="I1010" i="108"/>
  <c r="O1009" i="108"/>
  <c r="I1009" i="108"/>
  <c r="K1009" i="108" s="1"/>
  <c r="O1008" i="108"/>
  <c r="K1008" i="108"/>
  <c r="I1008" i="108"/>
  <c r="O1007" i="108"/>
  <c r="I1007" i="108"/>
  <c r="K1007" i="108" s="1"/>
  <c r="O1006" i="108"/>
  <c r="I1006" i="108"/>
  <c r="K1006" i="108" s="1"/>
  <c r="O1005" i="108"/>
  <c r="I1005" i="108"/>
  <c r="K1005" i="108" s="1"/>
  <c r="K1003" i="108"/>
  <c r="I1003" i="108"/>
  <c r="O1002" i="108"/>
  <c r="K1002" i="108"/>
  <c r="I1002" i="108"/>
  <c r="K1001" i="108"/>
  <c r="I1001" i="108"/>
  <c r="O1000" i="108"/>
  <c r="I1000" i="108"/>
  <c r="K1000" i="108" s="1"/>
  <c r="O999" i="108"/>
  <c r="I999" i="108"/>
  <c r="K999" i="108" s="1"/>
  <c r="O998" i="108"/>
  <c r="I998" i="108"/>
  <c r="K998" i="108" s="1"/>
  <c r="O997" i="108"/>
  <c r="I997" i="108"/>
  <c r="K997" i="108" s="1"/>
  <c r="O996" i="108"/>
  <c r="I996" i="108"/>
  <c r="K996" i="108" s="1"/>
  <c r="O995" i="108"/>
  <c r="I995" i="108"/>
  <c r="K995" i="108" s="1"/>
  <c r="O994" i="108"/>
  <c r="I994" i="108"/>
  <c r="K994" i="108" s="1"/>
  <c r="O993" i="108"/>
  <c r="K993" i="108"/>
  <c r="I993" i="108"/>
  <c r="O992" i="108"/>
  <c r="K992" i="108"/>
  <c r="I992" i="108"/>
  <c r="O991" i="108"/>
  <c r="K991" i="108"/>
  <c r="I991" i="108"/>
  <c r="O990" i="108"/>
  <c r="I990" i="108"/>
  <c r="K990" i="108" s="1"/>
  <c r="O989" i="108"/>
  <c r="I989" i="108"/>
  <c r="K989" i="108" s="1"/>
  <c r="O988" i="108"/>
  <c r="I988" i="108"/>
  <c r="K988" i="108" s="1"/>
  <c r="O987" i="108"/>
  <c r="K987" i="108"/>
  <c r="I987" i="108"/>
  <c r="O986" i="108"/>
  <c r="K986" i="108"/>
  <c r="I986" i="108"/>
  <c r="O985" i="108"/>
  <c r="K985" i="108"/>
  <c r="I985" i="108"/>
  <c r="O984" i="108"/>
  <c r="K984" i="108"/>
  <c r="I984" i="108"/>
  <c r="O983" i="108"/>
  <c r="K983" i="108"/>
  <c r="I983" i="108"/>
  <c r="O982" i="108"/>
  <c r="K982" i="108"/>
  <c r="I982" i="108"/>
  <c r="O981" i="108"/>
  <c r="I981" i="108"/>
  <c r="K981" i="108" s="1"/>
  <c r="O980" i="108"/>
  <c r="I980" i="108"/>
  <c r="K980" i="108" s="1"/>
  <c r="O979" i="108"/>
  <c r="I979" i="108"/>
  <c r="K979" i="108" s="1"/>
  <c r="O978" i="108"/>
  <c r="I978" i="108"/>
  <c r="K978" i="108" s="1"/>
  <c r="O977" i="108"/>
  <c r="K977" i="108"/>
  <c r="I977" i="108"/>
  <c r="O976" i="108"/>
  <c r="K976" i="108"/>
  <c r="I976" i="108"/>
  <c r="O975" i="108"/>
  <c r="K975" i="108"/>
  <c r="I975" i="108"/>
  <c r="O974" i="108"/>
  <c r="I974" i="108"/>
  <c r="K974" i="108" s="1"/>
  <c r="O973" i="108"/>
  <c r="K973" i="108"/>
  <c r="I973" i="108"/>
  <c r="O972" i="108"/>
  <c r="K972" i="108"/>
  <c r="I972" i="108"/>
  <c r="O971" i="108"/>
  <c r="K971" i="108"/>
  <c r="I971" i="108"/>
  <c r="O970" i="108"/>
  <c r="K970" i="108"/>
  <c r="I970" i="108"/>
  <c r="O969" i="108"/>
  <c r="K969" i="108"/>
  <c r="I969" i="108"/>
  <c r="O968" i="108"/>
  <c r="I968" i="108"/>
  <c r="K968" i="108" s="1"/>
  <c r="I966" i="108"/>
  <c r="K966" i="108" s="1"/>
  <c r="O965" i="108"/>
  <c r="I965" i="108"/>
  <c r="K965" i="108" s="1"/>
  <c r="K964" i="108"/>
  <c r="I964" i="108"/>
  <c r="O963" i="108"/>
  <c r="K963" i="108"/>
  <c r="I963" i="108"/>
  <c r="O962" i="108"/>
  <c r="K962" i="108"/>
  <c r="I962" i="108"/>
  <c r="O961" i="108"/>
  <c r="I961" i="108"/>
  <c r="K961" i="108" s="1"/>
  <c r="O960" i="108"/>
  <c r="I960" i="108"/>
  <c r="K960" i="108" s="1"/>
  <c r="O959" i="108"/>
  <c r="K959" i="108"/>
  <c r="I959" i="108"/>
  <c r="O958" i="108"/>
  <c r="I958" i="108"/>
  <c r="K958" i="108" s="1"/>
  <c r="O957" i="108"/>
  <c r="I957" i="108"/>
  <c r="K957" i="108" s="1"/>
  <c r="O956" i="108"/>
  <c r="I956" i="108"/>
  <c r="K956" i="108" s="1"/>
  <c r="O955" i="108"/>
  <c r="I955" i="108"/>
  <c r="K955" i="108" s="1"/>
  <c r="O954" i="108"/>
  <c r="I954" i="108"/>
  <c r="K954" i="108" s="1"/>
  <c r="O953" i="108"/>
  <c r="K953" i="108"/>
  <c r="I953" i="108"/>
  <c r="O952" i="108"/>
  <c r="I952" i="108"/>
  <c r="K952" i="108" s="1"/>
  <c r="O951" i="108"/>
  <c r="I951" i="108"/>
  <c r="K951" i="108" s="1"/>
  <c r="O950" i="108"/>
  <c r="I950" i="108"/>
  <c r="K950" i="108" s="1"/>
  <c r="O949" i="108"/>
  <c r="I949" i="108"/>
  <c r="K949" i="108" s="1"/>
  <c r="O948" i="108"/>
  <c r="K948" i="108"/>
  <c r="I948" i="108"/>
  <c r="O947" i="108"/>
  <c r="K947" i="108"/>
  <c r="I947" i="108"/>
  <c r="O946" i="108"/>
  <c r="K946" i="108"/>
  <c r="I946" i="108"/>
  <c r="O945" i="108"/>
  <c r="I945" i="108"/>
  <c r="K945" i="108" s="1"/>
  <c r="O944" i="108"/>
  <c r="I944" i="108"/>
  <c r="K944" i="108" s="1"/>
  <c r="O943" i="108"/>
  <c r="K943" i="108"/>
  <c r="I943" i="108"/>
  <c r="O942" i="108"/>
  <c r="I942" i="108"/>
  <c r="K942" i="108" s="1"/>
  <c r="O941" i="108"/>
  <c r="I941" i="108"/>
  <c r="K941" i="108" s="1"/>
  <c r="O940" i="108"/>
  <c r="I940" i="108"/>
  <c r="K940" i="108" s="1"/>
  <c r="O939" i="108"/>
  <c r="K939" i="108"/>
  <c r="I939" i="108"/>
  <c r="O938" i="108"/>
  <c r="K938" i="108"/>
  <c r="I938" i="108"/>
  <c r="O937" i="108"/>
  <c r="K937" i="108"/>
  <c r="I937" i="108"/>
  <c r="O936" i="108"/>
  <c r="I936" i="108"/>
  <c r="K936" i="108" s="1"/>
  <c r="O935" i="108"/>
  <c r="I935" i="108"/>
  <c r="K935" i="108" s="1"/>
  <c r="O934" i="108"/>
  <c r="I934" i="108"/>
  <c r="K934" i="108" s="1"/>
  <c r="O933" i="108"/>
  <c r="K933" i="108"/>
  <c r="I933" i="108"/>
  <c r="O932" i="108"/>
  <c r="K932" i="108"/>
  <c r="I932" i="108"/>
  <c r="O931" i="108"/>
  <c r="K931" i="108"/>
  <c r="I931" i="108"/>
  <c r="I929" i="108"/>
  <c r="K929" i="108" s="1"/>
  <c r="O928" i="108"/>
  <c r="I928" i="108"/>
  <c r="K928" i="108" s="1"/>
  <c r="I927" i="108"/>
  <c r="K927" i="108" s="1"/>
  <c r="O926" i="108"/>
  <c r="I926" i="108"/>
  <c r="K926" i="108" s="1"/>
  <c r="O925" i="108"/>
  <c r="K925" i="108"/>
  <c r="I925" i="108"/>
  <c r="O924" i="108"/>
  <c r="K924" i="108"/>
  <c r="I924" i="108"/>
  <c r="O923" i="108"/>
  <c r="K923" i="108"/>
  <c r="I923" i="108"/>
  <c r="O922" i="108"/>
  <c r="K922" i="108"/>
  <c r="I922" i="108"/>
  <c r="O921" i="108"/>
  <c r="K921" i="108"/>
  <c r="I921" i="108"/>
  <c r="O920" i="108"/>
  <c r="K920" i="108"/>
  <c r="I920" i="108"/>
  <c r="O919" i="108"/>
  <c r="I919" i="108"/>
  <c r="K919" i="108" s="1"/>
  <c r="O918" i="108"/>
  <c r="I918" i="108"/>
  <c r="K918" i="108" s="1"/>
  <c r="O917" i="108"/>
  <c r="I917" i="108"/>
  <c r="K917" i="108" s="1"/>
  <c r="O916" i="108"/>
  <c r="I916" i="108"/>
  <c r="K916" i="108" s="1"/>
  <c r="O915" i="108"/>
  <c r="K915" i="108"/>
  <c r="I915" i="108"/>
  <c r="O914" i="108"/>
  <c r="K914" i="108"/>
  <c r="I914" i="108"/>
  <c r="O913" i="108"/>
  <c r="I913" i="108"/>
  <c r="K913" i="108" s="1"/>
  <c r="O912" i="108"/>
  <c r="I912" i="108"/>
  <c r="K912" i="108" s="1"/>
  <c r="O911" i="108"/>
  <c r="I911" i="108"/>
  <c r="K911" i="108" s="1"/>
  <c r="O910" i="108"/>
  <c r="I910" i="108"/>
  <c r="K910" i="108" s="1"/>
  <c r="O909" i="108"/>
  <c r="K909" i="108"/>
  <c r="I909" i="108"/>
  <c r="O908" i="108"/>
  <c r="K908" i="108"/>
  <c r="I908" i="108"/>
  <c r="O907" i="108"/>
  <c r="K907" i="108"/>
  <c r="I907" i="108"/>
  <c r="O906" i="108"/>
  <c r="I906" i="108"/>
  <c r="K906" i="108" s="1"/>
  <c r="O905" i="108"/>
  <c r="I905" i="108"/>
  <c r="K905" i="108" s="1"/>
  <c r="O904" i="108"/>
  <c r="I904" i="108"/>
  <c r="K904" i="108" s="1"/>
  <c r="O903" i="108"/>
  <c r="K903" i="108"/>
  <c r="I903" i="108"/>
  <c r="O902" i="108"/>
  <c r="I902" i="108"/>
  <c r="K902" i="108" s="1"/>
  <c r="O901" i="108"/>
  <c r="I901" i="108"/>
  <c r="K901" i="108" s="1"/>
  <c r="O900" i="108"/>
  <c r="I900" i="108"/>
  <c r="K900" i="108" s="1"/>
  <c r="O899" i="108"/>
  <c r="I899" i="108"/>
  <c r="K899" i="108" s="1"/>
  <c r="O898" i="108"/>
  <c r="I898" i="108"/>
  <c r="K898" i="108" s="1"/>
  <c r="O897" i="108"/>
  <c r="I897" i="108"/>
  <c r="K897" i="108" s="1"/>
  <c r="O896" i="108"/>
  <c r="I896" i="108"/>
  <c r="K896" i="108" s="1"/>
  <c r="O895" i="108"/>
  <c r="I895" i="108"/>
  <c r="K895" i="108" s="1"/>
  <c r="O894" i="108"/>
  <c r="I894" i="108"/>
  <c r="K894" i="108" s="1"/>
  <c r="I892" i="108"/>
  <c r="K892" i="108" s="1"/>
  <c r="O891" i="108"/>
  <c r="K891" i="108"/>
  <c r="I891" i="108"/>
  <c r="I890" i="108"/>
  <c r="K890" i="108" s="1"/>
  <c r="O889" i="108"/>
  <c r="I889" i="108"/>
  <c r="K889" i="108" s="1"/>
  <c r="O888" i="108"/>
  <c r="K888" i="108"/>
  <c r="I888" i="108"/>
  <c r="O887" i="108"/>
  <c r="I887" i="108"/>
  <c r="K887" i="108" s="1"/>
  <c r="O886" i="108"/>
  <c r="K886" i="108"/>
  <c r="I886" i="108"/>
  <c r="O885" i="108"/>
  <c r="K885" i="108"/>
  <c r="I885" i="108"/>
  <c r="O884" i="108"/>
  <c r="K884" i="108"/>
  <c r="I884" i="108"/>
  <c r="O883" i="108"/>
  <c r="I883" i="108"/>
  <c r="K883" i="108" s="1"/>
  <c r="O882" i="108"/>
  <c r="I882" i="108"/>
  <c r="K882" i="108" s="1"/>
  <c r="O881" i="108"/>
  <c r="I881" i="108"/>
  <c r="K881" i="108" s="1"/>
  <c r="O880" i="108"/>
  <c r="K880" i="108"/>
  <c r="I880" i="108"/>
  <c r="O879" i="108"/>
  <c r="I879" i="108"/>
  <c r="K879" i="108" s="1"/>
  <c r="O878" i="108"/>
  <c r="I878" i="108"/>
  <c r="K878" i="108" s="1"/>
  <c r="O877" i="108"/>
  <c r="I877" i="108"/>
  <c r="K877" i="108" s="1"/>
  <c r="O876" i="108"/>
  <c r="I876" i="108"/>
  <c r="K876" i="108" s="1"/>
  <c r="O875" i="108"/>
  <c r="K875" i="108"/>
  <c r="I875" i="108"/>
  <c r="O874" i="108"/>
  <c r="I874" i="108"/>
  <c r="K874" i="108" s="1"/>
  <c r="O873" i="108"/>
  <c r="I873" i="108"/>
  <c r="K873" i="108" s="1"/>
  <c r="O872" i="108"/>
  <c r="I872" i="108"/>
  <c r="K872" i="108" s="1"/>
  <c r="O871" i="108"/>
  <c r="I871" i="108"/>
  <c r="K871" i="108" s="1"/>
  <c r="O870" i="108"/>
  <c r="K870" i="108"/>
  <c r="I870" i="108"/>
  <c r="O869" i="108"/>
  <c r="K869" i="108"/>
  <c r="I869" i="108"/>
  <c r="O868" i="108"/>
  <c r="K868" i="108"/>
  <c r="I868" i="108"/>
  <c r="O867" i="108"/>
  <c r="K867" i="108"/>
  <c r="I867" i="108"/>
  <c r="O866" i="108"/>
  <c r="I866" i="108"/>
  <c r="K866" i="108" s="1"/>
  <c r="O865" i="108"/>
  <c r="K865" i="108"/>
  <c r="I865" i="108"/>
  <c r="O864" i="108"/>
  <c r="K864" i="108"/>
  <c r="I864" i="108"/>
  <c r="O863" i="108"/>
  <c r="I863" i="108"/>
  <c r="K863" i="108" s="1"/>
  <c r="O862" i="108"/>
  <c r="I862" i="108"/>
  <c r="K862" i="108" s="1"/>
  <c r="O861" i="108"/>
  <c r="I861" i="108"/>
  <c r="K861" i="108" s="1"/>
  <c r="O860" i="108"/>
  <c r="I860" i="108"/>
  <c r="K860" i="108" s="1"/>
  <c r="O859" i="108"/>
  <c r="I859" i="108"/>
  <c r="K859" i="108" s="1"/>
  <c r="O858" i="108"/>
  <c r="I858" i="108"/>
  <c r="K858" i="108" s="1"/>
  <c r="O857" i="108"/>
  <c r="I857" i="108"/>
  <c r="K857" i="108" s="1"/>
  <c r="K855" i="108"/>
  <c r="I855" i="108"/>
  <c r="O854" i="108"/>
  <c r="K854" i="108"/>
  <c r="I854" i="108"/>
  <c r="K853" i="108"/>
  <c r="I853" i="108"/>
  <c r="O852" i="108"/>
  <c r="I852" i="108"/>
  <c r="K852" i="108" s="1"/>
  <c r="O851" i="108"/>
  <c r="I851" i="108"/>
  <c r="K851" i="108" s="1"/>
  <c r="O850" i="108"/>
  <c r="I850" i="108"/>
  <c r="K850" i="108" s="1"/>
  <c r="O849" i="108"/>
  <c r="K849" i="108"/>
  <c r="I849" i="108"/>
  <c r="O848" i="108"/>
  <c r="K848" i="108"/>
  <c r="I848" i="108"/>
  <c r="O847" i="108"/>
  <c r="K847" i="108"/>
  <c r="I847" i="108"/>
  <c r="O846" i="108"/>
  <c r="K846" i="108"/>
  <c r="I846" i="108"/>
  <c r="O845" i="108"/>
  <c r="K845" i="108"/>
  <c r="I845" i="108"/>
  <c r="O844" i="108"/>
  <c r="I844" i="108"/>
  <c r="K844" i="108" s="1"/>
  <c r="O843" i="108"/>
  <c r="I843" i="108"/>
  <c r="K843" i="108" s="1"/>
  <c r="O842" i="108"/>
  <c r="K842" i="108"/>
  <c r="I842" i="108"/>
  <c r="O841" i="108"/>
  <c r="K841" i="108"/>
  <c r="I841" i="108"/>
  <c r="O840" i="108"/>
  <c r="I840" i="108"/>
  <c r="K840" i="108" s="1"/>
  <c r="O839" i="108"/>
  <c r="I839" i="108"/>
  <c r="K839" i="108" s="1"/>
  <c r="O838" i="108"/>
  <c r="I838" i="108"/>
  <c r="K838" i="108" s="1"/>
  <c r="O837" i="108"/>
  <c r="I837" i="108"/>
  <c r="K837" i="108" s="1"/>
  <c r="O836" i="108"/>
  <c r="I836" i="108"/>
  <c r="K836" i="108" s="1"/>
  <c r="O835" i="108"/>
  <c r="K835" i="108"/>
  <c r="I835" i="108"/>
  <c r="O834" i="108"/>
  <c r="I834" i="108"/>
  <c r="K834" i="108" s="1"/>
  <c r="O833" i="108"/>
  <c r="K833" i="108"/>
  <c r="I833" i="108"/>
  <c r="O832" i="108"/>
  <c r="K832" i="108"/>
  <c r="I832" i="108"/>
  <c r="O831" i="108"/>
  <c r="K831" i="108"/>
  <c r="I831" i="108"/>
  <c r="O830" i="108"/>
  <c r="K830" i="108"/>
  <c r="I830" i="108"/>
  <c r="O829" i="108"/>
  <c r="K829" i="108"/>
  <c r="I829" i="108"/>
  <c r="O828" i="108"/>
  <c r="I828" i="108"/>
  <c r="K828" i="108" s="1"/>
  <c r="O827" i="108"/>
  <c r="I827" i="108"/>
  <c r="K827" i="108" s="1"/>
  <c r="O826" i="108"/>
  <c r="K826" i="108"/>
  <c r="I826" i="108"/>
  <c r="O825" i="108"/>
  <c r="I825" i="108"/>
  <c r="K825" i="108" s="1"/>
  <c r="O824" i="108"/>
  <c r="I824" i="108"/>
  <c r="K824" i="108" s="1"/>
  <c r="O823" i="108"/>
  <c r="I823" i="108"/>
  <c r="K823" i="108" s="1"/>
  <c r="O822" i="108"/>
  <c r="I822" i="108"/>
  <c r="K822" i="108" s="1"/>
  <c r="O821" i="108"/>
  <c r="I821" i="108"/>
  <c r="K821" i="108" s="1"/>
  <c r="O820" i="108"/>
  <c r="I820" i="108"/>
  <c r="K820" i="108" s="1"/>
  <c r="K818" i="108"/>
  <c r="I818" i="108"/>
  <c r="O817" i="108"/>
  <c r="K817" i="108"/>
  <c r="I817" i="108"/>
  <c r="I816" i="108"/>
  <c r="K816" i="108" s="1"/>
  <c r="O815" i="108"/>
  <c r="I815" i="108"/>
  <c r="K815" i="108" s="1"/>
  <c r="O814" i="108"/>
  <c r="I814" i="108"/>
  <c r="K814" i="108" s="1"/>
  <c r="O813" i="108"/>
  <c r="I813" i="108"/>
  <c r="K813" i="108" s="1"/>
  <c r="O812" i="108"/>
  <c r="I812" i="108"/>
  <c r="K812" i="108" s="1"/>
  <c r="O811" i="108"/>
  <c r="I811" i="108"/>
  <c r="K811" i="108" s="1"/>
  <c r="O810" i="108"/>
  <c r="K810" i="108"/>
  <c r="I810" i="108"/>
  <c r="O809" i="108"/>
  <c r="K809" i="108"/>
  <c r="I809" i="108"/>
  <c r="O808" i="108"/>
  <c r="K808" i="108"/>
  <c r="I808" i="108"/>
  <c r="O807" i="108"/>
  <c r="K807" i="108"/>
  <c r="I807" i="108"/>
  <c r="O806" i="108"/>
  <c r="K806" i="108"/>
  <c r="I806" i="108"/>
  <c r="O805" i="108"/>
  <c r="I805" i="108"/>
  <c r="K805" i="108" s="1"/>
  <c r="O804" i="108"/>
  <c r="I804" i="108"/>
  <c r="K804" i="108" s="1"/>
  <c r="O803" i="108"/>
  <c r="K803" i="108"/>
  <c r="I803" i="108"/>
  <c r="O802" i="108"/>
  <c r="I802" i="108"/>
  <c r="K802" i="108" s="1"/>
  <c r="O801" i="108"/>
  <c r="I801" i="108"/>
  <c r="K801" i="108" s="1"/>
  <c r="O800" i="108"/>
  <c r="I800" i="108"/>
  <c r="K800" i="108" s="1"/>
  <c r="O799" i="108"/>
  <c r="I799" i="108"/>
  <c r="K799" i="108" s="1"/>
  <c r="O798" i="108"/>
  <c r="I798" i="108"/>
  <c r="K798" i="108" s="1"/>
  <c r="O797" i="108"/>
  <c r="I797" i="108"/>
  <c r="K797" i="108" s="1"/>
  <c r="O796" i="108"/>
  <c r="I796" i="108"/>
  <c r="K796" i="108" s="1"/>
  <c r="O795" i="108"/>
  <c r="I795" i="108"/>
  <c r="K795" i="108" s="1"/>
  <c r="O794" i="108"/>
  <c r="K794" i="108"/>
  <c r="I794" i="108"/>
  <c r="O793" i="108"/>
  <c r="K793" i="108"/>
  <c r="I793" i="108"/>
  <c r="O792" i="108"/>
  <c r="K792" i="108"/>
  <c r="I792" i="108"/>
  <c r="O791" i="108"/>
  <c r="K791" i="108"/>
  <c r="I791" i="108"/>
  <c r="O790" i="108"/>
  <c r="K790" i="108"/>
  <c r="I790" i="108"/>
  <c r="O789" i="108"/>
  <c r="I789" i="108"/>
  <c r="K789" i="108" s="1"/>
  <c r="O788" i="108"/>
  <c r="I788" i="108"/>
  <c r="K788" i="108" s="1"/>
  <c r="O787" i="108"/>
  <c r="K787" i="108"/>
  <c r="I787" i="108"/>
  <c r="O786" i="108"/>
  <c r="I786" i="108"/>
  <c r="K786" i="108" s="1"/>
  <c r="O785" i="108"/>
  <c r="I785" i="108"/>
  <c r="K785" i="108" s="1"/>
  <c r="O784" i="108"/>
  <c r="I784" i="108"/>
  <c r="K784" i="108" s="1"/>
  <c r="O783" i="108"/>
  <c r="I783" i="108"/>
  <c r="K783" i="108" s="1"/>
  <c r="K781" i="108"/>
  <c r="I781" i="108"/>
  <c r="O780" i="108"/>
  <c r="K780" i="108"/>
  <c r="I780" i="108"/>
  <c r="I779" i="108"/>
  <c r="K779" i="108" s="1"/>
  <c r="O778" i="108"/>
  <c r="I778" i="108"/>
  <c r="K778" i="108" s="1"/>
  <c r="O777" i="108"/>
  <c r="I777" i="108"/>
  <c r="K777" i="108" s="1"/>
  <c r="O776" i="108"/>
  <c r="I776" i="108"/>
  <c r="K776" i="108" s="1"/>
  <c r="O775" i="108"/>
  <c r="I775" i="108"/>
  <c r="K775" i="108" s="1"/>
  <c r="O774" i="108"/>
  <c r="I774" i="108"/>
  <c r="K774" i="108" s="1"/>
  <c r="O773" i="108"/>
  <c r="K773" i="108"/>
  <c r="I773" i="108"/>
  <c r="O772" i="108"/>
  <c r="I772" i="108"/>
  <c r="K772" i="108" s="1"/>
  <c r="O771" i="108"/>
  <c r="K771" i="108"/>
  <c r="I771" i="108"/>
  <c r="O770" i="108"/>
  <c r="K770" i="108"/>
  <c r="I770" i="108"/>
  <c r="O769" i="108"/>
  <c r="K769" i="108"/>
  <c r="I769" i="108"/>
  <c r="O768" i="108"/>
  <c r="K768" i="108"/>
  <c r="I768" i="108"/>
  <c r="O767" i="108"/>
  <c r="K767" i="108"/>
  <c r="I767" i="108"/>
  <c r="O766" i="108"/>
  <c r="I766" i="108"/>
  <c r="K766" i="108" s="1"/>
  <c r="O765" i="108"/>
  <c r="I765" i="108"/>
  <c r="K765" i="108" s="1"/>
  <c r="O764" i="108"/>
  <c r="K764" i="108"/>
  <c r="I764" i="108"/>
  <c r="O763" i="108"/>
  <c r="K763" i="108"/>
  <c r="I763" i="108"/>
  <c r="O762" i="108"/>
  <c r="I762" i="108"/>
  <c r="K762" i="108" s="1"/>
  <c r="O761" i="108"/>
  <c r="I761" i="108"/>
  <c r="K761" i="108" s="1"/>
  <c r="O760" i="108"/>
  <c r="I760" i="108"/>
  <c r="K760" i="108" s="1"/>
  <c r="O759" i="108"/>
  <c r="I759" i="108"/>
  <c r="K759" i="108" s="1"/>
  <c r="O758" i="108"/>
  <c r="I758" i="108"/>
  <c r="K758" i="108" s="1"/>
  <c r="O757" i="108"/>
  <c r="K757" i="108"/>
  <c r="I757" i="108"/>
  <c r="O756" i="108"/>
  <c r="I756" i="108"/>
  <c r="K756" i="108" s="1"/>
  <c r="O755" i="108"/>
  <c r="K755" i="108"/>
  <c r="I755" i="108"/>
  <c r="O754" i="108"/>
  <c r="K754" i="108"/>
  <c r="I754" i="108"/>
  <c r="O753" i="108"/>
  <c r="I753" i="108"/>
  <c r="K753" i="108" s="1"/>
  <c r="O752" i="108"/>
  <c r="K752" i="108"/>
  <c r="I752" i="108"/>
  <c r="O751" i="108"/>
  <c r="K751" i="108"/>
  <c r="I751" i="108"/>
  <c r="O750" i="108"/>
  <c r="I750" i="108"/>
  <c r="K750" i="108" s="1"/>
  <c r="O749" i="108"/>
  <c r="I749" i="108"/>
  <c r="K749" i="108" s="1"/>
  <c r="O748" i="108"/>
  <c r="K748" i="108"/>
  <c r="I748" i="108"/>
  <c r="O747" i="108"/>
  <c r="K747" i="108"/>
  <c r="I747" i="108"/>
  <c r="O746" i="108"/>
  <c r="I746" i="108"/>
  <c r="K746" i="108" s="1"/>
  <c r="I744" i="108"/>
  <c r="K744" i="108" s="1"/>
  <c r="I743" i="108"/>
  <c r="K743" i="108" s="1"/>
  <c r="I742" i="108"/>
  <c r="K742" i="108" s="1"/>
  <c r="O741" i="108"/>
  <c r="I741" i="108"/>
  <c r="K741" i="108" s="1"/>
  <c r="O740" i="108"/>
  <c r="I740" i="108"/>
  <c r="K740" i="108" s="1"/>
  <c r="O739" i="108"/>
  <c r="K739" i="108"/>
  <c r="I739" i="108"/>
  <c r="O738" i="108"/>
  <c r="I738" i="108"/>
  <c r="K738" i="108" s="1"/>
  <c r="O737" i="108"/>
  <c r="K737" i="108"/>
  <c r="I737" i="108"/>
  <c r="O736" i="108"/>
  <c r="K736" i="108"/>
  <c r="I736" i="108"/>
  <c r="O735" i="108"/>
  <c r="I735" i="108"/>
  <c r="K735" i="108" s="1"/>
  <c r="O734" i="108"/>
  <c r="K734" i="108"/>
  <c r="I734" i="108"/>
  <c r="O733" i="108"/>
  <c r="K733" i="108"/>
  <c r="I733" i="108"/>
  <c r="O732" i="108"/>
  <c r="I732" i="108"/>
  <c r="K732" i="108" s="1"/>
  <c r="O731" i="108"/>
  <c r="I731" i="108"/>
  <c r="K731" i="108" s="1"/>
  <c r="O730" i="108"/>
  <c r="I730" i="108"/>
  <c r="K730" i="108" s="1"/>
  <c r="O729" i="108"/>
  <c r="I729" i="108"/>
  <c r="K729" i="108" s="1"/>
  <c r="O728" i="108"/>
  <c r="I728" i="108"/>
  <c r="K728" i="108" s="1"/>
  <c r="O727" i="108"/>
  <c r="I727" i="108"/>
  <c r="K727" i="108" s="1"/>
  <c r="O726" i="108"/>
  <c r="I726" i="108"/>
  <c r="K726" i="108" s="1"/>
  <c r="O725" i="108"/>
  <c r="I725" i="108"/>
  <c r="K725" i="108" s="1"/>
  <c r="O724" i="108"/>
  <c r="K724" i="108"/>
  <c r="I724" i="108"/>
  <c r="O723" i="108"/>
  <c r="K723" i="108"/>
  <c r="I723" i="108"/>
  <c r="O722" i="108"/>
  <c r="I722" i="108"/>
  <c r="K722" i="108" s="1"/>
  <c r="O721" i="108"/>
  <c r="K721" i="108"/>
  <c r="I721" i="108"/>
  <c r="O720" i="108"/>
  <c r="K720" i="108"/>
  <c r="I720" i="108"/>
  <c r="O719" i="108"/>
  <c r="I719" i="108"/>
  <c r="K719" i="108" s="1"/>
  <c r="O718" i="108"/>
  <c r="K718" i="108"/>
  <c r="I718" i="108"/>
  <c r="O717" i="108"/>
  <c r="K717" i="108"/>
  <c r="I717" i="108"/>
  <c r="O716" i="108"/>
  <c r="I716" i="108"/>
  <c r="K716" i="108" s="1"/>
  <c r="O715" i="108"/>
  <c r="I715" i="108"/>
  <c r="K715" i="108" s="1"/>
  <c r="O714" i="108"/>
  <c r="I714" i="108"/>
  <c r="K714" i="108" s="1"/>
  <c r="O713" i="108"/>
  <c r="I713" i="108"/>
  <c r="K713" i="108" s="1"/>
  <c r="O712" i="108"/>
  <c r="I712" i="108"/>
  <c r="K712" i="108" s="1"/>
  <c r="O711" i="108"/>
  <c r="I711" i="108"/>
  <c r="K711" i="108" s="1"/>
  <c r="O710" i="108"/>
  <c r="I710" i="108"/>
  <c r="K710" i="108" s="1"/>
  <c r="O709" i="108"/>
  <c r="I709" i="108"/>
  <c r="K709" i="108" s="1"/>
  <c r="K707" i="108"/>
  <c r="I707" i="108"/>
  <c r="I706" i="108"/>
  <c r="K706" i="108" s="1"/>
  <c r="K705" i="108"/>
  <c r="I705" i="108"/>
  <c r="O704" i="108"/>
  <c r="I704" i="108"/>
  <c r="K704" i="108" s="1"/>
  <c r="O703" i="108"/>
  <c r="K703" i="108"/>
  <c r="I703" i="108"/>
  <c r="O702" i="108"/>
  <c r="K702" i="108"/>
  <c r="I702" i="108"/>
  <c r="O701" i="108"/>
  <c r="I701" i="108"/>
  <c r="K701" i="108" s="1"/>
  <c r="O700" i="108"/>
  <c r="K700" i="108"/>
  <c r="I700" i="108"/>
  <c r="O699" i="108"/>
  <c r="K699" i="108"/>
  <c r="I699" i="108"/>
  <c r="O698" i="108"/>
  <c r="I698" i="108"/>
  <c r="K698" i="108" s="1"/>
  <c r="O697" i="108"/>
  <c r="I697" i="108"/>
  <c r="K697" i="108" s="1"/>
  <c r="O696" i="108"/>
  <c r="I696" i="108"/>
  <c r="K696" i="108" s="1"/>
  <c r="O695" i="108"/>
  <c r="I695" i="108"/>
  <c r="K695" i="108" s="1"/>
  <c r="O694" i="108"/>
  <c r="I694" i="108"/>
  <c r="K694" i="108" s="1"/>
  <c r="O693" i="108"/>
  <c r="I693" i="108"/>
  <c r="K693" i="108" s="1"/>
  <c r="O692" i="108"/>
  <c r="I692" i="108"/>
  <c r="K692" i="108" s="1"/>
  <c r="O691" i="108"/>
  <c r="I691" i="108"/>
  <c r="K691" i="108" s="1"/>
  <c r="O690" i="108"/>
  <c r="I690" i="108"/>
  <c r="K690" i="108" s="1"/>
  <c r="O689" i="108"/>
  <c r="K689" i="108"/>
  <c r="I689" i="108"/>
  <c r="O688" i="108"/>
  <c r="I688" i="108"/>
  <c r="K688" i="108" s="1"/>
  <c r="O687" i="108"/>
  <c r="K687" i="108"/>
  <c r="I687" i="108"/>
  <c r="O686" i="108"/>
  <c r="K686" i="108"/>
  <c r="I686" i="108"/>
  <c r="O685" i="108"/>
  <c r="K685" i="108"/>
  <c r="I685" i="108"/>
  <c r="O684" i="108"/>
  <c r="K684" i="108"/>
  <c r="I684" i="108"/>
  <c r="O683" i="108"/>
  <c r="K683" i="108"/>
  <c r="I683" i="108"/>
  <c r="O682" i="108"/>
  <c r="I682" i="108"/>
  <c r="K682" i="108" s="1"/>
  <c r="O681" i="108"/>
  <c r="I681" i="108"/>
  <c r="K681" i="108" s="1"/>
  <c r="O680" i="108"/>
  <c r="K680" i="108"/>
  <c r="I680" i="108"/>
  <c r="O679" i="108"/>
  <c r="K679" i="108"/>
  <c r="I679" i="108"/>
  <c r="O678" i="108"/>
  <c r="I678" i="108"/>
  <c r="K678" i="108" s="1"/>
  <c r="O677" i="108"/>
  <c r="I677" i="108"/>
  <c r="K677" i="108" s="1"/>
  <c r="O676" i="108"/>
  <c r="I676" i="108"/>
  <c r="K676" i="108" s="1"/>
  <c r="O675" i="108"/>
  <c r="I675" i="108"/>
  <c r="K675" i="108" s="1"/>
  <c r="O674" i="108"/>
  <c r="I674" i="108"/>
  <c r="K674" i="108" s="1"/>
  <c r="O673" i="108"/>
  <c r="K673" i="108"/>
  <c r="I673" i="108"/>
  <c r="O672" i="108"/>
  <c r="I672" i="108"/>
  <c r="K672" i="108" s="1"/>
  <c r="I670" i="108"/>
  <c r="K670" i="108" s="1"/>
  <c r="O669" i="108"/>
  <c r="I669" i="108"/>
  <c r="K669" i="108" s="1"/>
  <c r="I668" i="108"/>
  <c r="K668" i="108" s="1"/>
  <c r="O667" i="108"/>
  <c r="I667" i="108"/>
  <c r="K667" i="108" s="1"/>
  <c r="O666" i="108"/>
  <c r="K666" i="108"/>
  <c r="I666" i="108"/>
  <c r="O665" i="108"/>
  <c r="I665" i="108"/>
  <c r="K665" i="108" s="1"/>
  <c r="O664" i="108"/>
  <c r="K664" i="108"/>
  <c r="I664" i="108"/>
  <c r="O663" i="108"/>
  <c r="K663" i="108"/>
  <c r="I663" i="108"/>
  <c r="O662" i="108"/>
  <c r="I662" i="108"/>
  <c r="K662" i="108" s="1"/>
  <c r="O661" i="108"/>
  <c r="K661" i="108"/>
  <c r="I661" i="108"/>
  <c r="O660" i="108"/>
  <c r="K660" i="108"/>
  <c r="I660" i="108"/>
  <c r="O659" i="108"/>
  <c r="I659" i="108"/>
  <c r="K659" i="108" s="1"/>
  <c r="O658" i="108"/>
  <c r="I658" i="108"/>
  <c r="K658" i="108" s="1"/>
  <c r="O657" i="108"/>
  <c r="I657" i="108"/>
  <c r="K657" i="108" s="1"/>
  <c r="O656" i="108"/>
  <c r="I656" i="108"/>
  <c r="K656" i="108" s="1"/>
  <c r="O655" i="108"/>
  <c r="I655" i="108"/>
  <c r="K655" i="108" s="1"/>
  <c r="O654" i="108"/>
  <c r="I654" i="108"/>
  <c r="K654" i="108" s="1"/>
  <c r="O653" i="108"/>
  <c r="I653" i="108"/>
  <c r="K653" i="108" s="1"/>
  <c r="O652" i="108"/>
  <c r="I652" i="108"/>
  <c r="K652" i="108" s="1"/>
  <c r="O651" i="108"/>
  <c r="K651" i="108"/>
  <c r="I651" i="108"/>
  <c r="O650" i="108"/>
  <c r="K650" i="108"/>
  <c r="I650" i="108"/>
  <c r="O649" i="108"/>
  <c r="I649" i="108"/>
  <c r="K649" i="108" s="1"/>
  <c r="O648" i="108"/>
  <c r="K648" i="108"/>
  <c r="I648" i="108"/>
  <c r="O647" i="108"/>
  <c r="K647" i="108"/>
  <c r="I647" i="108"/>
  <c r="O646" i="108"/>
  <c r="I646" i="108"/>
  <c r="K646" i="108" s="1"/>
  <c r="O645" i="108"/>
  <c r="K645" i="108"/>
  <c r="I645" i="108"/>
  <c r="O644" i="108"/>
  <c r="K644" i="108"/>
  <c r="I644" i="108"/>
  <c r="O643" i="108"/>
  <c r="I643" i="108"/>
  <c r="K643" i="108" s="1"/>
  <c r="O642" i="108"/>
  <c r="I642" i="108"/>
  <c r="K642" i="108" s="1"/>
  <c r="O641" i="108"/>
  <c r="I641" i="108"/>
  <c r="K641" i="108" s="1"/>
  <c r="O640" i="108"/>
  <c r="I640" i="108"/>
  <c r="K640" i="108" s="1"/>
  <c r="O639" i="108"/>
  <c r="I639" i="108"/>
  <c r="K639" i="108" s="1"/>
  <c r="O638" i="108"/>
  <c r="I638" i="108"/>
  <c r="K638" i="108" s="1"/>
  <c r="O637" i="108"/>
  <c r="I637" i="108"/>
  <c r="K637" i="108" s="1"/>
  <c r="O636" i="108"/>
  <c r="I636" i="108"/>
  <c r="K636" i="108" s="1"/>
  <c r="O635" i="108"/>
  <c r="K635" i="108"/>
  <c r="I635" i="108"/>
  <c r="K633" i="108"/>
  <c r="I633" i="108"/>
  <c r="O632" i="108"/>
  <c r="K632" i="108"/>
  <c r="I632" i="108"/>
  <c r="I631" i="108"/>
  <c r="K631" i="108" s="1"/>
  <c r="O630" i="108"/>
  <c r="I630" i="108"/>
  <c r="K630" i="108" s="1"/>
  <c r="O629" i="108"/>
  <c r="I629" i="108"/>
  <c r="K629" i="108" s="1"/>
  <c r="O628" i="108"/>
  <c r="K628" i="108"/>
  <c r="I628" i="108"/>
  <c r="O627" i="108"/>
  <c r="K627" i="108"/>
  <c r="I627" i="108"/>
  <c r="O626" i="108"/>
  <c r="I626" i="108"/>
  <c r="K626" i="108" s="1"/>
  <c r="O625" i="108"/>
  <c r="K625" i="108"/>
  <c r="I625" i="108"/>
  <c r="O624" i="108"/>
  <c r="I624" i="108"/>
  <c r="K624" i="108" s="1"/>
  <c r="O623" i="108"/>
  <c r="K623" i="108"/>
  <c r="I623" i="108"/>
  <c r="O622" i="108"/>
  <c r="K622" i="108"/>
  <c r="I622" i="108"/>
  <c r="O621" i="108"/>
  <c r="K621" i="108"/>
  <c r="I621" i="108"/>
  <c r="O620" i="108"/>
  <c r="I620" i="108"/>
  <c r="K620" i="108" s="1"/>
  <c r="O619" i="108"/>
  <c r="I619" i="108"/>
  <c r="K619" i="108" s="1"/>
  <c r="O618" i="108"/>
  <c r="I618" i="108"/>
  <c r="K618" i="108" s="1"/>
  <c r="O617" i="108"/>
  <c r="K617" i="108"/>
  <c r="I617" i="108"/>
  <c r="O616" i="108"/>
  <c r="I616" i="108"/>
  <c r="K616" i="108" s="1"/>
  <c r="O615" i="108"/>
  <c r="I615" i="108"/>
  <c r="K615" i="108" s="1"/>
  <c r="O614" i="108"/>
  <c r="I614" i="108"/>
  <c r="K614" i="108" s="1"/>
  <c r="O613" i="108"/>
  <c r="I613" i="108"/>
  <c r="K613" i="108" s="1"/>
  <c r="O612" i="108"/>
  <c r="I612" i="108"/>
  <c r="K612" i="108" s="1"/>
  <c r="O611" i="108"/>
  <c r="K611" i="108"/>
  <c r="I611" i="108"/>
  <c r="O610" i="108"/>
  <c r="I610" i="108"/>
  <c r="K610" i="108" s="1"/>
  <c r="O609" i="108"/>
  <c r="K609" i="108"/>
  <c r="I609" i="108"/>
  <c r="O608" i="108"/>
  <c r="K608" i="108"/>
  <c r="I608" i="108"/>
  <c r="O607" i="108"/>
  <c r="K607" i="108"/>
  <c r="I607" i="108"/>
  <c r="O606" i="108"/>
  <c r="K606" i="108"/>
  <c r="I606" i="108"/>
  <c r="O605" i="108"/>
  <c r="K605" i="108"/>
  <c r="I605" i="108"/>
  <c r="O604" i="108"/>
  <c r="I604" i="108"/>
  <c r="K604" i="108" s="1"/>
  <c r="O603" i="108"/>
  <c r="I603" i="108"/>
  <c r="K603" i="108" s="1"/>
  <c r="O602" i="108"/>
  <c r="K602" i="108"/>
  <c r="I602" i="108"/>
  <c r="O601" i="108"/>
  <c r="K601" i="108"/>
  <c r="I601" i="108"/>
  <c r="O600" i="108"/>
  <c r="I600" i="108"/>
  <c r="K600" i="108" s="1"/>
  <c r="O599" i="108"/>
  <c r="I599" i="108"/>
  <c r="K599" i="108" s="1"/>
  <c r="O598" i="108"/>
  <c r="I598" i="108"/>
  <c r="K598" i="108" s="1"/>
  <c r="K596" i="108"/>
  <c r="I596" i="108"/>
  <c r="K595" i="108"/>
  <c r="I595" i="108"/>
  <c r="I594" i="108"/>
  <c r="K594" i="108" s="1"/>
  <c r="O593" i="108"/>
  <c r="K593" i="108"/>
  <c r="I593" i="108"/>
  <c r="O592" i="108"/>
  <c r="I592" i="108"/>
  <c r="K592" i="108" s="1"/>
  <c r="O591" i="108"/>
  <c r="K591" i="108"/>
  <c r="I591" i="108"/>
  <c r="O590" i="108"/>
  <c r="I590" i="108"/>
  <c r="K590" i="108" s="1"/>
  <c r="O589" i="108"/>
  <c r="K589" i="108"/>
  <c r="I589" i="108"/>
  <c r="O588" i="108"/>
  <c r="K588" i="108"/>
  <c r="I588" i="108"/>
  <c r="O587" i="108"/>
  <c r="K587" i="108"/>
  <c r="I587" i="108"/>
  <c r="O586" i="108"/>
  <c r="I586" i="108"/>
  <c r="K586" i="108" s="1"/>
  <c r="O585" i="108"/>
  <c r="I585" i="108"/>
  <c r="K585" i="108" s="1"/>
  <c r="O584" i="108"/>
  <c r="I584" i="108"/>
  <c r="K584" i="108" s="1"/>
  <c r="O583" i="108"/>
  <c r="K583" i="108"/>
  <c r="I583" i="108"/>
  <c r="O582" i="108"/>
  <c r="I582" i="108"/>
  <c r="K582" i="108" s="1"/>
  <c r="O581" i="108"/>
  <c r="I581" i="108"/>
  <c r="K581" i="108" s="1"/>
  <c r="O580" i="108"/>
  <c r="I580" i="108"/>
  <c r="K580" i="108" s="1"/>
  <c r="O579" i="108"/>
  <c r="I579" i="108"/>
  <c r="K579" i="108" s="1"/>
  <c r="O578" i="108"/>
  <c r="K578" i="108"/>
  <c r="I578" i="108"/>
  <c r="O577" i="108"/>
  <c r="K577" i="108"/>
  <c r="I577" i="108"/>
  <c r="O576" i="108"/>
  <c r="I576" i="108"/>
  <c r="K576" i="108" s="1"/>
  <c r="O575" i="108"/>
  <c r="K575" i="108"/>
  <c r="I575" i="108"/>
  <c r="O574" i="108"/>
  <c r="K574" i="108"/>
  <c r="I574" i="108"/>
  <c r="O573" i="108"/>
  <c r="I573" i="108"/>
  <c r="K573" i="108" s="1"/>
  <c r="O572" i="108"/>
  <c r="K572" i="108"/>
  <c r="I572" i="108"/>
  <c r="O571" i="108"/>
  <c r="K571" i="108"/>
  <c r="I571" i="108"/>
  <c r="O570" i="108"/>
  <c r="I570" i="108"/>
  <c r="K570" i="108" s="1"/>
  <c r="O569" i="108"/>
  <c r="I569" i="108"/>
  <c r="K569" i="108" s="1"/>
  <c r="O568" i="108"/>
  <c r="K568" i="108"/>
  <c r="I568" i="108"/>
  <c r="O567" i="108"/>
  <c r="I567" i="108"/>
  <c r="K567" i="108" s="1"/>
  <c r="O566" i="108"/>
  <c r="I566" i="108"/>
  <c r="K566" i="108" s="1"/>
  <c r="O565" i="108"/>
  <c r="I565" i="108"/>
  <c r="K565" i="108" s="1"/>
  <c r="O564" i="108"/>
  <c r="I564" i="108"/>
  <c r="K564" i="108" s="1"/>
  <c r="O563" i="108"/>
  <c r="K563" i="108"/>
  <c r="I563" i="108"/>
  <c r="O562" i="108"/>
  <c r="K562" i="108"/>
  <c r="I562" i="108"/>
  <c r="O561" i="108"/>
  <c r="K561" i="108"/>
  <c r="I561" i="108"/>
  <c r="K559" i="108"/>
  <c r="I559" i="108"/>
  <c r="I558" i="108"/>
  <c r="K558" i="108" s="1"/>
  <c r="K557" i="108"/>
  <c r="I557" i="108"/>
  <c r="O556" i="108"/>
  <c r="I556" i="108"/>
  <c r="K556" i="108" s="1"/>
  <c r="O555" i="108"/>
  <c r="I555" i="108"/>
  <c r="K555" i="108" s="1"/>
  <c r="O554" i="108"/>
  <c r="K554" i="108"/>
  <c r="I554" i="108"/>
  <c r="O553" i="108"/>
  <c r="K553" i="108"/>
  <c r="I553" i="108"/>
  <c r="O552" i="108"/>
  <c r="I552" i="108"/>
  <c r="K552" i="108" s="1"/>
  <c r="O551" i="108"/>
  <c r="I551" i="108"/>
  <c r="K551" i="108" s="1"/>
  <c r="O550" i="108"/>
  <c r="I550" i="108"/>
  <c r="K550" i="108" s="1"/>
  <c r="O549" i="108"/>
  <c r="I549" i="108"/>
  <c r="K549" i="108" s="1"/>
  <c r="O548" i="108"/>
  <c r="I548" i="108"/>
  <c r="K548" i="108" s="1"/>
  <c r="O547" i="108"/>
  <c r="I547" i="108"/>
  <c r="K547" i="108" s="1"/>
  <c r="O546" i="108"/>
  <c r="I546" i="108"/>
  <c r="K546" i="108" s="1"/>
  <c r="O545" i="108"/>
  <c r="K545" i="108"/>
  <c r="I545" i="108"/>
  <c r="O544" i="108"/>
  <c r="I544" i="108"/>
  <c r="K544" i="108" s="1"/>
  <c r="O543" i="108"/>
  <c r="K543" i="108"/>
  <c r="I543" i="108"/>
  <c r="O542" i="108"/>
  <c r="I542" i="108"/>
  <c r="K542" i="108" s="1"/>
  <c r="O541" i="108"/>
  <c r="K541" i="108"/>
  <c r="I541" i="108"/>
  <c r="O540" i="108"/>
  <c r="K540" i="108"/>
  <c r="I540" i="108"/>
  <c r="O539" i="108"/>
  <c r="I539" i="108"/>
  <c r="K539" i="108" s="1"/>
  <c r="O538" i="108"/>
  <c r="K538" i="108"/>
  <c r="I538" i="108"/>
  <c r="O537" i="108"/>
  <c r="K537" i="108"/>
  <c r="I537" i="108"/>
  <c r="O536" i="108"/>
  <c r="I536" i="108"/>
  <c r="K536" i="108" s="1"/>
  <c r="O535" i="108"/>
  <c r="I535" i="108"/>
  <c r="K535" i="108" s="1"/>
  <c r="O534" i="108"/>
  <c r="I534" i="108"/>
  <c r="K534" i="108" s="1"/>
  <c r="O533" i="108"/>
  <c r="K533" i="108"/>
  <c r="I533" i="108"/>
  <c r="O532" i="108"/>
  <c r="I532" i="108"/>
  <c r="K532" i="108" s="1"/>
  <c r="O531" i="108"/>
  <c r="I531" i="108"/>
  <c r="K531" i="108" s="1"/>
  <c r="O530" i="108"/>
  <c r="I530" i="108"/>
  <c r="K530" i="108" s="1"/>
  <c r="O529" i="108"/>
  <c r="I529" i="108"/>
  <c r="K529" i="108" s="1"/>
  <c r="O528" i="108"/>
  <c r="K528" i="108"/>
  <c r="I528" i="108"/>
  <c r="O527" i="108"/>
  <c r="K527" i="108"/>
  <c r="I527" i="108"/>
  <c r="O526" i="108"/>
  <c r="I526" i="108"/>
  <c r="K526" i="108" s="1"/>
  <c r="O525" i="108"/>
  <c r="K525" i="108"/>
  <c r="I525" i="108"/>
  <c r="O524" i="108"/>
  <c r="K524" i="108"/>
  <c r="I524" i="108"/>
  <c r="I522" i="108"/>
  <c r="K522" i="108" s="1"/>
  <c r="I521" i="108"/>
  <c r="K521" i="108" s="1"/>
  <c r="K520" i="108"/>
  <c r="I520" i="108"/>
  <c r="O519" i="108"/>
  <c r="K519" i="108"/>
  <c r="I519" i="108"/>
  <c r="O518" i="108"/>
  <c r="I518" i="108"/>
  <c r="K518" i="108" s="1"/>
  <c r="O517" i="108"/>
  <c r="I517" i="108"/>
  <c r="K517" i="108" s="1"/>
  <c r="O516" i="108"/>
  <c r="I516" i="108"/>
  <c r="K516" i="108" s="1"/>
  <c r="O515" i="108"/>
  <c r="I515" i="108"/>
  <c r="K515" i="108" s="1"/>
  <c r="O514" i="108"/>
  <c r="I514" i="108"/>
  <c r="K514" i="108" s="1"/>
  <c r="O513" i="108"/>
  <c r="I513" i="108"/>
  <c r="K513" i="108" s="1"/>
  <c r="O512" i="108"/>
  <c r="I512" i="108"/>
  <c r="K512" i="108" s="1"/>
  <c r="O511" i="108"/>
  <c r="I511" i="108"/>
  <c r="K511" i="108" s="1"/>
  <c r="O510" i="108"/>
  <c r="K510" i="108"/>
  <c r="I510" i="108"/>
  <c r="O509" i="108"/>
  <c r="K509" i="108"/>
  <c r="I509" i="108"/>
  <c r="O508" i="108"/>
  <c r="I508" i="108"/>
  <c r="K508" i="108" s="1"/>
  <c r="O507" i="108"/>
  <c r="K507" i="108"/>
  <c r="I507" i="108"/>
  <c r="O506" i="108"/>
  <c r="I506" i="108"/>
  <c r="K506" i="108" s="1"/>
  <c r="O505" i="108"/>
  <c r="I505" i="108"/>
  <c r="K505" i="108" s="1"/>
  <c r="O504" i="108"/>
  <c r="K504" i="108"/>
  <c r="I504" i="108"/>
  <c r="O503" i="108"/>
  <c r="K503" i="108"/>
  <c r="I503" i="108"/>
  <c r="O502" i="108"/>
  <c r="I502" i="108"/>
  <c r="K502" i="108" s="1"/>
  <c r="O501" i="108"/>
  <c r="K501" i="108"/>
  <c r="I501" i="108"/>
  <c r="O500" i="108"/>
  <c r="K500" i="108"/>
  <c r="I500" i="108"/>
  <c r="O499" i="108"/>
  <c r="K499" i="108"/>
  <c r="I499" i="108"/>
  <c r="O498" i="108"/>
  <c r="I498" i="108"/>
  <c r="K498" i="108" s="1"/>
  <c r="O497" i="108"/>
  <c r="I497" i="108"/>
  <c r="K497" i="108" s="1"/>
  <c r="O496" i="108"/>
  <c r="I496" i="108"/>
  <c r="K496" i="108" s="1"/>
  <c r="O495" i="108"/>
  <c r="I495" i="108"/>
  <c r="K495" i="108" s="1"/>
  <c r="O494" i="108"/>
  <c r="I494" i="108"/>
  <c r="K494" i="108" s="1"/>
  <c r="O493" i="108"/>
  <c r="K493" i="108"/>
  <c r="I493" i="108"/>
  <c r="O492" i="108"/>
  <c r="I492" i="108"/>
  <c r="K492" i="108" s="1"/>
  <c r="O491" i="108"/>
  <c r="K491" i="108"/>
  <c r="I491" i="108"/>
  <c r="O490" i="108"/>
  <c r="I490" i="108"/>
  <c r="K490" i="108" s="1"/>
  <c r="O489" i="108"/>
  <c r="I489" i="108"/>
  <c r="K489" i="108" s="1"/>
  <c r="O488" i="108"/>
  <c r="K488" i="108"/>
  <c r="I488" i="108"/>
  <c r="O487" i="108"/>
  <c r="K487" i="108"/>
  <c r="I487" i="108"/>
  <c r="I485" i="108"/>
  <c r="K485" i="108" s="1"/>
  <c r="K484" i="108"/>
  <c r="I484" i="108"/>
  <c r="I483" i="108"/>
  <c r="K483" i="108" s="1"/>
  <c r="O482" i="108"/>
  <c r="K482" i="108"/>
  <c r="I482" i="108"/>
  <c r="O481" i="108"/>
  <c r="I481" i="108"/>
  <c r="K481" i="108" s="1"/>
  <c r="O480" i="108"/>
  <c r="I480" i="108"/>
  <c r="K480" i="108" s="1"/>
  <c r="O479" i="108"/>
  <c r="I479" i="108"/>
  <c r="K479" i="108" s="1"/>
  <c r="O478" i="108"/>
  <c r="I478" i="108"/>
  <c r="K478" i="108" s="1"/>
  <c r="O477" i="108"/>
  <c r="I477" i="108"/>
  <c r="K477" i="108" s="1"/>
  <c r="O476" i="108"/>
  <c r="I476" i="108"/>
  <c r="K476" i="108" s="1"/>
  <c r="O475" i="108"/>
  <c r="K475" i="108"/>
  <c r="I475" i="108"/>
  <c r="O474" i="108"/>
  <c r="I474" i="108"/>
  <c r="K474" i="108" s="1"/>
  <c r="O473" i="108"/>
  <c r="K473" i="108"/>
  <c r="I473" i="108"/>
  <c r="O472" i="108"/>
  <c r="I472" i="108"/>
  <c r="K472" i="108" s="1"/>
  <c r="O471" i="108"/>
  <c r="I471" i="108"/>
  <c r="K471" i="108" s="1"/>
  <c r="O470" i="108"/>
  <c r="K470" i="108"/>
  <c r="I470" i="108"/>
  <c r="O469" i="108"/>
  <c r="K469" i="108"/>
  <c r="I469" i="108"/>
  <c r="O468" i="108"/>
  <c r="I468" i="108"/>
  <c r="K468" i="108" s="1"/>
  <c r="O467" i="108"/>
  <c r="K467" i="108"/>
  <c r="I467" i="108"/>
  <c r="O466" i="108"/>
  <c r="I466" i="108"/>
  <c r="K466" i="108" s="1"/>
  <c r="O465" i="108"/>
  <c r="K465" i="108"/>
  <c r="I465" i="108"/>
  <c r="O464" i="108"/>
  <c r="I464" i="108"/>
  <c r="K464" i="108" s="1"/>
  <c r="O463" i="108"/>
  <c r="I463" i="108"/>
  <c r="K463" i="108" s="1"/>
  <c r="O462" i="108"/>
  <c r="I462" i="108"/>
  <c r="K462" i="108" s="1"/>
  <c r="O461" i="108"/>
  <c r="I461" i="108"/>
  <c r="K461" i="108" s="1"/>
  <c r="O460" i="108"/>
  <c r="I460" i="108"/>
  <c r="K460" i="108" s="1"/>
  <c r="O459" i="108"/>
  <c r="K459" i="108"/>
  <c r="I459" i="108"/>
  <c r="O458" i="108"/>
  <c r="I458" i="108"/>
  <c r="K458" i="108" s="1"/>
  <c r="O457" i="108"/>
  <c r="K457" i="108"/>
  <c r="I457" i="108"/>
  <c r="O456" i="108"/>
  <c r="K456" i="108"/>
  <c r="I456" i="108"/>
  <c r="O455" i="108"/>
  <c r="K455" i="108"/>
  <c r="I455" i="108"/>
  <c r="O454" i="108"/>
  <c r="K454" i="108"/>
  <c r="I454" i="108"/>
  <c r="O453" i="108"/>
  <c r="K453" i="108"/>
  <c r="I453" i="108"/>
  <c r="O452" i="108"/>
  <c r="I452" i="108"/>
  <c r="K452" i="108" s="1"/>
  <c r="O451" i="108"/>
  <c r="I451" i="108"/>
  <c r="K451" i="108" s="1"/>
  <c r="O450" i="108"/>
  <c r="I450" i="108"/>
  <c r="K450" i="108" s="1"/>
  <c r="K448" i="108"/>
  <c r="I448" i="108"/>
  <c r="K447" i="108"/>
  <c r="I447" i="108"/>
  <c r="I446" i="108"/>
  <c r="K446" i="108" s="1"/>
  <c r="O445" i="108"/>
  <c r="I445" i="108"/>
  <c r="K445" i="108" s="1"/>
  <c r="O444" i="108"/>
  <c r="I444" i="108"/>
  <c r="K444" i="108" s="1"/>
  <c r="O443" i="108"/>
  <c r="I443" i="108"/>
  <c r="K443" i="108" s="1"/>
  <c r="O442" i="108"/>
  <c r="K442" i="108"/>
  <c r="I442" i="108"/>
  <c r="O441" i="108"/>
  <c r="K441" i="108"/>
  <c r="I441" i="108"/>
  <c r="O440" i="108"/>
  <c r="I440" i="108"/>
  <c r="K440" i="108" s="1"/>
  <c r="O439" i="108"/>
  <c r="K439" i="108"/>
  <c r="I439" i="108"/>
  <c r="O438" i="108"/>
  <c r="K438" i="108"/>
  <c r="I438" i="108"/>
  <c r="O437" i="108"/>
  <c r="I437" i="108"/>
  <c r="K437" i="108" s="1"/>
  <c r="O436" i="108"/>
  <c r="K436" i="108"/>
  <c r="I436" i="108"/>
  <c r="O435" i="108"/>
  <c r="K435" i="108"/>
  <c r="I435" i="108"/>
  <c r="O434" i="108"/>
  <c r="I434" i="108"/>
  <c r="K434" i="108" s="1"/>
  <c r="O433" i="108"/>
  <c r="K433" i="108"/>
  <c r="I433" i="108"/>
  <c r="O432" i="108"/>
  <c r="I432" i="108"/>
  <c r="K432" i="108" s="1"/>
  <c r="O431" i="108"/>
  <c r="I431" i="108"/>
  <c r="K431" i="108" s="1"/>
  <c r="O430" i="108"/>
  <c r="I430" i="108"/>
  <c r="K430" i="108" s="1"/>
  <c r="O429" i="108"/>
  <c r="I429" i="108"/>
  <c r="K429" i="108" s="1"/>
  <c r="O428" i="108"/>
  <c r="I428" i="108"/>
  <c r="K428" i="108" s="1"/>
  <c r="O427" i="108"/>
  <c r="I427" i="108"/>
  <c r="K427" i="108" s="1"/>
  <c r="O426" i="108"/>
  <c r="K426" i="108"/>
  <c r="I426" i="108"/>
  <c r="O425" i="108"/>
  <c r="K425" i="108"/>
  <c r="I425" i="108"/>
  <c r="O424" i="108"/>
  <c r="I424" i="108"/>
  <c r="K424" i="108" s="1"/>
  <c r="O423" i="108"/>
  <c r="K423" i="108"/>
  <c r="I423" i="108"/>
  <c r="O422" i="108"/>
  <c r="I422" i="108"/>
  <c r="K422" i="108" s="1"/>
  <c r="O421" i="108"/>
  <c r="K421" i="108"/>
  <c r="I421" i="108"/>
  <c r="O420" i="108"/>
  <c r="K420" i="108"/>
  <c r="I420" i="108"/>
  <c r="O419" i="108"/>
  <c r="K419" i="108"/>
  <c r="I419" i="108"/>
  <c r="O418" i="108"/>
  <c r="I418" i="108"/>
  <c r="K418" i="108" s="1"/>
  <c r="O417" i="108"/>
  <c r="K417" i="108"/>
  <c r="I417" i="108"/>
  <c r="O416" i="108"/>
  <c r="I416" i="108"/>
  <c r="K416" i="108" s="1"/>
  <c r="O415" i="108"/>
  <c r="I415" i="108"/>
  <c r="K415" i="108" s="1"/>
  <c r="O414" i="108"/>
  <c r="I414" i="108"/>
  <c r="K414" i="108" s="1"/>
  <c r="O413" i="108"/>
  <c r="I413" i="108"/>
  <c r="K413" i="108" s="1"/>
  <c r="K411" i="108"/>
  <c r="I411" i="108"/>
  <c r="I410" i="108"/>
  <c r="K410" i="108" s="1"/>
  <c r="K409" i="108"/>
  <c r="I409" i="108"/>
  <c r="O408" i="108"/>
  <c r="I408" i="108"/>
  <c r="K408" i="108" s="1"/>
  <c r="O407" i="108"/>
  <c r="K407" i="108"/>
  <c r="I407" i="108"/>
  <c r="O406" i="108"/>
  <c r="I406" i="108"/>
  <c r="K406" i="108" s="1"/>
  <c r="O405" i="108"/>
  <c r="K405" i="108"/>
  <c r="I405" i="108"/>
  <c r="O404" i="108"/>
  <c r="I404" i="108"/>
  <c r="K404" i="108" s="1"/>
  <c r="O403" i="108"/>
  <c r="I403" i="108"/>
  <c r="K403" i="108" s="1"/>
  <c r="O402" i="108"/>
  <c r="K402" i="108"/>
  <c r="I402" i="108"/>
  <c r="O401" i="108"/>
  <c r="K401" i="108"/>
  <c r="I401" i="108"/>
  <c r="O400" i="108"/>
  <c r="I400" i="108"/>
  <c r="K400" i="108" s="1"/>
  <c r="O399" i="108"/>
  <c r="K399" i="108"/>
  <c r="I399" i="108"/>
  <c r="O398" i="108"/>
  <c r="K398" i="108"/>
  <c r="I398" i="108"/>
  <c r="O397" i="108"/>
  <c r="K397" i="108"/>
  <c r="I397" i="108"/>
  <c r="O396" i="108"/>
  <c r="I396" i="108"/>
  <c r="K396" i="108" s="1"/>
  <c r="O395" i="108"/>
  <c r="I395" i="108"/>
  <c r="K395" i="108" s="1"/>
  <c r="O394" i="108"/>
  <c r="I394" i="108"/>
  <c r="K394" i="108" s="1"/>
  <c r="O393" i="108"/>
  <c r="I393" i="108"/>
  <c r="K393" i="108" s="1"/>
  <c r="O392" i="108"/>
  <c r="I392" i="108"/>
  <c r="K392" i="108" s="1"/>
  <c r="O391" i="108"/>
  <c r="K391" i="108"/>
  <c r="I391" i="108"/>
  <c r="O390" i="108"/>
  <c r="I390" i="108"/>
  <c r="K390" i="108" s="1"/>
  <c r="O389" i="108"/>
  <c r="K389" i="108"/>
  <c r="I389" i="108"/>
  <c r="O388" i="108"/>
  <c r="K388" i="108"/>
  <c r="I388" i="108"/>
  <c r="O387" i="108"/>
  <c r="K387" i="108"/>
  <c r="I387" i="108"/>
  <c r="O386" i="108"/>
  <c r="K386" i="108"/>
  <c r="I386" i="108"/>
  <c r="O385" i="108"/>
  <c r="K385" i="108"/>
  <c r="I385" i="108"/>
  <c r="O384" i="108"/>
  <c r="I384" i="108"/>
  <c r="K384" i="108" s="1"/>
  <c r="O383" i="108"/>
  <c r="K383" i="108"/>
  <c r="I383" i="108"/>
  <c r="O382" i="108"/>
  <c r="I382" i="108"/>
  <c r="K382" i="108" s="1"/>
  <c r="O381" i="108"/>
  <c r="I381" i="108"/>
  <c r="K381" i="108" s="1"/>
  <c r="O380" i="108"/>
  <c r="I380" i="108"/>
  <c r="K380" i="108" s="1"/>
  <c r="O379" i="108"/>
  <c r="I379" i="108"/>
  <c r="K379" i="108" s="1"/>
  <c r="O378" i="108"/>
  <c r="I378" i="108"/>
  <c r="K378" i="108" s="1"/>
  <c r="O377" i="108"/>
  <c r="I377" i="108"/>
  <c r="K377" i="108" s="1"/>
  <c r="O376" i="108"/>
  <c r="K376" i="108"/>
  <c r="I376" i="108"/>
  <c r="K374" i="108"/>
  <c r="I374" i="108"/>
  <c r="I373" i="108"/>
  <c r="K373" i="108" s="1"/>
  <c r="I372" i="108"/>
  <c r="K372" i="108" s="1"/>
  <c r="Y371" i="108"/>
  <c r="Y1962" i="108" s="1"/>
  <c r="K371" i="108"/>
  <c r="I371" i="108"/>
  <c r="Y370" i="108"/>
  <c r="O370" i="108"/>
  <c r="I370" i="108"/>
  <c r="K370" i="108" s="1"/>
  <c r="O369" i="108"/>
  <c r="K369" i="108"/>
  <c r="I369" i="108"/>
  <c r="O368" i="108"/>
  <c r="K368" i="108"/>
  <c r="I368" i="108"/>
  <c r="O367" i="108"/>
  <c r="I367" i="108"/>
  <c r="K367" i="108" s="1"/>
  <c r="O366" i="108"/>
  <c r="K366" i="108"/>
  <c r="I366" i="108"/>
  <c r="O365" i="108"/>
  <c r="I365" i="108"/>
  <c r="K365" i="108" s="1"/>
  <c r="O364" i="108"/>
  <c r="K364" i="108"/>
  <c r="I364" i="108"/>
  <c r="O363" i="108"/>
  <c r="K363" i="108"/>
  <c r="I363" i="108"/>
  <c r="O362" i="108"/>
  <c r="K362" i="108"/>
  <c r="I362" i="108"/>
  <c r="O361" i="108"/>
  <c r="I361" i="108"/>
  <c r="K361" i="108" s="1"/>
  <c r="O360" i="108"/>
  <c r="K360" i="108"/>
  <c r="I360" i="108"/>
  <c r="O359" i="108"/>
  <c r="K359" i="108"/>
  <c r="I359" i="108"/>
  <c r="O358" i="108"/>
  <c r="I358" i="108"/>
  <c r="K358" i="108" s="1"/>
  <c r="O357" i="108"/>
  <c r="I357" i="108"/>
  <c r="K357" i="108" s="1"/>
  <c r="O356" i="108"/>
  <c r="I356" i="108"/>
  <c r="K356" i="108" s="1"/>
  <c r="O355" i="108"/>
  <c r="I355" i="108"/>
  <c r="K355" i="108" s="1"/>
  <c r="O354" i="108"/>
  <c r="K354" i="108"/>
  <c r="I354" i="108"/>
  <c r="O353" i="108"/>
  <c r="I353" i="108"/>
  <c r="K353" i="108" s="1"/>
  <c r="O352" i="108"/>
  <c r="K352" i="108"/>
  <c r="I352" i="108"/>
  <c r="O351" i="108"/>
  <c r="I351" i="108"/>
  <c r="K351" i="108" s="1"/>
  <c r="O350" i="108"/>
  <c r="K350" i="108"/>
  <c r="I350" i="108"/>
  <c r="O349" i="108"/>
  <c r="I349" i="108"/>
  <c r="K349" i="108" s="1"/>
  <c r="O348" i="108"/>
  <c r="K348" i="108"/>
  <c r="I348" i="108"/>
  <c r="O347" i="108"/>
  <c r="K347" i="108"/>
  <c r="I347" i="108"/>
  <c r="O346" i="108"/>
  <c r="K346" i="108"/>
  <c r="I346" i="108"/>
  <c r="O345" i="108"/>
  <c r="I345" i="108"/>
  <c r="K345" i="108" s="1"/>
  <c r="O344" i="108"/>
  <c r="I344" i="108"/>
  <c r="K344" i="108" s="1"/>
  <c r="O343" i="108"/>
  <c r="I343" i="108"/>
  <c r="K343" i="108" s="1"/>
  <c r="O342" i="108"/>
  <c r="I342" i="108"/>
  <c r="K342" i="108" s="1"/>
  <c r="O341" i="108"/>
  <c r="I341" i="108"/>
  <c r="K341" i="108" s="1"/>
  <c r="O340" i="108"/>
  <c r="I340" i="108"/>
  <c r="K340" i="108" s="1"/>
  <c r="O339" i="108"/>
  <c r="I339" i="108"/>
  <c r="K339" i="108" s="1"/>
  <c r="O338" i="108"/>
  <c r="I337" i="108"/>
  <c r="K337" i="108" s="1"/>
  <c r="K336" i="108"/>
  <c r="I336" i="108"/>
  <c r="I335" i="108"/>
  <c r="K335" i="108" s="1"/>
  <c r="O334" i="108"/>
  <c r="I334" i="108"/>
  <c r="K334" i="108" s="1"/>
  <c r="O333" i="108"/>
  <c r="I333" i="108"/>
  <c r="K333" i="108" s="1"/>
  <c r="O332" i="108"/>
  <c r="I332" i="108"/>
  <c r="K332" i="108" s="1"/>
  <c r="O331" i="108"/>
  <c r="K331" i="108"/>
  <c r="I331" i="108"/>
  <c r="O330" i="108"/>
  <c r="I330" i="108"/>
  <c r="K330" i="108" s="1"/>
  <c r="O329" i="108"/>
  <c r="K329" i="108"/>
  <c r="I329" i="108"/>
  <c r="O328" i="108"/>
  <c r="I328" i="108"/>
  <c r="K328" i="108" s="1"/>
  <c r="O327" i="108"/>
  <c r="K327" i="108"/>
  <c r="I327" i="108"/>
  <c r="O326" i="108"/>
  <c r="K326" i="108"/>
  <c r="I326" i="108"/>
  <c r="O325" i="108"/>
  <c r="I325" i="108"/>
  <c r="K325" i="108" s="1"/>
  <c r="O324" i="108"/>
  <c r="K324" i="108"/>
  <c r="I324" i="108"/>
  <c r="O323" i="108"/>
  <c r="K323" i="108"/>
  <c r="I323" i="108"/>
  <c r="O322" i="108"/>
  <c r="I322" i="108"/>
  <c r="K322" i="108" s="1"/>
  <c r="O321" i="108"/>
  <c r="K321" i="108"/>
  <c r="I321" i="108"/>
  <c r="O320" i="108"/>
  <c r="I320" i="108"/>
  <c r="K320" i="108" s="1"/>
  <c r="O319" i="108"/>
  <c r="K319" i="108"/>
  <c r="I319" i="108"/>
  <c r="O318" i="108"/>
  <c r="I318" i="108"/>
  <c r="K318" i="108" s="1"/>
  <c r="O317" i="108"/>
  <c r="I317" i="108"/>
  <c r="K317" i="108" s="1"/>
  <c r="O316" i="108"/>
  <c r="I316" i="108"/>
  <c r="K316" i="108" s="1"/>
  <c r="O315" i="108"/>
  <c r="I315" i="108"/>
  <c r="K315" i="108" s="1"/>
  <c r="O314" i="108"/>
  <c r="K314" i="108"/>
  <c r="I314" i="108"/>
  <c r="O313" i="108"/>
  <c r="K313" i="108"/>
  <c r="I313" i="108"/>
  <c r="O312" i="108"/>
  <c r="I312" i="108"/>
  <c r="K312" i="108" s="1"/>
  <c r="O311" i="108"/>
  <c r="K311" i="108"/>
  <c r="I311" i="108"/>
  <c r="O310" i="108"/>
  <c r="K310" i="108"/>
  <c r="I310" i="108"/>
  <c r="O309" i="108"/>
  <c r="K309" i="108"/>
  <c r="I309" i="108"/>
  <c r="O308" i="108"/>
  <c r="K308" i="108"/>
  <c r="I308" i="108"/>
  <c r="O307" i="108"/>
  <c r="K307" i="108"/>
  <c r="I307" i="108"/>
  <c r="O306" i="108"/>
  <c r="I306" i="108"/>
  <c r="K306" i="108" s="1"/>
  <c r="O305" i="108"/>
  <c r="I305" i="108"/>
  <c r="K305" i="108" s="1"/>
  <c r="O304" i="108"/>
  <c r="I304" i="108"/>
  <c r="K304" i="108" s="1"/>
  <c r="O303" i="108"/>
  <c r="I303" i="108"/>
  <c r="K303" i="108" s="1"/>
  <c r="O302" i="108"/>
  <c r="I302" i="108"/>
  <c r="K302" i="108" s="1"/>
  <c r="O301" i="108"/>
  <c r="I300" i="108"/>
  <c r="K300" i="108" s="1"/>
  <c r="K299" i="108"/>
  <c r="I299" i="108"/>
  <c r="K298" i="108"/>
  <c r="I298" i="108"/>
  <c r="O297" i="108"/>
  <c r="K297" i="108"/>
  <c r="I297" i="108"/>
  <c r="O296" i="108"/>
  <c r="I296" i="108"/>
  <c r="K296" i="108" s="1"/>
  <c r="O295" i="108"/>
  <c r="I295" i="108"/>
  <c r="K295" i="108" s="1"/>
  <c r="O294" i="108"/>
  <c r="I294" i="108"/>
  <c r="K294" i="108" s="1"/>
  <c r="O293" i="108"/>
  <c r="I293" i="108"/>
  <c r="K293" i="108" s="1"/>
  <c r="O292" i="108"/>
  <c r="I292" i="108"/>
  <c r="K292" i="108" s="1"/>
  <c r="O291" i="108"/>
  <c r="I291" i="108"/>
  <c r="K291" i="108" s="1"/>
  <c r="O290" i="108"/>
  <c r="K290" i="108"/>
  <c r="I290" i="108"/>
  <c r="O289" i="108"/>
  <c r="I289" i="108"/>
  <c r="K289" i="108" s="1"/>
  <c r="O288" i="108"/>
  <c r="K288" i="108"/>
  <c r="I288" i="108"/>
  <c r="O287" i="108"/>
  <c r="K287" i="108"/>
  <c r="I287" i="108"/>
  <c r="O286" i="108"/>
  <c r="K286" i="108"/>
  <c r="I286" i="108"/>
  <c r="O285" i="108"/>
  <c r="K285" i="108"/>
  <c r="I285" i="108"/>
  <c r="O284" i="108"/>
  <c r="K284" i="108"/>
  <c r="I284" i="108"/>
  <c r="O283" i="108"/>
  <c r="I283" i="108"/>
  <c r="K283" i="108" s="1"/>
  <c r="O282" i="108"/>
  <c r="K282" i="108"/>
  <c r="I282" i="108"/>
  <c r="O281" i="108"/>
  <c r="I281" i="108"/>
  <c r="K281" i="108" s="1"/>
  <c r="O280" i="108"/>
  <c r="I280" i="108"/>
  <c r="K280" i="108" s="1"/>
  <c r="O279" i="108"/>
  <c r="I279" i="108"/>
  <c r="K279" i="108" s="1"/>
  <c r="O278" i="108"/>
  <c r="I278" i="108"/>
  <c r="K278" i="108" s="1"/>
  <c r="O277" i="108"/>
  <c r="I277" i="108"/>
  <c r="K277" i="108" s="1"/>
  <c r="O276" i="108"/>
  <c r="I276" i="108"/>
  <c r="K276" i="108" s="1"/>
  <c r="O275" i="108"/>
  <c r="K275" i="108"/>
  <c r="I275" i="108"/>
  <c r="O274" i="108"/>
  <c r="K274" i="108"/>
  <c r="K2031" i="108" s="1"/>
  <c r="I274" i="108"/>
  <c r="O273" i="108"/>
  <c r="I273" i="108"/>
  <c r="K273" i="108" s="1"/>
  <c r="O272" i="108"/>
  <c r="K272" i="108"/>
  <c r="I272" i="108"/>
  <c r="O271" i="108"/>
  <c r="I271" i="108"/>
  <c r="K271" i="108" s="1"/>
  <c r="O270" i="108"/>
  <c r="K270" i="108"/>
  <c r="I270" i="108"/>
  <c r="O269" i="108"/>
  <c r="K269" i="108"/>
  <c r="I269" i="108"/>
  <c r="O268" i="108"/>
  <c r="K268" i="108"/>
  <c r="I268" i="108"/>
  <c r="O267" i="108"/>
  <c r="I267" i="108"/>
  <c r="K267" i="108" s="1"/>
  <c r="O266" i="108"/>
  <c r="I266" i="108"/>
  <c r="K266" i="108" s="1"/>
  <c r="O265" i="108"/>
  <c r="K265" i="108"/>
  <c r="I265" i="108"/>
  <c r="O264" i="108"/>
  <c r="I263" i="108"/>
  <c r="K263" i="108" s="1"/>
  <c r="K262" i="108"/>
  <c r="I262" i="108"/>
  <c r="K261" i="108"/>
  <c r="I261" i="108"/>
  <c r="O260" i="108"/>
  <c r="I260" i="108"/>
  <c r="K260" i="108" s="1"/>
  <c r="O259" i="108"/>
  <c r="I259" i="108"/>
  <c r="K259" i="108" s="1"/>
  <c r="O258" i="108"/>
  <c r="I258" i="108"/>
  <c r="K258" i="108" s="1"/>
  <c r="O257" i="108"/>
  <c r="K257" i="108"/>
  <c r="I257" i="108"/>
  <c r="O256" i="108"/>
  <c r="I256" i="108"/>
  <c r="K256" i="108" s="1"/>
  <c r="O255" i="108"/>
  <c r="I255" i="108"/>
  <c r="K255" i="108" s="1"/>
  <c r="O254" i="108"/>
  <c r="I254" i="108"/>
  <c r="K254" i="108" s="1"/>
  <c r="O253" i="108"/>
  <c r="K253" i="108"/>
  <c r="I253" i="108"/>
  <c r="O252" i="108"/>
  <c r="K252" i="108"/>
  <c r="I252" i="108"/>
  <c r="O251" i="108"/>
  <c r="K251" i="108"/>
  <c r="I251" i="108"/>
  <c r="O250" i="108"/>
  <c r="I250" i="108"/>
  <c r="K250" i="108" s="1"/>
  <c r="O249" i="108"/>
  <c r="K249" i="108"/>
  <c r="I249" i="108"/>
  <c r="O248" i="108"/>
  <c r="I248" i="108"/>
  <c r="K248" i="108" s="1"/>
  <c r="O247" i="108"/>
  <c r="I247" i="108"/>
  <c r="K247" i="108" s="1"/>
  <c r="O246" i="108"/>
  <c r="K246" i="108"/>
  <c r="I246" i="108"/>
  <c r="O245" i="108"/>
  <c r="K245" i="108"/>
  <c r="I245" i="108"/>
  <c r="O244" i="108"/>
  <c r="I244" i="108"/>
  <c r="K244" i="108" s="1"/>
  <c r="O243" i="108"/>
  <c r="K243" i="108"/>
  <c r="I243" i="108"/>
  <c r="O242" i="108"/>
  <c r="K242" i="108"/>
  <c r="I242" i="108"/>
  <c r="O241" i="108"/>
  <c r="I241" i="108"/>
  <c r="K241" i="108" s="1"/>
  <c r="O240" i="108"/>
  <c r="I240" i="108"/>
  <c r="K240" i="108" s="1"/>
  <c r="O239" i="108"/>
  <c r="I239" i="108"/>
  <c r="K239" i="108" s="1"/>
  <c r="O238" i="108"/>
  <c r="I238" i="108"/>
  <c r="K238" i="108" s="1"/>
  <c r="O237" i="108"/>
  <c r="I237" i="108"/>
  <c r="K237" i="108" s="1"/>
  <c r="O236" i="108"/>
  <c r="I236" i="108"/>
  <c r="K236" i="108" s="1"/>
  <c r="O235" i="108"/>
  <c r="K235" i="108"/>
  <c r="I235" i="108"/>
  <c r="O234" i="108"/>
  <c r="I234" i="108"/>
  <c r="K234" i="108" s="1"/>
  <c r="O233" i="108"/>
  <c r="K233" i="108"/>
  <c r="I233" i="108"/>
  <c r="O232" i="108"/>
  <c r="K232" i="108"/>
  <c r="I232" i="108"/>
  <c r="O231" i="108"/>
  <c r="K231" i="108"/>
  <c r="I231" i="108"/>
  <c r="O230" i="108"/>
  <c r="K230" i="108"/>
  <c r="I230" i="108"/>
  <c r="O229" i="108"/>
  <c r="K229" i="108"/>
  <c r="I229" i="108"/>
  <c r="O228" i="108"/>
  <c r="I228" i="108"/>
  <c r="K228" i="108" s="1"/>
  <c r="I226" i="108"/>
  <c r="K226" i="108" s="1"/>
  <c r="K225" i="108"/>
  <c r="I225" i="108"/>
  <c r="K224" i="108"/>
  <c r="I224" i="108"/>
  <c r="O223" i="108"/>
  <c r="K223" i="108"/>
  <c r="I223" i="108"/>
  <c r="O222" i="108"/>
  <c r="I222" i="108"/>
  <c r="K222" i="108" s="1"/>
  <c r="O221" i="108"/>
  <c r="I221" i="108"/>
  <c r="K221" i="108" s="1"/>
  <c r="O220" i="108"/>
  <c r="I220" i="108"/>
  <c r="K220" i="108" s="1"/>
  <c r="O219" i="108"/>
  <c r="K219" i="108"/>
  <c r="I219" i="108"/>
  <c r="O218" i="108"/>
  <c r="I218" i="108"/>
  <c r="K218" i="108" s="1"/>
  <c r="O217" i="108"/>
  <c r="K217" i="108"/>
  <c r="I217" i="108"/>
  <c r="O216" i="108"/>
  <c r="I216" i="108"/>
  <c r="K216" i="108" s="1"/>
  <c r="O215" i="108"/>
  <c r="K215" i="108"/>
  <c r="I215" i="108"/>
  <c r="O214" i="108"/>
  <c r="K214" i="108"/>
  <c r="I214" i="108"/>
  <c r="O213" i="108"/>
  <c r="I213" i="108"/>
  <c r="K213" i="108" s="1"/>
  <c r="O212" i="108"/>
  <c r="K212" i="108"/>
  <c r="I212" i="108"/>
  <c r="O211" i="108"/>
  <c r="K211" i="108"/>
  <c r="I211" i="108"/>
  <c r="O210" i="108"/>
  <c r="I210" i="108"/>
  <c r="K210" i="108" s="1"/>
  <c r="O209" i="108"/>
  <c r="I209" i="108"/>
  <c r="K209" i="108" s="1"/>
  <c r="O208" i="108"/>
  <c r="I208" i="108"/>
  <c r="K208" i="108" s="1"/>
  <c r="O207" i="108"/>
  <c r="K207" i="108"/>
  <c r="I207" i="108"/>
  <c r="O206" i="108"/>
  <c r="I206" i="108"/>
  <c r="K206" i="108" s="1"/>
  <c r="O205" i="108"/>
  <c r="I205" i="108"/>
  <c r="K205" i="108" s="1"/>
  <c r="O204" i="108"/>
  <c r="I204" i="108"/>
  <c r="K204" i="108" s="1"/>
  <c r="O203" i="108"/>
  <c r="K203" i="108"/>
  <c r="I203" i="108"/>
  <c r="O202" i="108"/>
  <c r="K202" i="108"/>
  <c r="I202" i="108"/>
  <c r="O201" i="108"/>
  <c r="K201" i="108"/>
  <c r="I201" i="108"/>
  <c r="O200" i="108"/>
  <c r="I200" i="108"/>
  <c r="K200" i="108" s="1"/>
  <c r="O199" i="108"/>
  <c r="K199" i="108"/>
  <c r="I199" i="108"/>
  <c r="O198" i="108"/>
  <c r="I198" i="108"/>
  <c r="K198" i="108" s="1"/>
  <c r="O197" i="108"/>
  <c r="I197" i="108"/>
  <c r="K197" i="108" s="1"/>
  <c r="O196" i="108"/>
  <c r="K196" i="108"/>
  <c r="I196" i="108"/>
  <c r="O195" i="108"/>
  <c r="K195" i="108"/>
  <c r="I195" i="108"/>
  <c r="O194" i="108"/>
  <c r="I194" i="108"/>
  <c r="K194" i="108" s="1"/>
  <c r="O193" i="108"/>
  <c r="K193" i="108"/>
  <c r="I193" i="108"/>
  <c r="O192" i="108"/>
  <c r="K192" i="108"/>
  <c r="I192" i="108"/>
  <c r="O191" i="108"/>
  <c r="I191" i="108"/>
  <c r="K191" i="108" s="1"/>
  <c r="K189" i="108"/>
  <c r="I189" i="108"/>
  <c r="K188" i="108"/>
  <c r="I188" i="108"/>
  <c r="I187" i="108"/>
  <c r="K187" i="108" s="1"/>
  <c r="O186" i="108"/>
  <c r="I186" i="108"/>
  <c r="K186" i="108" s="1"/>
  <c r="O185" i="108"/>
  <c r="I185" i="108"/>
  <c r="K185" i="108" s="1"/>
  <c r="O184" i="108"/>
  <c r="K184" i="108"/>
  <c r="I184" i="108"/>
  <c r="O183" i="108"/>
  <c r="K183" i="108"/>
  <c r="I183" i="108"/>
  <c r="O182" i="108"/>
  <c r="I182" i="108"/>
  <c r="K182" i="108" s="1"/>
  <c r="O181" i="108"/>
  <c r="K181" i="108"/>
  <c r="I181" i="108"/>
  <c r="O180" i="108"/>
  <c r="I180" i="108"/>
  <c r="K180" i="108" s="1"/>
  <c r="O179" i="108"/>
  <c r="I179" i="108"/>
  <c r="K179" i="108" s="1"/>
  <c r="O178" i="108"/>
  <c r="K178" i="108"/>
  <c r="I178" i="108"/>
  <c r="O177" i="108"/>
  <c r="K177" i="108"/>
  <c r="I177" i="108"/>
  <c r="O176" i="108"/>
  <c r="I176" i="108"/>
  <c r="K176" i="108" s="1"/>
  <c r="O175" i="108"/>
  <c r="I175" i="108"/>
  <c r="K175" i="108" s="1"/>
  <c r="O174" i="108"/>
  <c r="I174" i="108"/>
  <c r="K174" i="108" s="1"/>
  <c r="O173" i="108"/>
  <c r="I173" i="108"/>
  <c r="K173" i="108" s="1"/>
  <c r="O172" i="108"/>
  <c r="I172" i="108"/>
  <c r="K172" i="108" s="1"/>
  <c r="O171" i="108"/>
  <c r="I171" i="108"/>
  <c r="K171" i="108" s="1"/>
  <c r="O170" i="108"/>
  <c r="I170" i="108"/>
  <c r="K170" i="108" s="1"/>
  <c r="O169" i="108"/>
  <c r="K169" i="108"/>
  <c r="I169" i="108"/>
  <c r="O168" i="108"/>
  <c r="I168" i="108"/>
  <c r="K168" i="108" s="1"/>
  <c r="O167" i="108"/>
  <c r="K167" i="108"/>
  <c r="I167" i="108"/>
  <c r="O166" i="108"/>
  <c r="I166" i="108"/>
  <c r="K166" i="108" s="1"/>
  <c r="O165" i="108"/>
  <c r="K165" i="108"/>
  <c r="I165" i="108"/>
  <c r="O164" i="108"/>
  <c r="K164" i="108"/>
  <c r="I164" i="108"/>
  <c r="O163" i="108"/>
  <c r="I163" i="108"/>
  <c r="K163" i="108" s="1"/>
  <c r="O162" i="108"/>
  <c r="K162" i="108"/>
  <c r="I162" i="108"/>
  <c r="O161" i="108"/>
  <c r="K161" i="108"/>
  <c r="I161" i="108"/>
  <c r="O160" i="108"/>
  <c r="I160" i="108"/>
  <c r="K160" i="108" s="1"/>
  <c r="O159" i="108"/>
  <c r="K159" i="108"/>
  <c r="I159" i="108"/>
  <c r="O158" i="108"/>
  <c r="I158" i="108"/>
  <c r="K158" i="108" s="1"/>
  <c r="O157" i="108"/>
  <c r="I157" i="108"/>
  <c r="K157" i="108" s="1"/>
  <c r="O156" i="108"/>
  <c r="I156" i="108"/>
  <c r="K156" i="108" s="1"/>
  <c r="O155" i="108"/>
  <c r="I155" i="108"/>
  <c r="K155" i="108" s="1"/>
  <c r="O154" i="108"/>
  <c r="I154" i="108"/>
  <c r="K154" i="108" s="1"/>
  <c r="O153" i="108"/>
  <c r="I152" i="108"/>
  <c r="K152" i="108" s="1"/>
  <c r="I151" i="108"/>
  <c r="K151" i="108" s="1"/>
  <c r="I150" i="108"/>
  <c r="K150" i="108" s="1"/>
  <c r="O149" i="108"/>
  <c r="I149" i="108"/>
  <c r="K149" i="108" s="1"/>
  <c r="O148" i="108"/>
  <c r="I148" i="108"/>
  <c r="K148" i="108" s="1"/>
  <c r="O147" i="108"/>
  <c r="I147" i="108"/>
  <c r="K147" i="108" s="1"/>
  <c r="O146" i="108"/>
  <c r="K146" i="108"/>
  <c r="I146" i="108"/>
  <c r="O145" i="108"/>
  <c r="I145" i="108"/>
  <c r="K145" i="108" s="1"/>
  <c r="O144" i="108"/>
  <c r="K144" i="108"/>
  <c r="I144" i="108"/>
  <c r="O143" i="108"/>
  <c r="I143" i="108"/>
  <c r="K143" i="108" s="1"/>
  <c r="O142" i="108"/>
  <c r="K142" i="108"/>
  <c r="I142" i="108"/>
  <c r="O141" i="108"/>
  <c r="I141" i="108"/>
  <c r="K141" i="108" s="1"/>
  <c r="O140" i="108"/>
  <c r="K140" i="108"/>
  <c r="I140" i="108"/>
  <c r="O139" i="108"/>
  <c r="K139" i="108"/>
  <c r="I139" i="108"/>
  <c r="O138" i="108"/>
  <c r="K138" i="108"/>
  <c r="I138" i="108"/>
  <c r="O137" i="108"/>
  <c r="I137" i="108"/>
  <c r="K137" i="108" s="1"/>
  <c r="O136" i="108"/>
  <c r="I136" i="108"/>
  <c r="K136" i="108" s="1"/>
  <c r="O135" i="108"/>
  <c r="I135" i="108"/>
  <c r="K135" i="108" s="1"/>
  <c r="O134" i="108"/>
  <c r="I134" i="108"/>
  <c r="K134" i="108" s="1"/>
  <c r="O133" i="108"/>
  <c r="I133" i="108"/>
  <c r="K133" i="108" s="1"/>
  <c r="O132" i="108"/>
  <c r="I132" i="108"/>
  <c r="K132" i="108" s="1"/>
  <c r="O131" i="108"/>
  <c r="I131" i="108"/>
  <c r="K131" i="108" s="1"/>
  <c r="O130" i="108"/>
  <c r="I130" i="108"/>
  <c r="K130" i="108" s="1"/>
  <c r="O129" i="108"/>
  <c r="I129" i="108"/>
  <c r="K129" i="108" s="1"/>
  <c r="O128" i="108"/>
  <c r="K128" i="108"/>
  <c r="I128" i="108"/>
  <c r="O127" i="108"/>
  <c r="I127" i="108"/>
  <c r="K127" i="108" s="1"/>
  <c r="O126" i="108"/>
  <c r="K126" i="108"/>
  <c r="I126" i="108"/>
  <c r="O125" i="108"/>
  <c r="I125" i="108"/>
  <c r="K125" i="108" s="1"/>
  <c r="O124" i="108"/>
  <c r="I124" i="108"/>
  <c r="K124" i="108" s="1"/>
  <c r="O123" i="108"/>
  <c r="K123" i="108"/>
  <c r="I123" i="108"/>
  <c r="O122" i="108"/>
  <c r="K122" i="108"/>
  <c r="I122" i="108"/>
  <c r="O121" i="108"/>
  <c r="I121" i="108"/>
  <c r="K121" i="108" s="1"/>
  <c r="O120" i="108"/>
  <c r="I120" i="108"/>
  <c r="K120" i="108" s="1"/>
  <c r="O119" i="108"/>
  <c r="I119" i="108"/>
  <c r="K119" i="108" s="1"/>
  <c r="O118" i="108"/>
  <c r="K118" i="108"/>
  <c r="I118" i="108"/>
  <c r="O117" i="108"/>
  <c r="I117" i="108"/>
  <c r="K117" i="108" s="1"/>
  <c r="O116" i="108"/>
  <c r="I115" i="108"/>
  <c r="K115" i="108" s="1"/>
  <c r="K114" i="108"/>
  <c r="I114" i="108"/>
  <c r="I113" i="108"/>
  <c r="K113" i="108" s="1"/>
  <c r="O112" i="108"/>
  <c r="K112" i="108"/>
  <c r="I112" i="108"/>
  <c r="O111" i="108"/>
  <c r="I111" i="108"/>
  <c r="K111" i="108" s="1"/>
  <c r="O110" i="108"/>
  <c r="I110" i="108"/>
  <c r="K110" i="108" s="1"/>
  <c r="O109" i="108"/>
  <c r="I109" i="108"/>
  <c r="K109" i="108" s="1"/>
  <c r="O108" i="108"/>
  <c r="I108" i="108"/>
  <c r="K108" i="108" s="1"/>
  <c r="O107" i="108"/>
  <c r="K107" i="108"/>
  <c r="I107" i="108"/>
  <c r="O106" i="108"/>
  <c r="I106" i="108"/>
  <c r="K106" i="108" s="1"/>
  <c r="O105" i="108"/>
  <c r="K105" i="108"/>
  <c r="I105" i="108"/>
  <c r="O104" i="108"/>
  <c r="I104" i="108"/>
  <c r="K104" i="108" s="1"/>
  <c r="O103" i="108"/>
  <c r="K103" i="108"/>
  <c r="I103" i="108"/>
  <c r="O102" i="108"/>
  <c r="I102" i="108"/>
  <c r="K102" i="108" s="1"/>
  <c r="O101" i="108"/>
  <c r="I101" i="108"/>
  <c r="K101" i="108" s="1"/>
  <c r="O100" i="108"/>
  <c r="K100" i="108"/>
  <c r="I100" i="108"/>
  <c r="O99" i="108"/>
  <c r="K99" i="108"/>
  <c r="I99" i="108"/>
  <c r="O98" i="108"/>
  <c r="I98" i="108"/>
  <c r="K98" i="108" s="1"/>
  <c r="O97" i="108"/>
  <c r="K97" i="108"/>
  <c r="I97" i="108"/>
  <c r="O96" i="108"/>
  <c r="I96" i="108"/>
  <c r="K96" i="108" s="1"/>
  <c r="O95" i="108"/>
  <c r="K95" i="108"/>
  <c r="I95" i="108"/>
  <c r="O94" i="108"/>
  <c r="I94" i="108"/>
  <c r="K94" i="108" s="1"/>
  <c r="O93" i="108"/>
  <c r="I93" i="108"/>
  <c r="K93" i="108" s="1"/>
  <c r="O92" i="108"/>
  <c r="I92" i="108"/>
  <c r="K92" i="108" s="1"/>
  <c r="O91" i="108"/>
  <c r="I91" i="108"/>
  <c r="K91" i="108" s="1"/>
  <c r="O90" i="108"/>
  <c r="I90" i="108"/>
  <c r="K90" i="108" s="1"/>
  <c r="O89" i="108"/>
  <c r="K89" i="108"/>
  <c r="I89" i="108"/>
  <c r="O88" i="108"/>
  <c r="I88" i="108"/>
  <c r="K88" i="108" s="1"/>
  <c r="O87" i="108"/>
  <c r="K87" i="108"/>
  <c r="I87" i="108"/>
  <c r="O86" i="108"/>
  <c r="K86" i="108"/>
  <c r="I86" i="108"/>
  <c r="O85" i="108"/>
  <c r="K85" i="108"/>
  <c r="I85" i="108"/>
  <c r="O84" i="108"/>
  <c r="K84" i="108"/>
  <c r="I84" i="108"/>
  <c r="O83" i="108"/>
  <c r="K83" i="108"/>
  <c r="I83" i="108"/>
  <c r="O82" i="108"/>
  <c r="I82" i="108"/>
  <c r="K82" i="108" s="1"/>
  <c r="O81" i="108"/>
  <c r="I81" i="108"/>
  <c r="K81" i="108" s="1"/>
  <c r="O80" i="108"/>
  <c r="I80" i="108"/>
  <c r="K80" i="108" s="1"/>
  <c r="O79" i="108"/>
  <c r="K78" i="108"/>
  <c r="I78" i="108"/>
  <c r="K77" i="108"/>
  <c r="I77" i="108"/>
  <c r="K76" i="108"/>
  <c r="I76" i="108"/>
  <c r="O75" i="108"/>
  <c r="I75" i="108"/>
  <c r="K75" i="108" s="1"/>
  <c r="O74" i="108"/>
  <c r="I74" i="108"/>
  <c r="K74" i="108" s="1"/>
  <c r="O73" i="108"/>
  <c r="K73" i="108"/>
  <c r="I73" i="108"/>
  <c r="O72" i="108"/>
  <c r="K72" i="108"/>
  <c r="I72" i="108"/>
  <c r="D72" i="108"/>
  <c r="O71" i="108"/>
  <c r="K71" i="108"/>
  <c r="I71" i="108"/>
  <c r="O70" i="108"/>
  <c r="I70" i="108"/>
  <c r="K70" i="108" s="1"/>
  <c r="O69" i="108"/>
  <c r="I69" i="108"/>
  <c r="K69" i="108" s="1"/>
  <c r="O68" i="108"/>
  <c r="I68" i="108"/>
  <c r="K68" i="108" s="1"/>
  <c r="O67" i="108"/>
  <c r="I67" i="108"/>
  <c r="K67" i="108" s="1"/>
  <c r="O66" i="108"/>
  <c r="I66" i="108"/>
  <c r="K66" i="108" s="1"/>
  <c r="O65" i="108"/>
  <c r="I65" i="108"/>
  <c r="K65" i="108" s="1"/>
  <c r="O64" i="108"/>
  <c r="I64" i="108"/>
  <c r="K64" i="108" s="1"/>
  <c r="O63" i="108"/>
  <c r="K63" i="108"/>
  <c r="I63" i="108"/>
  <c r="O62" i="108"/>
  <c r="I62" i="108"/>
  <c r="K62" i="108" s="1"/>
  <c r="O61" i="108"/>
  <c r="K61" i="108"/>
  <c r="I61" i="108"/>
  <c r="O60" i="108"/>
  <c r="I60" i="108"/>
  <c r="K60" i="108" s="1"/>
  <c r="O59" i="108"/>
  <c r="K59" i="108"/>
  <c r="I59" i="108"/>
  <c r="O58" i="108"/>
  <c r="K58" i="108"/>
  <c r="I58" i="108"/>
  <c r="O57" i="108"/>
  <c r="I57" i="108"/>
  <c r="O56" i="108"/>
  <c r="K56" i="108"/>
  <c r="I56" i="108"/>
  <c r="O55" i="108"/>
  <c r="K55" i="108"/>
  <c r="I55" i="108"/>
  <c r="O54" i="108"/>
  <c r="I54" i="108"/>
  <c r="O53" i="108"/>
  <c r="K53" i="108"/>
  <c r="I53" i="108"/>
  <c r="O52" i="108"/>
  <c r="I52" i="108"/>
  <c r="I1939" i="108" s="1"/>
  <c r="O51" i="108"/>
  <c r="I51" i="108"/>
  <c r="O50" i="108"/>
  <c r="I50" i="108"/>
  <c r="O49" i="108"/>
  <c r="I49" i="108"/>
  <c r="K49" i="108" s="1"/>
  <c r="O48" i="108"/>
  <c r="I48" i="108"/>
  <c r="O47" i="108"/>
  <c r="I47" i="108"/>
  <c r="O46" i="108"/>
  <c r="K46" i="108"/>
  <c r="I46" i="108"/>
  <c r="O45" i="108"/>
  <c r="K45" i="108"/>
  <c r="I45" i="108"/>
  <c r="O44" i="108"/>
  <c r="I44" i="108"/>
  <c r="O43" i="108"/>
  <c r="K43" i="108"/>
  <c r="I43" i="108"/>
  <c r="O42" i="108"/>
  <c r="K41" i="108"/>
  <c r="I41" i="108"/>
  <c r="I40" i="108"/>
  <c r="K40" i="108" s="1"/>
  <c r="I39" i="108"/>
  <c r="K39" i="108" s="1"/>
  <c r="O38" i="108"/>
  <c r="K38" i="108"/>
  <c r="I38" i="108"/>
  <c r="B38" i="108"/>
  <c r="B39" i="108" s="1"/>
  <c r="B40" i="108" s="1"/>
  <c r="B41" i="108" s="1"/>
  <c r="O37" i="108"/>
  <c r="I37" i="108"/>
  <c r="K37" i="108" s="1"/>
  <c r="B37" i="108"/>
  <c r="O36" i="108"/>
  <c r="K36" i="108"/>
  <c r="I36" i="108"/>
  <c r="O35" i="108"/>
  <c r="I35" i="108"/>
  <c r="K35" i="108" s="1"/>
  <c r="D35" i="108"/>
  <c r="B35" i="108"/>
  <c r="B36" i="108" s="1"/>
  <c r="A35" i="108"/>
  <c r="A36" i="108" s="1"/>
  <c r="A37" i="108" s="1"/>
  <c r="A38" i="108" s="1"/>
  <c r="A39" i="108" s="1"/>
  <c r="A40" i="108" s="1"/>
  <c r="A41" i="108" s="1"/>
  <c r="O34" i="108"/>
  <c r="K34" i="108"/>
  <c r="I34" i="108"/>
  <c r="O33" i="108"/>
  <c r="I33" i="108"/>
  <c r="K33" i="108" s="1"/>
  <c r="O32" i="108"/>
  <c r="I32" i="108"/>
  <c r="K32" i="108" s="1"/>
  <c r="O31" i="108"/>
  <c r="I31" i="108"/>
  <c r="K31" i="108" s="1"/>
  <c r="O30" i="108"/>
  <c r="I30" i="108"/>
  <c r="K30" i="108" s="1"/>
  <c r="O29" i="108"/>
  <c r="K29" i="108"/>
  <c r="I29" i="108"/>
  <c r="O28" i="108"/>
  <c r="I28" i="108"/>
  <c r="K28" i="108" s="1"/>
  <c r="O27" i="108"/>
  <c r="K27" i="108"/>
  <c r="I27" i="108"/>
  <c r="O26" i="108"/>
  <c r="I26" i="108"/>
  <c r="K26" i="108" s="1"/>
  <c r="O25" i="108"/>
  <c r="K25" i="108"/>
  <c r="I25" i="108"/>
  <c r="O24" i="108"/>
  <c r="K24" i="108"/>
  <c r="I24" i="108"/>
  <c r="O23" i="108"/>
  <c r="I23" i="108"/>
  <c r="K23" i="108" s="1"/>
  <c r="O22" i="108"/>
  <c r="K22" i="108"/>
  <c r="I22" i="108"/>
  <c r="O21" i="108"/>
  <c r="K21" i="108"/>
  <c r="I21" i="108"/>
  <c r="O20" i="108"/>
  <c r="I20" i="108"/>
  <c r="K20" i="108" s="1"/>
  <c r="O19" i="108"/>
  <c r="K19" i="108"/>
  <c r="I19" i="108"/>
  <c r="O18" i="108"/>
  <c r="I18" i="108"/>
  <c r="K18" i="108" s="1"/>
  <c r="O17" i="108"/>
  <c r="I17" i="108"/>
  <c r="K17" i="108" s="1"/>
  <c r="O16" i="108"/>
  <c r="I16" i="108"/>
  <c r="K16" i="108" s="1"/>
  <c r="O15" i="108"/>
  <c r="I15" i="108"/>
  <c r="K15" i="108" s="1"/>
  <c r="O14" i="108"/>
  <c r="I14" i="108"/>
  <c r="K14" i="108" s="1"/>
  <c r="O13" i="108"/>
  <c r="I13" i="108"/>
  <c r="K13" i="108" s="1"/>
  <c r="O12" i="108"/>
  <c r="K12" i="108"/>
  <c r="I12" i="108"/>
  <c r="O11" i="108"/>
  <c r="K11" i="108"/>
  <c r="I11" i="108"/>
  <c r="O10" i="108"/>
  <c r="I10" i="108"/>
  <c r="K10" i="108" s="1"/>
  <c r="O9" i="108"/>
  <c r="K9" i="108"/>
  <c r="I9" i="108"/>
  <c r="O8" i="108"/>
  <c r="I8" i="108"/>
  <c r="K8" i="108" s="1"/>
  <c r="O7" i="108"/>
  <c r="K7" i="108"/>
  <c r="I7" i="108"/>
  <c r="O6" i="108"/>
  <c r="K6" i="108"/>
  <c r="I6" i="108"/>
  <c r="S58" i="107"/>
  <c r="R58" i="107"/>
  <c r="P58" i="107"/>
  <c r="O58" i="107"/>
  <c r="M58" i="107"/>
  <c r="L58" i="107"/>
  <c r="J58" i="107"/>
  <c r="I58" i="107"/>
  <c r="S57" i="107"/>
  <c r="R57" i="107"/>
  <c r="P57" i="107"/>
  <c r="O57" i="107"/>
  <c r="M57" i="107"/>
  <c r="L57" i="107"/>
  <c r="J57" i="107"/>
  <c r="I57" i="107"/>
  <c r="S56" i="107"/>
  <c r="R56" i="107"/>
  <c r="P56" i="107"/>
  <c r="O56" i="107"/>
  <c r="M56" i="107"/>
  <c r="L56" i="107"/>
  <c r="J56" i="107"/>
  <c r="I56" i="107"/>
  <c r="S55" i="107"/>
  <c r="R55" i="107"/>
  <c r="P55" i="107"/>
  <c r="O55" i="107"/>
  <c r="M55" i="107"/>
  <c r="L55" i="107"/>
  <c r="J55" i="107"/>
  <c r="I55" i="107"/>
  <c r="S54" i="107"/>
  <c r="R54" i="107"/>
  <c r="P54" i="107"/>
  <c r="O54" i="107"/>
  <c r="M54" i="107"/>
  <c r="L54" i="107"/>
  <c r="J54" i="107"/>
  <c r="I54" i="107"/>
  <c r="S53" i="107"/>
  <c r="R53" i="107"/>
  <c r="P53" i="107"/>
  <c r="O53" i="107"/>
  <c r="M53" i="107"/>
  <c r="L53" i="107"/>
  <c r="J53" i="107"/>
  <c r="I53" i="107"/>
  <c r="S52" i="107"/>
  <c r="R52" i="107"/>
  <c r="P52" i="107"/>
  <c r="O52" i="107"/>
  <c r="M52" i="107"/>
  <c r="L52" i="107"/>
  <c r="J52" i="107"/>
  <c r="I52" i="107"/>
  <c r="S51" i="107"/>
  <c r="R51" i="107"/>
  <c r="P51" i="107"/>
  <c r="O51" i="107"/>
  <c r="M51" i="107"/>
  <c r="L51" i="107"/>
  <c r="J51" i="107"/>
  <c r="I51" i="107"/>
  <c r="S50" i="107"/>
  <c r="R50" i="107"/>
  <c r="P50" i="107"/>
  <c r="O50" i="107"/>
  <c r="M50" i="107"/>
  <c r="L50" i="107"/>
  <c r="J50" i="107"/>
  <c r="I50" i="107"/>
  <c r="S49" i="107"/>
  <c r="R49" i="107"/>
  <c r="P49" i="107"/>
  <c r="O49" i="107"/>
  <c r="M49" i="107"/>
  <c r="L49" i="107"/>
  <c r="J49" i="107"/>
  <c r="I49" i="107"/>
  <c r="S48" i="107"/>
  <c r="R48" i="107"/>
  <c r="P48" i="107"/>
  <c r="O48" i="107"/>
  <c r="M48" i="107"/>
  <c r="L48" i="107"/>
  <c r="J48" i="107"/>
  <c r="I48" i="107"/>
  <c r="S47" i="107"/>
  <c r="R47" i="107"/>
  <c r="P47" i="107"/>
  <c r="O47" i="107"/>
  <c r="M47" i="107"/>
  <c r="L47" i="107"/>
  <c r="J47" i="107"/>
  <c r="I47" i="107"/>
  <c r="S46" i="107"/>
  <c r="R46" i="107"/>
  <c r="P46" i="107"/>
  <c r="O46" i="107"/>
  <c r="M46" i="107"/>
  <c r="L46" i="107"/>
  <c r="J46" i="107"/>
  <c r="I46" i="107"/>
  <c r="S45" i="107"/>
  <c r="R45" i="107"/>
  <c r="P45" i="107"/>
  <c r="O45" i="107"/>
  <c r="M45" i="107"/>
  <c r="L45" i="107"/>
  <c r="J45" i="107"/>
  <c r="I45" i="107"/>
  <c r="S44" i="107"/>
  <c r="R44" i="107"/>
  <c r="P44" i="107"/>
  <c r="O44" i="107"/>
  <c r="M44" i="107"/>
  <c r="L44" i="107"/>
  <c r="J44" i="107"/>
  <c r="I44" i="107"/>
  <c r="S43" i="107"/>
  <c r="R43" i="107"/>
  <c r="P43" i="107"/>
  <c r="O43" i="107"/>
  <c r="M43" i="107"/>
  <c r="L43" i="107"/>
  <c r="J43" i="107"/>
  <c r="I43" i="107"/>
  <c r="S42" i="107"/>
  <c r="R42" i="107"/>
  <c r="P42" i="107"/>
  <c r="O42" i="107"/>
  <c r="M42" i="107"/>
  <c r="L42" i="107"/>
  <c r="J42" i="107"/>
  <c r="I42" i="107"/>
  <c r="S41" i="107"/>
  <c r="R41" i="107"/>
  <c r="P41" i="107"/>
  <c r="O41" i="107"/>
  <c r="M41" i="107"/>
  <c r="L41" i="107"/>
  <c r="J41" i="107"/>
  <c r="I41" i="107"/>
  <c r="S40" i="107"/>
  <c r="R40" i="107"/>
  <c r="P40" i="107"/>
  <c r="O40" i="107"/>
  <c r="M40" i="107"/>
  <c r="L40" i="107"/>
  <c r="J40" i="107"/>
  <c r="I40" i="107"/>
  <c r="S39" i="107"/>
  <c r="R39" i="107"/>
  <c r="P39" i="107"/>
  <c r="O39" i="107"/>
  <c r="M39" i="107"/>
  <c r="L39" i="107"/>
  <c r="J39" i="107"/>
  <c r="I39" i="107"/>
  <c r="S38" i="107"/>
  <c r="R38" i="107"/>
  <c r="P38" i="107"/>
  <c r="O38" i="107"/>
  <c r="M38" i="107"/>
  <c r="L38" i="107"/>
  <c r="J38" i="107"/>
  <c r="I38" i="107"/>
  <c r="S37" i="107"/>
  <c r="R37" i="107"/>
  <c r="P37" i="107"/>
  <c r="O37" i="107"/>
  <c r="M37" i="107"/>
  <c r="L37" i="107"/>
  <c r="J37" i="107"/>
  <c r="I37" i="107"/>
  <c r="S36" i="107"/>
  <c r="R36" i="107"/>
  <c r="P36" i="107"/>
  <c r="O36" i="107"/>
  <c r="M36" i="107"/>
  <c r="L36" i="107"/>
  <c r="J36" i="107"/>
  <c r="I36" i="107"/>
  <c r="S35" i="107"/>
  <c r="R35" i="107"/>
  <c r="P35" i="107"/>
  <c r="O35" i="107"/>
  <c r="M35" i="107"/>
  <c r="L35" i="107"/>
  <c r="J35" i="107"/>
  <c r="I35" i="107"/>
  <c r="S34" i="107"/>
  <c r="R34" i="107"/>
  <c r="P34" i="107"/>
  <c r="O34" i="107"/>
  <c r="M34" i="107"/>
  <c r="L34" i="107"/>
  <c r="J34" i="107"/>
  <c r="I34" i="107"/>
  <c r="S33" i="107"/>
  <c r="R33" i="107"/>
  <c r="P33" i="107"/>
  <c r="O33" i="107"/>
  <c r="M33" i="107"/>
  <c r="L33" i="107"/>
  <c r="J33" i="107"/>
  <c r="I33" i="107"/>
  <c r="S32" i="107"/>
  <c r="R32" i="107"/>
  <c r="P32" i="107"/>
  <c r="O32" i="107"/>
  <c r="M32" i="107"/>
  <c r="L32" i="107"/>
  <c r="J32" i="107"/>
  <c r="I32" i="107"/>
  <c r="S31" i="107"/>
  <c r="R31" i="107"/>
  <c r="P31" i="107"/>
  <c r="O31" i="107"/>
  <c r="M31" i="107"/>
  <c r="L31" i="107"/>
  <c r="J31" i="107"/>
  <c r="I31" i="107"/>
  <c r="S30" i="107"/>
  <c r="R30" i="107"/>
  <c r="P30" i="107"/>
  <c r="O30" i="107"/>
  <c r="M30" i="107"/>
  <c r="L30" i="107"/>
  <c r="J30" i="107"/>
  <c r="I30" i="107"/>
  <c r="S29" i="107"/>
  <c r="R29" i="107"/>
  <c r="P29" i="107"/>
  <c r="O29" i="107"/>
  <c r="M29" i="107"/>
  <c r="L29" i="107"/>
  <c r="J29" i="107"/>
  <c r="I29" i="107"/>
  <c r="S28" i="107"/>
  <c r="R28" i="107"/>
  <c r="P28" i="107"/>
  <c r="O28" i="107"/>
  <c r="M28" i="107"/>
  <c r="L28" i="107"/>
  <c r="J28" i="107"/>
  <c r="I28" i="107"/>
  <c r="S27" i="107"/>
  <c r="R27" i="107"/>
  <c r="P27" i="107"/>
  <c r="O27" i="107"/>
  <c r="M27" i="107"/>
  <c r="L27" i="107"/>
  <c r="J27" i="107"/>
  <c r="I27" i="107"/>
  <c r="S26" i="107"/>
  <c r="R26" i="107"/>
  <c r="P26" i="107"/>
  <c r="O26" i="107"/>
  <c r="M26" i="107"/>
  <c r="L26" i="107"/>
  <c r="J26" i="107"/>
  <c r="I26" i="107"/>
  <c r="S25" i="107"/>
  <c r="R25" i="107"/>
  <c r="P25" i="107"/>
  <c r="O25" i="107"/>
  <c r="M25" i="107"/>
  <c r="L25" i="107"/>
  <c r="J25" i="107"/>
  <c r="I25" i="107"/>
  <c r="S24" i="107"/>
  <c r="R24" i="107"/>
  <c r="P24" i="107"/>
  <c r="O24" i="107"/>
  <c r="M24" i="107"/>
  <c r="L24" i="107"/>
  <c r="J24" i="107"/>
  <c r="I24" i="107"/>
  <c r="S23" i="107"/>
  <c r="R23" i="107"/>
  <c r="P23" i="107"/>
  <c r="O23" i="107"/>
  <c r="M23" i="107"/>
  <c r="L23" i="107"/>
  <c r="J23" i="107"/>
  <c r="I23" i="107"/>
  <c r="S22" i="107"/>
  <c r="R22" i="107"/>
  <c r="P22" i="107"/>
  <c r="O22" i="107"/>
  <c r="M22" i="107"/>
  <c r="L22" i="107"/>
  <c r="J22" i="107"/>
  <c r="I22" i="107"/>
  <c r="S21" i="107"/>
  <c r="R21" i="107"/>
  <c r="P21" i="107"/>
  <c r="O21" i="107"/>
  <c r="M21" i="107"/>
  <c r="L21" i="107"/>
  <c r="J21" i="107"/>
  <c r="I21" i="107"/>
  <c r="S20" i="107"/>
  <c r="R20" i="107"/>
  <c r="P20" i="107"/>
  <c r="O20" i="107"/>
  <c r="M20" i="107"/>
  <c r="L20" i="107"/>
  <c r="J20" i="107"/>
  <c r="I20" i="107"/>
  <c r="S19" i="107"/>
  <c r="R19" i="107"/>
  <c r="P19" i="107"/>
  <c r="O19" i="107"/>
  <c r="M19" i="107"/>
  <c r="L19" i="107"/>
  <c r="J19" i="107"/>
  <c r="I19" i="107"/>
  <c r="S18" i="107"/>
  <c r="R18" i="107"/>
  <c r="P18" i="107"/>
  <c r="O18" i="107"/>
  <c r="M18" i="107"/>
  <c r="L18" i="107"/>
  <c r="J18" i="107"/>
  <c r="I18" i="107"/>
  <c r="S17" i="107"/>
  <c r="R17" i="107"/>
  <c r="P17" i="107"/>
  <c r="O17" i="107"/>
  <c r="M17" i="107"/>
  <c r="L17" i="107"/>
  <c r="J17" i="107"/>
  <c r="I17" i="107"/>
  <c r="S16" i="107"/>
  <c r="R16" i="107"/>
  <c r="P16" i="107"/>
  <c r="O16" i="107"/>
  <c r="M16" i="107"/>
  <c r="L16" i="107"/>
  <c r="J16" i="107"/>
  <c r="I16" i="107"/>
  <c r="S15" i="107"/>
  <c r="R15" i="107"/>
  <c r="P15" i="107"/>
  <c r="O15" i="107"/>
  <c r="M15" i="107"/>
  <c r="L15" i="107"/>
  <c r="J15" i="107"/>
  <c r="I15" i="107"/>
  <c r="S14" i="107"/>
  <c r="R14" i="107"/>
  <c r="P14" i="107"/>
  <c r="O14" i="107"/>
  <c r="M14" i="107"/>
  <c r="L14" i="107"/>
  <c r="J14" i="107"/>
  <c r="I14" i="107"/>
  <c r="S13" i="107"/>
  <c r="R13" i="107"/>
  <c r="P13" i="107"/>
  <c r="O13" i="107"/>
  <c r="M13" i="107"/>
  <c r="L13" i="107"/>
  <c r="J13" i="107"/>
  <c r="I13" i="107"/>
  <c r="S12" i="107"/>
  <c r="R12" i="107"/>
  <c r="P12" i="107"/>
  <c r="O12" i="107"/>
  <c r="M12" i="107"/>
  <c r="L12" i="107"/>
  <c r="J12" i="107"/>
  <c r="I12" i="107"/>
  <c r="S11" i="107"/>
  <c r="R11" i="107"/>
  <c r="P11" i="107"/>
  <c r="O11" i="107"/>
  <c r="M11" i="107"/>
  <c r="L11" i="107"/>
  <c r="J11" i="107"/>
  <c r="I11" i="107"/>
  <c r="S10" i="107"/>
  <c r="R10" i="107"/>
  <c r="P10" i="107"/>
  <c r="O10" i="107"/>
  <c r="M10" i="107"/>
  <c r="L10" i="107"/>
  <c r="J10" i="107"/>
  <c r="I10" i="107"/>
  <c r="S9" i="107"/>
  <c r="R9" i="107"/>
  <c r="P9" i="107"/>
  <c r="O9" i="107"/>
  <c r="M9" i="107"/>
  <c r="L9" i="107"/>
  <c r="J9" i="107"/>
  <c r="I9" i="107"/>
  <c r="S8" i="107"/>
  <c r="R8" i="107"/>
  <c r="P8" i="107"/>
  <c r="O8" i="107"/>
  <c r="M8" i="107"/>
  <c r="L8" i="107"/>
  <c r="J8" i="107"/>
  <c r="I8" i="107"/>
  <c r="S7" i="107"/>
  <c r="R7" i="107"/>
  <c r="P7" i="107"/>
  <c r="O7" i="107"/>
  <c r="M7" i="107"/>
  <c r="L7" i="107"/>
  <c r="J7" i="107"/>
  <c r="I7" i="107"/>
  <c r="S6" i="107"/>
  <c r="R6" i="107"/>
  <c r="P6" i="107"/>
  <c r="O6" i="107"/>
  <c r="O60" i="107" s="1"/>
  <c r="M6" i="107"/>
  <c r="M60" i="107" s="1"/>
  <c r="L6" i="107"/>
  <c r="J6" i="107"/>
  <c r="I6" i="107"/>
  <c r="F58" i="106"/>
  <c r="E58" i="106"/>
  <c r="D58" i="106"/>
  <c r="C58" i="106"/>
  <c r="B58" i="106"/>
  <c r="G58" i="106" s="1"/>
  <c r="F57" i="106"/>
  <c r="E57" i="106"/>
  <c r="D57" i="106"/>
  <c r="C57" i="106"/>
  <c r="B57" i="106"/>
  <c r="G57" i="106" s="1"/>
  <c r="F56" i="106"/>
  <c r="E56" i="106"/>
  <c r="D56" i="106"/>
  <c r="G56" i="106" s="1"/>
  <c r="C56" i="106"/>
  <c r="B56" i="106"/>
  <c r="F55" i="106"/>
  <c r="E55" i="106"/>
  <c r="D55" i="106"/>
  <c r="C55" i="106"/>
  <c r="B55" i="106"/>
  <c r="F54" i="106"/>
  <c r="E54" i="106"/>
  <c r="D54" i="106"/>
  <c r="C54" i="106"/>
  <c r="B54" i="106"/>
  <c r="G54" i="106" s="1"/>
  <c r="F53" i="106"/>
  <c r="E53" i="106"/>
  <c r="D53" i="106"/>
  <c r="G53" i="106" s="1"/>
  <c r="C53" i="106"/>
  <c r="B53" i="106"/>
  <c r="F52" i="106"/>
  <c r="E52" i="106"/>
  <c r="D52" i="106"/>
  <c r="C52" i="106"/>
  <c r="B52" i="106"/>
  <c r="G52" i="106" s="1"/>
  <c r="F51" i="106"/>
  <c r="E51" i="106"/>
  <c r="D51" i="106"/>
  <c r="C51" i="106"/>
  <c r="B51" i="106"/>
  <c r="G51" i="106" s="1"/>
  <c r="F50" i="106"/>
  <c r="E50" i="106"/>
  <c r="D50" i="106"/>
  <c r="G50" i="106" s="1"/>
  <c r="C50" i="106"/>
  <c r="B50" i="106"/>
  <c r="F49" i="106"/>
  <c r="E49" i="106"/>
  <c r="D49" i="106"/>
  <c r="C49" i="106"/>
  <c r="B49" i="106"/>
  <c r="F48" i="106"/>
  <c r="E48" i="106"/>
  <c r="D48" i="106"/>
  <c r="C48" i="106"/>
  <c r="B48" i="106"/>
  <c r="G48" i="106" s="1"/>
  <c r="F47" i="106"/>
  <c r="E47" i="106"/>
  <c r="D47" i="106"/>
  <c r="G47" i="106" s="1"/>
  <c r="C47" i="106"/>
  <c r="B47" i="106"/>
  <c r="F46" i="106"/>
  <c r="E46" i="106"/>
  <c r="D46" i="106"/>
  <c r="C46" i="106"/>
  <c r="B46" i="106"/>
  <c r="F45" i="106"/>
  <c r="E45" i="106"/>
  <c r="D45" i="106"/>
  <c r="C45" i="106"/>
  <c r="B45" i="106"/>
  <c r="G45" i="106" s="1"/>
  <c r="F44" i="106"/>
  <c r="E44" i="106"/>
  <c r="D44" i="106"/>
  <c r="G44" i="106" s="1"/>
  <c r="C44" i="106"/>
  <c r="B44" i="106"/>
  <c r="F43" i="106"/>
  <c r="E43" i="106"/>
  <c r="D43" i="106"/>
  <c r="C43" i="106"/>
  <c r="B43" i="106"/>
  <c r="G43" i="106" s="1"/>
  <c r="F42" i="106"/>
  <c r="E42" i="106"/>
  <c r="D42" i="106"/>
  <c r="C42" i="106"/>
  <c r="B42" i="106"/>
  <c r="G42" i="106" s="1"/>
  <c r="F41" i="106"/>
  <c r="E41" i="106"/>
  <c r="D41" i="106"/>
  <c r="G41" i="106" s="1"/>
  <c r="C41" i="106"/>
  <c r="B41" i="106"/>
  <c r="F40" i="106"/>
  <c r="E40" i="106"/>
  <c r="D40" i="106"/>
  <c r="C40" i="106"/>
  <c r="B40" i="106"/>
  <c r="F39" i="106"/>
  <c r="E39" i="106"/>
  <c r="D39" i="106"/>
  <c r="C39" i="106"/>
  <c r="B39" i="106"/>
  <c r="G39" i="106" s="1"/>
  <c r="F38" i="106"/>
  <c r="E38" i="106"/>
  <c r="D38" i="106"/>
  <c r="G38" i="106" s="1"/>
  <c r="C38" i="106"/>
  <c r="B38" i="106"/>
  <c r="F37" i="106"/>
  <c r="E37" i="106"/>
  <c r="D37" i="106"/>
  <c r="C37" i="106"/>
  <c r="B37" i="106"/>
  <c r="G37" i="106" s="1"/>
  <c r="F36" i="106"/>
  <c r="E36" i="106"/>
  <c r="D36" i="106"/>
  <c r="C36" i="106"/>
  <c r="B36" i="106"/>
  <c r="G36" i="106" s="1"/>
  <c r="F35" i="106"/>
  <c r="E35" i="106"/>
  <c r="D35" i="106"/>
  <c r="G35" i="106" s="1"/>
  <c r="C35" i="106"/>
  <c r="B35" i="106"/>
  <c r="F34" i="106"/>
  <c r="E34" i="106"/>
  <c r="D34" i="106"/>
  <c r="C34" i="106"/>
  <c r="B34" i="106"/>
  <c r="F33" i="106"/>
  <c r="E33" i="106"/>
  <c r="D33" i="106"/>
  <c r="C33" i="106"/>
  <c r="B33" i="106"/>
  <c r="G33" i="106" s="1"/>
  <c r="F32" i="106"/>
  <c r="E32" i="106"/>
  <c r="D32" i="106"/>
  <c r="G32" i="106" s="1"/>
  <c r="C32" i="106"/>
  <c r="B32" i="106"/>
  <c r="F31" i="106"/>
  <c r="E31" i="106"/>
  <c r="D31" i="106"/>
  <c r="C31" i="106"/>
  <c r="B31" i="106"/>
  <c r="F30" i="106"/>
  <c r="E30" i="106"/>
  <c r="D30" i="106"/>
  <c r="C30" i="106"/>
  <c r="B30" i="106"/>
  <c r="G30" i="106" s="1"/>
  <c r="F29" i="106"/>
  <c r="E29" i="106"/>
  <c r="D29" i="106"/>
  <c r="G29" i="106" s="1"/>
  <c r="C29" i="106"/>
  <c r="B29" i="106"/>
  <c r="F28" i="106"/>
  <c r="E28" i="106"/>
  <c r="D28" i="106"/>
  <c r="C28" i="106"/>
  <c r="B28" i="106"/>
  <c r="G28" i="106" s="1"/>
  <c r="F27" i="106"/>
  <c r="E27" i="106"/>
  <c r="D27" i="106"/>
  <c r="C27" i="106"/>
  <c r="B27" i="106"/>
  <c r="G27" i="106" s="1"/>
  <c r="F26" i="106"/>
  <c r="E26" i="106"/>
  <c r="D26" i="106"/>
  <c r="G26" i="106" s="1"/>
  <c r="C26" i="106"/>
  <c r="B26" i="106"/>
  <c r="F25" i="106"/>
  <c r="E25" i="106"/>
  <c r="D25" i="106"/>
  <c r="C25" i="106"/>
  <c r="B25" i="106"/>
  <c r="F24" i="106"/>
  <c r="E24" i="106"/>
  <c r="D24" i="106"/>
  <c r="C24" i="106"/>
  <c r="B24" i="106"/>
  <c r="G24" i="106" s="1"/>
  <c r="F23" i="106"/>
  <c r="E23" i="106"/>
  <c r="D23" i="106"/>
  <c r="G23" i="106" s="1"/>
  <c r="C23" i="106"/>
  <c r="B23" i="106"/>
  <c r="F22" i="106"/>
  <c r="E22" i="106"/>
  <c r="D22" i="106"/>
  <c r="C22" i="106"/>
  <c r="B22" i="106"/>
  <c r="G22" i="106" s="1"/>
  <c r="F21" i="106"/>
  <c r="E21" i="106"/>
  <c r="D21" i="106"/>
  <c r="C21" i="106"/>
  <c r="B21" i="106"/>
  <c r="G21" i="106" s="1"/>
  <c r="F20" i="106"/>
  <c r="E20" i="106"/>
  <c r="D20" i="106"/>
  <c r="G20" i="106" s="1"/>
  <c r="C20" i="106"/>
  <c r="B20" i="106"/>
  <c r="F19" i="106"/>
  <c r="E19" i="106"/>
  <c r="D19" i="106"/>
  <c r="C19" i="106"/>
  <c r="B19" i="106"/>
  <c r="F18" i="106"/>
  <c r="E18" i="106"/>
  <c r="D18" i="106"/>
  <c r="C18" i="106"/>
  <c r="B18" i="106"/>
  <c r="G18" i="106" s="1"/>
  <c r="F17" i="106"/>
  <c r="E17" i="106"/>
  <c r="D17" i="106"/>
  <c r="C17" i="106"/>
  <c r="B17" i="106"/>
  <c r="F16" i="106"/>
  <c r="E16" i="106"/>
  <c r="D16" i="106"/>
  <c r="C16" i="106"/>
  <c r="B16" i="106"/>
  <c r="G16" i="106" s="1"/>
  <c r="F15" i="106"/>
  <c r="E15" i="106"/>
  <c r="D15" i="106"/>
  <c r="C15" i="106"/>
  <c r="B15" i="106"/>
  <c r="G14" i="106"/>
  <c r="F14" i="106"/>
  <c r="E14" i="106"/>
  <c r="D14" i="106"/>
  <c r="C14" i="106"/>
  <c r="B14" i="106"/>
  <c r="F13" i="106"/>
  <c r="E13" i="106"/>
  <c r="D13" i="106"/>
  <c r="G13" i="106" s="1"/>
  <c r="C13" i="106"/>
  <c r="B13" i="106"/>
  <c r="F12" i="106"/>
  <c r="G12" i="106" s="1"/>
  <c r="E12" i="106"/>
  <c r="D12" i="106"/>
  <c r="C12" i="106"/>
  <c r="B12" i="106"/>
  <c r="F11" i="106"/>
  <c r="E11" i="106"/>
  <c r="D11" i="106"/>
  <c r="C11" i="106"/>
  <c r="G11" i="106" s="1"/>
  <c r="B11" i="106"/>
  <c r="G10" i="106"/>
  <c r="F10" i="106"/>
  <c r="E10" i="106"/>
  <c r="D10" i="106"/>
  <c r="C10" i="106"/>
  <c r="B10" i="106"/>
  <c r="F9" i="106"/>
  <c r="E9" i="106"/>
  <c r="D9" i="106"/>
  <c r="C9" i="106"/>
  <c r="B9" i="106"/>
  <c r="F8" i="106"/>
  <c r="G8" i="106" s="1"/>
  <c r="E8" i="106"/>
  <c r="D8" i="106"/>
  <c r="C8" i="106"/>
  <c r="B8" i="106"/>
  <c r="F7" i="106"/>
  <c r="E7" i="106"/>
  <c r="D7" i="106"/>
  <c r="C7" i="106"/>
  <c r="G7" i="106" s="1"/>
  <c r="B7" i="106"/>
  <c r="G6" i="106"/>
  <c r="F6" i="106"/>
  <c r="F61" i="106" s="1"/>
  <c r="E6" i="106"/>
  <c r="D6" i="106"/>
  <c r="C6" i="106"/>
  <c r="B6" i="106"/>
  <c r="F58" i="105"/>
  <c r="E58" i="105"/>
  <c r="D58" i="105"/>
  <c r="C58" i="105"/>
  <c r="B58" i="105"/>
  <c r="G58" i="105" s="1"/>
  <c r="F57" i="105"/>
  <c r="G57" i="105" s="1"/>
  <c r="E57" i="105"/>
  <c r="D57" i="105"/>
  <c r="C57" i="105"/>
  <c r="B57" i="105"/>
  <c r="F56" i="105"/>
  <c r="E56" i="105"/>
  <c r="D56" i="105"/>
  <c r="C56" i="105"/>
  <c r="B56" i="105"/>
  <c r="G56" i="105" s="1"/>
  <c r="F55" i="105"/>
  <c r="E55" i="105"/>
  <c r="D55" i="105"/>
  <c r="C55" i="105"/>
  <c r="B55" i="105"/>
  <c r="G55" i="105" s="1"/>
  <c r="G54" i="105"/>
  <c r="F54" i="105"/>
  <c r="E54" i="105"/>
  <c r="D54" i="105"/>
  <c r="C54" i="105"/>
  <c r="B54" i="105"/>
  <c r="F53" i="105"/>
  <c r="E53" i="105"/>
  <c r="D53" i="105"/>
  <c r="C53" i="105"/>
  <c r="G53" i="105" s="1"/>
  <c r="B53" i="105"/>
  <c r="F52" i="105"/>
  <c r="E52" i="105"/>
  <c r="D52" i="105"/>
  <c r="C52" i="105"/>
  <c r="B52" i="105"/>
  <c r="F51" i="105"/>
  <c r="E51" i="105"/>
  <c r="D51" i="105"/>
  <c r="C51" i="105"/>
  <c r="B51" i="105"/>
  <c r="G51" i="105" s="1"/>
  <c r="F50" i="105"/>
  <c r="E50" i="105"/>
  <c r="D50" i="105"/>
  <c r="C50" i="105"/>
  <c r="B50" i="105"/>
  <c r="G50" i="105" s="1"/>
  <c r="G49" i="105"/>
  <c r="F49" i="105"/>
  <c r="E49" i="105"/>
  <c r="D49" i="105"/>
  <c r="C49" i="105"/>
  <c r="B49" i="105"/>
  <c r="F48" i="105"/>
  <c r="E48" i="105"/>
  <c r="D48" i="105"/>
  <c r="C48" i="105"/>
  <c r="B48" i="105"/>
  <c r="G48" i="105" s="1"/>
  <c r="F47" i="105"/>
  <c r="E47" i="105"/>
  <c r="D47" i="105"/>
  <c r="C47" i="105"/>
  <c r="B47" i="105"/>
  <c r="F46" i="105"/>
  <c r="E46" i="105"/>
  <c r="D46" i="105"/>
  <c r="C46" i="105"/>
  <c r="B46" i="105"/>
  <c r="G45" i="105"/>
  <c r="F45" i="105"/>
  <c r="E45" i="105"/>
  <c r="D45" i="105"/>
  <c r="C45" i="105"/>
  <c r="B45" i="105"/>
  <c r="F44" i="105"/>
  <c r="E44" i="105"/>
  <c r="D44" i="105"/>
  <c r="C44" i="105"/>
  <c r="B44" i="105"/>
  <c r="F43" i="105"/>
  <c r="E43" i="105"/>
  <c r="D43" i="105"/>
  <c r="C43" i="105"/>
  <c r="B43" i="105"/>
  <c r="G43" i="105" s="1"/>
  <c r="G42" i="105"/>
  <c r="F42" i="105"/>
  <c r="E42" i="105"/>
  <c r="D42" i="105"/>
  <c r="C42" i="105"/>
  <c r="B42" i="105"/>
  <c r="F41" i="105"/>
  <c r="E41" i="105"/>
  <c r="D41" i="105"/>
  <c r="C41" i="105"/>
  <c r="B41" i="105"/>
  <c r="F40" i="105"/>
  <c r="E40" i="105"/>
  <c r="D40" i="105"/>
  <c r="C40" i="105"/>
  <c r="B40" i="105"/>
  <c r="F39" i="105"/>
  <c r="E39" i="105"/>
  <c r="D39" i="105"/>
  <c r="C39" i="105"/>
  <c r="B39" i="105"/>
  <c r="F38" i="105"/>
  <c r="E38" i="105"/>
  <c r="D38" i="105"/>
  <c r="C38" i="105"/>
  <c r="B38" i="105"/>
  <c r="G38" i="105" s="1"/>
  <c r="G37" i="105"/>
  <c r="F37" i="105"/>
  <c r="E37" i="105"/>
  <c r="D37" i="105"/>
  <c r="C37" i="105"/>
  <c r="B37" i="105"/>
  <c r="F36" i="105"/>
  <c r="E36" i="105"/>
  <c r="D36" i="105"/>
  <c r="C36" i="105"/>
  <c r="B36" i="105"/>
  <c r="G36" i="105" s="1"/>
  <c r="F35" i="105"/>
  <c r="E35" i="105"/>
  <c r="D35" i="105"/>
  <c r="C35" i="105"/>
  <c r="B35" i="105"/>
  <c r="G35" i="105" s="1"/>
  <c r="G34" i="105"/>
  <c r="F34" i="105"/>
  <c r="E34" i="105"/>
  <c r="D34" i="105"/>
  <c r="C34" i="105"/>
  <c r="B34" i="105"/>
  <c r="F33" i="105"/>
  <c r="E33" i="105"/>
  <c r="D33" i="105"/>
  <c r="C33" i="105"/>
  <c r="B33" i="105"/>
  <c r="F32" i="105"/>
  <c r="E32" i="105"/>
  <c r="D32" i="105"/>
  <c r="C32" i="105"/>
  <c r="B32" i="105"/>
  <c r="F31" i="105"/>
  <c r="E31" i="105"/>
  <c r="D31" i="105"/>
  <c r="C31" i="105"/>
  <c r="B31" i="105"/>
  <c r="F30" i="105"/>
  <c r="E30" i="105"/>
  <c r="D30" i="105"/>
  <c r="C30" i="105"/>
  <c r="B30" i="105"/>
  <c r="G30" i="105" s="1"/>
  <c r="G29" i="105"/>
  <c r="F29" i="105"/>
  <c r="E29" i="105"/>
  <c r="D29" i="105"/>
  <c r="C29" i="105"/>
  <c r="B29" i="105"/>
  <c r="F28" i="105"/>
  <c r="E28" i="105"/>
  <c r="D28" i="105"/>
  <c r="C28" i="105"/>
  <c r="B28" i="105"/>
  <c r="F27" i="105"/>
  <c r="E27" i="105"/>
  <c r="D27" i="105"/>
  <c r="C27" i="105"/>
  <c r="B27" i="105"/>
  <c r="G27" i="105" s="1"/>
  <c r="F26" i="105"/>
  <c r="G26" i="105" s="1"/>
  <c r="E26" i="105"/>
  <c r="D26" i="105"/>
  <c r="C26" i="105"/>
  <c r="B26" i="105"/>
  <c r="F25" i="105"/>
  <c r="E25" i="105"/>
  <c r="D25" i="105"/>
  <c r="C25" i="105"/>
  <c r="B25" i="105"/>
  <c r="F24" i="105"/>
  <c r="E24" i="105"/>
  <c r="D24" i="105"/>
  <c r="C24" i="105"/>
  <c r="B24" i="105"/>
  <c r="G24" i="105" s="1"/>
  <c r="F23" i="105"/>
  <c r="E23" i="105"/>
  <c r="D23" i="105"/>
  <c r="C23" i="105"/>
  <c r="B23" i="105"/>
  <c r="F22" i="105"/>
  <c r="E22" i="105"/>
  <c r="D22" i="105"/>
  <c r="C22" i="105"/>
  <c r="B22" i="105"/>
  <c r="F21" i="105"/>
  <c r="E21" i="105"/>
  <c r="D21" i="105"/>
  <c r="C21" i="105"/>
  <c r="B21" i="105"/>
  <c r="G21" i="105" s="1"/>
  <c r="F20" i="105"/>
  <c r="E20" i="105"/>
  <c r="D20" i="105"/>
  <c r="C20" i="105"/>
  <c r="B20" i="105"/>
  <c r="F19" i="105"/>
  <c r="E19" i="105"/>
  <c r="D19" i="105"/>
  <c r="C19" i="105"/>
  <c r="B19" i="105"/>
  <c r="F18" i="105"/>
  <c r="E18" i="105"/>
  <c r="D18" i="105"/>
  <c r="C18" i="105"/>
  <c r="B18" i="105"/>
  <c r="G18" i="105" s="1"/>
  <c r="F17" i="105"/>
  <c r="G17" i="105" s="1"/>
  <c r="E17" i="105"/>
  <c r="D17" i="105"/>
  <c r="C17" i="105"/>
  <c r="B17" i="105"/>
  <c r="F16" i="105"/>
  <c r="E16" i="105"/>
  <c r="D16" i="105"/>
  <c r="C16" i="105"/>
  <c r="B16" i="105"/>
  <c r="F15" i="105"/>
  <c r="E15" i="105"/>
  <c r="D15" i="105"/>
  <c r="C15" i="105"/>
  <c r="B15" i="105"/>
  <c r="G15" i="105" s="1"/>
  <c r="F14" i="105"/>
  <c r="G14" i="105" s="1"/>
  <c r="E14" i="105"/>
  <c r="D14" i="105"/>
  <c r="C14" i="105"/>
  <c r="B14" i="105"/>
  <c r="F13" i="105"/>
  <c r="E13" i="105"/>
  <c r="D13" i="105"/>
  <c r="C13" i="105"/>
  <c r="B13" i="105"/>
  <c r="F12" i="105"/>
  <c r="E12" i="105"/>
  <c r="D12" i="105"/>
  <c r="C12" i="105"/>
  <c r="B12" i="105"/>
  <c r="G12" i="105" s="1"/>
  <c r="F11" i="105"/>
  <c r="E11" i="105"/>
  <c r="D11" i="105"/>
  <c r="C11" i="105"/>
  <c r="B11" i="105"/>
  <c r="F10" i="105"/>
  <c r="E10" i="105"/>
  <c r="D10" i="105"/>
  <c r="C10" i="105"/>
  <c r="B10" i="105"/>
  <c r="F9" i="105"/>
  <c r="E9" i="105"/>
  <c r="D9" i="105"/>
  <c r="C9" i="105"/>
  <c r="B9" i="105"/>
  <c r="G9" i="105" s="1"/>
  <c r="F8" i="105"/>
  <c r="E8" i="105"/>
  <c r="D8" i="105"/>
  <c r="C8" i="105"/>
  <c r="B8" i="105"/>
  <c r="F7" i="105"/>
  <c r="E7" i="105"/>
  <c r="D7" i="105"/>
  <c r="C7" i="105"/>
  <c r="B7" i="105"/>
  <c r="G7" i="105" s="1"/>
  <c r="F6" i="105"/>
  <c r="E6" i="105"/>
  <c r="D6" i="105"/>
  <c r="C6" i="105"/>
  <c r="B6" i="105"/>
  <c r="F58" i="104"/>
  <c r="E58" i="104"/>
  <c r="D58" i="104"/>
  <c r="C58" i="104"/>
  <c r="B58" i="104"/>
  <c r="G57" i="104"/>
  <c r="F57" i="104"/>
  <c r="E57" i="104"/>
  <c r="D57" i="104"/>
  <c r="C57" i="104"/>
  <c r="B57" i="104"/>
  <c r="F56" i="104"/>
  <c r="E56" i="104"/>
  <c r="D56" i="104"/>
  <c r="C56" i="104"/>
  <c r="G56" i="104" s="1"/>
  <c r="B56" i="104"/>
  <c r="F55" i="104"/>
  <c r="E55" i="104"/>
  <c r="D55" i="104"/>
  <c r="C55" i="104"/>
  <c r="B55" i="104"/>
  <c r="G54" i="104"/>
  <c r="F54" i="104"/>
  <c r="E54" i="104"/>
  <c r="D54" i="104"/>
  <c r="C54" i="104"/>
  <c r="B54" i="104"/>
  <c r="F53" i="104"/>
  <c r="E53" i="104"/>
  <c r="D53" i="104"/>
  <c r="C53" i="104"/>
  <c r="B53" i="104"/>
  <c r="G52" i="104"/>
  <c r="F52" i="104"/>
  <c r="E52" i="104"/>
  <c r="D52" i="104"/>
  <c r="C52" i="104"/>
  <c r="B52" i="104"/>
  <c r="F51" i="104"/>
  <c r="E51" i="104"/>
  <c r="G51" i="104" s="1"/>
  <c r="D51" i="104"/>
  <c r="C51" i="104"/>
  <c r="B51" i="104"/>
  <c r="F50" i="104"/>
  <c r="E50" i="104"/>
  <c r="D50" i="104"/>
  <c r="C50" i="104"/>
  <c r="B50" i="104"/>
  <c r="G50" i="104" s="1"/>
  <c r="G49" i="104"/>
  <c r="F49" i="104"/>
  <c r="E49" i="104"/>
  <c r="D49" i="104"/>
  <c r="C49" i="104"/>
  <c r="B49" i="104"/>
  <c r="F48" i="104"/>
  <c r="E48" i="104"/>
  <c r="D48" i="104"/>
  <c r="C48" i="104"/>
  <c r="G48" i="104" s="1"/>
  <c r="B48" i="104"/>
  <c r="F47" i="104"/>
  <c r="E47" i="104"/>
  <c r="D47" i="104"/>
  <c r="C47" i="104"/>
  <c r="B47" i="104"/>
  <c r="G47" i="104" s="1"/>
  <c r="G46" i="104"/>
  <c r="F46" i="104"/>
  <c r="E46" i="104"/>
  <c r="D46" i="104"/>
  <c r="C46" i="104"/>
  <c r="B46" i="104"/>
  <c r="F45" i="104"/>
  <c r="E45" i="104"/>
  <c r="D45" i="104"/>
  <c r="C45" i="104"/>
  <c r="B45" i="104"/>
  <c r="G45" i="104" s="1"/>
  <c r="G44" i="104"/>
  <c r="F44" i="104"/>
  <c r="E44" i="104"/>
  <c r="D44" i="104"/>
  <c r="C44" i="104"/>
  <c r="B44" i="104"/>
  <c r="F43" i="104"/>
  <c r="E43" i="104"/>
  <c r="D43" i="104"/>
  <c r="C43" i="104"/>
  <c r="B43" i="104"/>
  <c r="G43" i="104" s="1"/>
  <c r="F42" i="104"/>
  <c r="E42" i="104"/>
  <c r="D42" i="104"/>
  <c r="C42" i="104"/>
  <c r="B42" i="104"/>
  <c r="G42" i="104" s="1"/>
  <c r="F41" i="104"/>
  <c r="E41" i="104"/>
  <c r="G41" i="104" s="1"/>
  <c r="D41" i="104"/>
  <c r="C41" i="104"/>
  <c r="B41" i="104"/>
  <c r="F40" i="104"/>
  <c r="E40" i="104"/>
  <c r="D40" i="104"/>
  <c r="C40" i="104"/>
  <c r="B40" i="104"/>
  <c r="G40" i="104" s="1"/>
  <c r="G39" i="104"/>
  <c r="F39" i="104"/>
  <c r="E39" i="104"/>
  <c r="D39" i="104"/>
  <c r="C39" i="104"/>
  <c r="B39" i="104"/>
  <c r="F38" i="104"/>
  <c r="E38" i="104"/>
  <c r="G38" i="104" s="1"/>
  <c r="D38" i="104"/>
  <c r="C38" i="104"/>
  <c r="B38" i="104"/>
  <c r="F37" i="104"/>
  <c r="E37" i="104"/>
  <c r="D37" i="104"/>
  <c r="C37" i="104"/>
  <c r="B37" i="104"/>
  <c r="G37" i="104" s="1"/>
  <c r="F36" i="104"/>
  <c r="G36" i="104" s="1"/>
  <c r="E36" i="104"/>
  <c r="D36" i="104"/>
  <c r="C36" i="104"/>
  <c r="B36" i="104"/>
  <c r="F35" i="104"/>
  <c r="E35" i="104"/>
  <c r="D35" i="104"/>
  <c r="C35" i="104"/>
  <c r="B35" i="104"/>
  <c r="G34" i="104"/>
  <c r="F34" i="104"/>
  <c r="E34" i="104"/>
  <c r="D34" i="104"/>
  <c r="C34" i="104"/>
  <c r="B34" i="104"/>
  <c r="F33" i="104"/>
  <c r="E33" i="104"/>
  <c r="G33" i="104" s="1"/>
  <c r="D33" i="104"/>
  <c r="C33" i="104"/>
  <c r="B33" i="104"/>
  <c r="F32" i="104"/>
  <c r="E32" i="104"/>
  <c r="D32" i="104"/>
  <c r="C32" i="104"/>
  <c r="B32" i="104"/>
  <c r="F31" i="104"/>
  <c r="G31" i="104" s="1"/>
  <c r="E31" i="104"/>
  <c r="D31" i="104"/>
  <c r="C31" i="104"/>
  <c r="B31" i="104"/>
  <c r="F30" i="104"/>
  <c r="E30" i="104"/>
  <c r="D30" i="104"/>
  <c r="C30" i="104"/>
  <c r="B30" i="104"/>
  <c r="G30" i="104" s="1"/>
  <c r="F29" i="104"/>
  <c r="E29" i="104"/>
  <c r="D29" i="104"/>
  <c r="C29" i="104"/>
  <c r="B29" i="104"/>
  <c r="G29" i="104" s="1"/>
  <c r="F28" i="104"/>
  <c r="E28" i="104"/>
  <c r="D28" i="104"/>
  <c r="G28" i="104" s="1"/>
  <c r="C28" i="104"/>
  <c r="B28" i="104"/>
  <c r="F27" i="104"/>
  <c r="E27" i="104"/>
  <c r="D27" i="104"/>
  <c r="C27" i="104"/>
  <c r="B27" i="104"/>
  <c r="G26" i="104"/>
  <c r="F26" i="104"/>
  <c r="E26" i="104"/>
  <c r="D26" i="104"/>
  <c r="C26" i="104"/>
  <c r="B26" i="104"/>
  <c r="F25" i="104"/>
  <c r="E25" i="104"/>
  <c r="D25" i="104"/>
  <c r="C25" i="104"/>
  <c r="G25" i="104" s="1"/>
  <c r="B25" i="104"/>
  <c r="F24" i="104"/>
  <c r="E24" i="104"/>
  <c r="D24" i="104"/>
  <c r="C24" i="104"/>
  <c r="B24" i="104"/>
  <c r="G24" i="104" s="1"/>
  <c r="F23" i="104"/>
  <c r="E23" i="104"/>
  <c r="D23" i="104"/>
  <c r="C23" i="104"/>
  <c r="B23" i="104"/>
  <c r="G23" i="104" s="1"/>
  <c r="F22" i="104"/>
  <c r="E22" i="104"/>
  <c r="G22" i="104" s="1"/>
  <c r="D22" i="104"/>
  <c r="C22" i="104"/>
  <c r="B22" i="104"/>
  <c r="F21" i="104"/>
  <c r="E21" i="104"/>
  <c r="D21" i="104"/>
  <c r="C21" i="104"/>
  <c r="B21" i="104"/>
  <c r="F20" i="104"/>
  <c r="E20" i="104"/>
  <c r="D20" i="104"/>
  <c r="C20" i="104"/>
  <c r="B20" i="104"/>
  <c r="G20" i="104" s="1"/>
  <c r="G19" i="104"/>
  <c r="F19" i="104"/>
  <c r="E19" i="104"/>
  <c r="D19" i="104"/>
  <c r="C19" i="104"/>
  <c r="B19" i="104"/>
  <c r="F18" i="104"/>
  <c r="E18" i="104"/>
  <c r="G18" i="104" s="1"/>
  <c r="D18" i="104"/>
  <c r="C18" i="104"/>
  <c r="B18" i="104"/>
  <c r="F17" i="104"/>
  <c r="E17" i="104"/>
  <c r="D17" i="104"/>
  <c r="C17" i="104"/>
  <c r="B17" i="104"/>
  <c r="G17" i="104" s="1"/>
  <c r="F16" i="104"/>
  <c r="E16" i="104"/>
  <c r="D16" i="104"/>
  <c r="C16" i="104"/>
  <c r="B16" i="104"/>
  <c r="G16" i="104" s="1"/>
  <c r="G15" i="104"/>
  <c r="F15" i="104"/>
  <c r="E15" i="104"/>
  <c r="D15" i="104"/>
  <c r="C15" i="104"/>
  <c r="B15" i="104"/>
  <c r="G14" i="104"/>
  <c r="F14" i="104"/>
  <c r="E14" i="104"/>
  <c r="D14" i="104"/>
  <c r="C14" i="104"/>
  <c r="B14" i="104"/>
  <c r="F13" i="104"/>
  <c r="E13" i="104"/>
  <c r="D13" i="104"/>
  <c r="C13" i="104"/>
  <c r="B13" i="104"/>
  <c r="G13" i="104" s="1"/>
  <c r="F12" i="104"/>
  <c r="E12" i="104"/>
  <c r="D12" i="104"/>
  <c r="C12" i="104"/>
  <c r="B12" i="104"/>
  <c r="G12" i="104" s="1"/>
  <c r="G11" i="104"/>
  <c r="F11" i="104"/>
  <c r="E11" i="104"/>
  <c r="D11" i="104"/>
  <c r="C11" i="104"/>
  <c r="B11" i="104"/>
  <c r="F10" i="104"/>
  <c r="E10" i="104"/>
  <c r="G10" i="104" s="1"/>
  <c r="D10" i="104"/>
  <c r="C10" i="104"/>
  <c r="B10" i="104"/>
  <c r="F9" i="104"/>
  <c r="E9" i="104"/>
  <c r="D9" i="104"/>
  <c r="C9" i="104"/>
  <c r="B9" i="104"/>
  <c r="F8" i="104"/>
  <c r="E8" i="104"/>
  <c r="D8" i="104"/>
  <c r="C8" i="104"/>
  <c r="B8" i="104"/>
  <c r="G8" i="104" s="1"/>
  <c r="G7" i="104"/>
  <c r="F7" i="104"/>
  <c r="E7" i="104"/>
  <c r="D7" i="104"/>
  <c r="C7" i="104"/>
  <c r="B7" i="104"/>
  <c r="F6" i="104"/>
  <c r="E6" i="104"/>
  <c r="D6" i="104"/>
  <c r="C6" i="104"/>
  <c r="B6" i="104"/>
  <c r="F58" i="103"/>
  <c r="E58" i="103"/>
  <c r="D58" i="103"/>
  <c r="G58" i="103" s="1"/>
  <c r="C58" i="103"/>
  <c r="B58" i="103"/>
  <c r="F57" i="103"/>
  <c r="E57" i="103"/>
  <c r="D57" i="103"/>
  <c r="G57" i="103" s="1"/>
  <c r="C57" i="103"/>
  <c r="B57" i="103"/>
  <c r="F56" i="103"/>
  <c r="E56" i="103"/>
  <c r="D56" i="103"/>
  <c r="C56" i="103"/>
  <c r="B56" i="103"/>
  <c r="F55" i="103"/>
  <c r="E55" i="103"/>
  <c r="D55" i="103"/>
  <c r="G55" i="103" s="1"/>
  <c r="C55" i="103"/>
  <c r="B55" i="103"/>
  <c r="G54" i="103"/>
  <c r="F54" i="103"/>
  <c r="E54" i="103"/>
  <c r="D54" i="103"/>
  <c r="C54" i="103"/>
  <c r="B54" i="103"/>
  <c r="F53" i="103"/>
  <c r="E53" i="103"/>
  <c r="D53" i="103"/>
  <c r="C53" i="103"/>
  <c r="B53" i="103"/>
  <c r="F52" i="103"/>
  <c r="E52" i="103"/>
  <c r="D52" i="103"/>
  <c r="C52" i="103"/>
  <c r="B52" i="103"/>
  <c r="G52" i="103" s="1"/>
  <c r="F51" i="103"/>
  <c r="E51" i="103"/>
  <c r="D51" i="103"/>
  <c r="G51" i="103" s="1"/>
  <c r="C51" i="103"/>
  <c r="B51" i="103"/>
  <c r="F50" i="103"/>
  <c r="E50" i="103"/>
  <c r="C50" i="103"/>
  <c r="B50" i="103"/>
  <c r="F49" i="103"/>
  <c r="E49" i="103"/>
  <c r="D49" i="103"/>
  <c r="C49" i="103"/>
  <c r="B49" i="103"/>
  <c r="G48" i="103"/>
  <c r="F48" i="103"/>
  <c r="E48" i="103"/>
  <c r="D48" i="103"/>
  <c r="C48" i="103"/>
  <c r="B48" i="103"/>
  <c r="F47" i="103"/>
  <c r="E47" i="103"/>
  <c r="D47" i="103"/>
  <c r="C47" i="103"/>
  <c r="B47" i="103"/>
  <c r="F46" i="103"/>
  <c r="E46" i="103"/>
  <c r="D46" i="103"/>
  <c r="C46" i="103"/>
  <c r="B46" i="103"/>
  <c r="F45" i="103"/>
  <c r="E45" i="103"/>
  <c r="D45" i="103"/>
  <c r="G45" i="103" s="1"/>
  <c r="C45" i="103"/>
  <c r="B45" i="103"/>
  <c r="F44" i="103"/>
  <c r="E44" i="103"/>
  <c r="D44" i="103"/>
  <c r="C44" i="103"/>
  <c r="B44" i="103"/>
  <c r="F43" i="103"/>
  <c r="E43" i="103"/>
  <c r="D43" i="103"/>
  <c r="C43" i="103"/>
  <c r="B43" i="103"/>
  <c r="G43" i="103" s="1"/>
  <c r="G42" i="103"/>
  <c r="F42" i="103"/>
  <c r="E42" i="103"/>
  <c r="D42" i="103"/>
  <c r="C42" i="103"/>
  <c r="B42" i="103"/>
  <c r="F41" i="103"/>
  <c r="E41" i="103"/>
  <c r="D41" i="103"/>
  <c r="C41" i="103"/>
  <c r="B41" i="103"/>
  <c r="F40" i="103"/>
  <c r="E40" i="103"/>
  <c r="D40" i="103"/>
  <c r="C40" i="103"/>
  <c r="B40" i="103"/>
  <c r="G40" i="103" s="1"/>
  <c r="F39" i="103"/>
  <c r="E39" i="103"/>
  <c r="D39" i="103"/>
  <c r="C39" i="103"/>
  <c r="B39" i="103"/>
  <c r="F38" i="103"/>
  <c r="E38" i="103"/>
  <c r="D38" i="103"/>
  <c r="C38" i="103"/>
  <c r="B38" i="103"/>
  <c r="F37" i="103"/>
  <c r="E37" i="103"/>
  <c r="D37" i="103"/>
  <c r="C37" i="103"/>
  <c r="B37" i="103"/>
  <c r="G36" i="103"/>
  <c r="F36" i="103"/>
  <c r="E36" i="103"/>
  <c r="D36" i="103"/>
  <c r="C36" i="103"/>
  <c r="B36" i="103"/>
  <c r="F35" i="103"/>
  <c r="E35" i="103"/>
  <c r="D35" i="103"/>
  <c r="C35" i="103"/>
  <c r="B35" i="103"/>
  <c r="F34" i="103"/>
  <c r="E34" i="103"/>
  <c r="D34" i="103"/>
  <c r="C34" i="103"/>
  <c r="B34" i="103"/>
  <c r="G34" i="103" s="1"/>
  <c r="F33" i="103"/>
  <c r="E33" i="103"/>
  <c r="D33" i="103"/>
  <c r="G33" i="103" s="1"/>
  <c r="C33" i="103"/>
  <c r="B33" i="103"/>
  <c r="F32" i="103"/>
  <c r="E32" i="103"/>
  <c r="D32" i="103"/>
  <c r="C32" i="103"/>
  <c r="B32" i="103"/>
  <c r="F31" i="103"/>
  <c r="E31" i="103"/>
  <c r="D31" i="103"/>
  <c r="C31" i="103"/>
  <c r="B31" i="103"/>
  <c r="G31" i="103" s="1"/>
  <c r="G30" i="103"/>
  <c r="F30" i="103"/>
  <c r="E30" i="103"/>
  <c r="D30" i="103"/>
  <c r="C30" i="103"/>
  <c r="B30" i="103"/>
  <c r="F29" i="103"/>
  <c r="E29" i="103"/>
  <c r="D29" i="103"/>
  <c r="C29" i="103"/>
  <c r="B29" i="103"/>
  <c r="F28" i="103"/>
  <c r="E28" i="103"/>
  <c r="D28" i="103"/>
  <c r="C28" i="103"/>
  <c r="B28" i="103"/>
  <c r="F27" i="103"/>
  <c r="E27" i="103"/>
  <c r="G27" i="103" s="1"/>
  <c r="D27" i="103"/>
  <c r="C27" i="103"/>
  <c r="B27" i="103"/>
  <c r="F26" i="103"/>
  <c r="E26" i="103"/>
  <c r="D26" i="103"/>
  <c r="C26" i="103"/>
  <c r="B26" i="103"/>
  <c r="G26" i="103" s="1"/>
  <c r="F25" i="103"/>
  <c r="E25" i="103"/>
  <c r="D25" i="103"/>
  <c r="C25" i="103"/>
  <c r="B25" i="103"/>
  <c r="F24" i="103"/>
  <c r="G24" i="103" s="1"/>
  <c r="E24" i="103"/>
  <c r="D24" i="103"/>
  <c r="C24" i="103"/>
  <c r="B24" i="103"/>
  <c r="F23" i="103"/>
  <c r="E23" i="103"/>
  <c r="D23" i="103"/>
  <c r="C23" i="103"/>
  <c r="G23" i="103" s="1"/>
  <c r="B23" i="103"/>
  <c r="G22" i="103"/>
  <c r="F22" i="103"/>
  <c r="E22" i="103"/>
  <c r="D22" i="103"/>
  <c r="C22" i="103"/>
  <c r="B22" i="103"/>
  <c r="F21" i="103"/>
  <c r="E21" i="103"/>
  <c r="D21" i="103"/>
  <c r="C21" i="103"/>
  <c r="B21" i="103"/>
  <c r="F20" i="103"/>
  <c r="E20" i="103"/>
  <c r="G20" i="103" s="1"/>
  <c r="D20" i="103"/>
  <c r="C20" i="103"/>
  <c r="B20" i="103"/>
  <c r="F19" i="103"/>
  <c r="E19" i="103"/>
  <c r="D19" i="103"/>
  <c r="C19" i="103"/>
  <c r="B19" i="103"/>
  <c r="G19" i="103" s="1"/>
  <c r="F18" i="103"/>
  <c r="E18" i="103"/>
  <c r="D18" i="103"/>
  <c r="C18" i="103"/>
  <c r="B18" i="103"/>
  <c r="F17" i="103"/>
  <c r="E17" i="103"/>
  <c r="D17" i="103"/>
  <c r="C17" i="103"/>
  <c r="B17" i="103"/>
  <c r="G16" i="103"/>
  <c r="F16" i="103"/>
  <c r="E16" i="103"/>
  <c r="C16" i="103"/>
  <c r="B16" i="103"/>
  <c r="G15" i="103"/>
  <c r="F15" i="103"/>
  <c r="E15" i="103"/>
  <c r="D15" i="103"/>
  <c r="C15" i="103"/>
  <c r="B15" i="103"/>
  <c r="F14" i="103"/>
  <c r="E14" i="103"/>
  <c r="G14" i="103" s="1"/>
  <c r="D14" i="103"/>
  <c r="C14" i="103"/>
  <c r="B14" i="103"/>
  <c r="F13" i="103"/>
  <c r="E13" i="103"/>
  <c r="C13" i="103"/>
  <c r="B13" i="103"/>
  <c r="F12" i="103"/>
  <c r="G12" i="103" s="1"/>
  <c r="E12" i="103"/>
  <c r="D12" i="103"/>
  <c r="C12" i="103"/>
  <c r="B12" i="103"/>
  <c r="F11" i="103"/>
  <c r="E11" i="103"/>
  <c r="D11" i="103"/>
  <c r="C11" i="103"/>
  <c r="G11" i="103" s="1"/>
  <c r="B11" i="103"/>
  <c r="G10" i="103"/>
  <c r="F10" i="103"/>
  <c r="E10" i="103"/>
  <c r="D10" i="103"/>
  <c r="C10" i="103"/>
  <c r="B10" i="103"/>
  <c r="F9" i="103"/>
  <c r="E9" i="103"/>
  <c r="D9" i="103"/>
  <c r="C9" i="103"/>
  <c r="B9" i="103"/>
  <c r="F8" i="103"/>
  <c r="E8" i="103"/>
  <c r="G8" i="103" s="1"/>
  <c r="D8" i="103"/>
  <c r="C8" i="103"/>
  <c r="B8" i="103"/>
  <c r="F7" i="103"/>
  <c r="E7" i="103"/>
  <c r="D7" i="103"/>
  <c r="C7" i="103"/>
  <c r="B7" i="103"/>
  <c r="G7" i="103" s="1"/>
  <c r="F6" i="103"/>
  <c r="E6" i="103"/>
  <c r="D6" i="103"/>
  <c r="C6" i="103"/>
  <c r="B6" i="103"/>
  <c r="B61" i="103" s="1"/>
  <c r="F58" i="102"/>
  <c r="F58" i="107" s="1"/>
  <c r="E58" i="102"/>
  <c r="E58" i="107" s="1"/>
  <c r="D58" i="102"/>
  <c r="D58" i="107" s="1"/>
  <c r="C58" i="102"/>
  <c r="C58" i="107" s="1"/>
  <c r="B58" i="102"/>
  <c r="B58" i="107" s="1"/>
  <c r="F57" i="102"/>
  <c r="F57" i="107" s="1"/>
  <c r="E57" i="102"/>
  <c r="E57" i="107" s="1"/>
  <c r="D57" i="102"/>
  <c r="D57" i="107" s="1"/>
  <c r="C57" i="102"/>
  <c r="C57" i="107" s="1"/>
  <c r="B57" i="102"/>
  <c r="B57" i="107" s="1"/>
  <c r="F56" i="102"/>
  <c r="F56" i="107" s="1"/>
  <c r="E56" i="102"/>
  <c r="D56" i="102"/>
  <c r="C56" i="102"/>
  <c r="B56" i="102"/>
  <c r="B56" i="107" s="1"/>
  <c r="F55" i="102"/>
  <c r="F55" i="107" s="1"/>
  <c r="E55" i="102"/>
  <c r="E55" i="107" s="1"/>
  <c r="D55" i="102"/>
  <c r="D55" i="107" s="1"/>
  <c r="C55" i="102"/>
  <c r="C55" i="107" s="1"/>
  <c r="B55" i="102"/>
  <c r="G54" i="102"/>
  <c r="F54" i="102"/>
  <c r="E54" i="102"/>
  <c r="E54" i="107" s="1"/>
  <c r="D54" i="102"/>
  <c r="D54" i="107" s="1"/>
  <c r="C54" i="102"/>
  <c r="C54" i="107" s="1"/>
  <c r="B54" i="102"/>
  <c r="B54" i="107" s="1"/>
  <c r="F53" i="102"/>
  <c r="E53" i="102"/>
  <c r="D53" i="102"/>
  <c r="C53" i="102"/>
  <c r="B53" i="102"/>
  <c r="F52" i="102"/>
  <c r="F52" i="107" s="1"/>
  <c r="E52" i="102"/>
  <c r="E52" i="107" s="1"/>
  <c r="D52" i="102"/>
  <c r="D52" i="107" s="1"/>
  <c r="C52" i="102"/>
  <c r="C52" i="107" s="1"/>
  <c r="B52" i="102"/>
  <c r="G51" i="102"/>
  <c r="F51" i="102"/>
  <c r="E51" i="102"/>
  <c r="E51" i="107" s="1"/>
  <c r="D51" i="102"/>
  <c r="C51" i="102"/>
  <c r="C51" i="107" s="1"/>
  <c r="B51" i="102"/>
  <c r="B51" i="107" s="1"/>
  <c r="F50" i="102"/>
  <c r="F50" i="107" s="1"/>
  <c r="E50" i="102"/>
  <c r="D50" i="102"/>
  <c r="C50" i="102"/>
  <c r="C50" i="107" s="1"/>
  <c r="B50" i="102"/>
  <c r="F49" i="102"/>
  <c r="F49" i="107" s="1"/>
  <c r="E49" i="102"/>
  <c r="D49" i="102"/>
  <c r="D49" i="107" s="1"/>
  <c r="C49" i="102"/>
  <c r="C49" i="107" s="1"/>
  <c r="B49" i="102"/>
  <c r="B49" i="107" s="1"/>
  <c r="F48" i="102"/>
  <c r="F48" i="107" s="1"/>
  <c r="E48" i="102"/>
  <c r="E48" i="107" s="1"/>
  <c r="D48" i="102"/>
  <c r="D48" i="107" s="1"/>
  <c r="C48" i="102"/>
  <c r="C48" i="107" s="1"/>
  <c r="B48" i="102"/>
  <c r="F47" i="102"/>
  <c r="F47" i="107" s="1"/>
  <c r="E47" i="102"/>
  <c r="D47" i="102"/>
  <c r="C47" i="102"/>
  <c r="C47" i="107" s="1"/>
  <c r="B47" i="102"/>
  <c r="F46" i="102"/>
  <c r="F46" i="107" s="1"/>
  <c r="E46" i="102"/>
  <c r="E46" i="107" s="1"/>
  <c r="D46" i="102"/>
  <c r="C46" i="102"/>
  <c r="C46" i="107" s="1"/>
  <c r="B46" i="102"/>
  <c r="B46" i="107" s="1"/>
  <c r="F45" i="102"/>
  <c r="F45" i="107" s="1"/>
  <c r="E45" i="102"/>
  <c r="E45" i="107" s="1"/>
  <c r="D45" i="102"/>
  <c r="D45" i="107" s="1"/>
  <c r="C45" i="102"/>
  <c r="C45" i="107" s="1"/>
  <c r="B45" i="102"/>
  <c r="F44" i="102"/>
  <c r="F44" i="107" s="1"/>
  <c r="E44" i="102"/>
  <c r="D44" i="102"/>
  <c r="C44" i="102"/>
  <c r="C44" i="107" s="1"/>
  <c r="B44" i="102"/>
  <c r="B44" i="107" s="1"/>
  <c r="F43" i="102"/>
  <c r="F43" i="107" s="1"/>
  <c r="E43" i="102"/>
  <c r="E43" i="107" s="1"/>
  <c r="D43" i="102"/>
  <c r="D43" i="107" s="1"/>
  <c r="C43" i="102"/>
  <c r="B43" i="102"/>
  <c r="B43" i="107" s="1"/>
  <c r="F42" i="102"/>
  <c r="F42" i="107" s="1"/>
  <c r="E42" i="102"/>
  <c r="E42" i="107" s="1"/>
  <c r="D42" i="102"/>
  <c r="D42" i="107" s="1"/>
  <c r="C42" i="102"/>
  <c r="C42" i="107" s="1"/>
  <c r="B42" i="102"/>
  <c r="F41" i="102"/>
  <c r="F41" i="107" s="1"/>
  <c r="E41" i="102"/>
  <c r="D41" i="102"/>
  <c r="C41" i="102"/>
  <c r="B41" i="102"/>
  <c r="B41" i="107" s="1"/>
  <c r="F40" i="102"/>
  <c r="F40" i="107" s="1"/>
  <c r="E40" i="102"/>
  <c r="E40" i="107" s="1"/>
  <c r="D40" i="102"/>
  <c r="D40" i="107" s="1"/>
  <c r="C40" i="102"/>
  <c r="C40" i="107" s="1"/>
  <c r="B40" i="102"/>
  <c r="F39" i="102"/>
  <c r="E39" i="102"/>
  <c r="E39" i="107" s="1"/>
  <c r="D39" i="102"/>
  <c r="C39" i="102"/>
  <c r="C39" i="107" s="1"/>
  <c r="B39" i="102"/>
  <c r="B39" i="107" s="1"/>
  <c r="F38" i="102"/>
  <c r="F38" i="107" s="1"/>
  <c r="E38" i="102"/>
  <c r="D38" i="102"/>
  <c r="C38" i="102"/>
  <c r="C38" i="107" s="1"/>
  <c r="B38" i="102"/>
  <c r="B38" i="107" s="1"/>
  <c r="F37" i="102"/>
  <c r="F37" i="107" s="1"/>
  <c r="E37" i="102"/>
  <c r="E37" i="107" s="1"/>
  <c r="D37" i="102"/>
  <c r="D37" i="107" s="1"/>
  <c r="C37" i="102"/>
  <c r="C37" i="107" s="1"/>
  <c r="B37" i="102"/>
  <c r="F36" i="102"/>
  <c r="F36" i="107" s="1"/>
  <c r="E36" i="102"/>
  <c r="D36" i="102"/>
  <c r="D36" i="107" s="1"/>
  <c r="C36" i="102"/>
  <c r="C36" i="107" s="1"/>
  <c r="B36" i="102"/>
  <c r="B36" i="107" s="1"/>
  <c r="F35" i="102"/>
  <c r="F35" i="107" s="1"/>
  <c r="E35" i="102"/>
  <c r="D35" i="102"/>
  <c r="C35" i="102"/>
  <c r="C35" i="107" s="1"/>
  <c r="B35" i="102"/>
  <c r="F34" i="102"/>
  <c r="F34" i="107" s="1"/>
  <c r="E34" i="102"/>
  <c r="E34" i="107" s="1"/>
  <c r="D34" i="102"/>
  <c r="C34" i="102"/>
  <c r="C34" i="107" s="1"/>
  <c r="B34" i="102"/>
  <c r="G33" i="102"/>
  <c r="F33" i="102"/>
  <c r="F33" i="107" s="1"/>
  <c r="E33" i="102"/>
  <c r="E33" i="107" s="1"/>
  <c r="D33" i="102"/>
  <c r="D33" i="107" s="1"/>
  <c r="C33" i="102"/>
  <c r="C33" i="107" s="1"/>
  <c r="B33" i="102"/>
  <c r="B33" i="107" s="1"/>
  <c r="F32" i="102"/>
  <c r="F32" i="107" s="1"/>
  <c r="E32" i="102"/>
  <c r="D32" i="102"/>
  <c r="C32" i="102"/>
  <c r="C32" i="107" s="1"/>
  <c r="B32" i="102"/>
  <c r="F31" i="102"/>
  <c r="F31" i="107" s="1"/>
  <c r="E31" i="102"/>
  <c r="D31" i="102"/>
  <c r="D31" i="107" s="1"/>
  <c r="C31" i="102"/>
  <c r="C31" i="107" s="1"/>
  <c r="B31" i="102"/>
  <c r="B31" i="107" s="1"/>
  <c r="F30" i="102"/>
  <c r="F30" i="107" s="1"/>
  <c r="E30" i="102"/>
  <c r="E30" i="107" s="1"/>
  <c r="D30" i="102"/>
  <c r="D30" i="107" s="1"/>
  <c r="C30" i="102"/>
  <c r="C30" i="107" s="1"/>
  <c r="B30" i="102"/>
  <c r="F29" i="102"/>
  <c r="F29" i="107" s="1"/>
  <c r="E29" i="102"/>
  <c r="D29" i="102"/>
  <c r="C29" i="102"/>
  <c r="C29" i="107" s="1"/>
  <c r="B29" i="102"/>
  <c r="F28" i="102"/>
  <c r="F28" i="107" s="1"/>
  <c r="E28" i="102"/>
  <c r="E28" i="107" s="1"/>
  <c r="D28" i="102"/>
  <c r="D28" i="107" s="1"/>
  <c r="C28" i="102"/>
  <c r="B28" i="102"/>
  <c r="B28" i="107" s="1"/>
  <c r="F27" i="102"/>
  <c r="F27" i="107" s="1"/>
  <c r="E27" i="102"/>
  <c r="D27" i="102"/>
  <c r="D27" i="107" s="1"/>
  <c r="C27" i="102"/>
  <c r="B27" i="102"/>
  <c r="F26" i="102"/>
  <c r="F26" i="107" s="1"/>
  <c r="E26" i="102"/>
  <c r="D26" i="102"/>
  <c r="D26" i="107" s="1"/>
  <c r="C26" i="102"/>
  <c r="B26" i="102"/>
  <c r="F25" i="102"/>
  <c r="F25" i="107" s="1"/>
  <c r="E25" i="102"/>
  <c r="D25" i="102"/>
  <c r="D25" i="107" s="1"/>
  <c r="C25" i="102"/>
  <c r="B25" i="102"/>
  <c r="B25" i="107" s="1"/>
  <c r="F24" i="102"/>
  <c r="E24" i="102"/>
  <c r="E24" i="107" s="1"/>
  <c r="D24" i="102"/>
  <c r="D24" i="107" s="1"/>
  <c r="C24" i="102"/>
  <c r="C24" i="107" s="1"/>
  <c r="B24" i="102"/>
  <c r="G23" i="102"/>
  <c r="F23" i="102"/>
  <c r="E23" i="102"/>
  <c r="D23" i="102"/>
  <c r="C23" i="102"/>
  <c r="B23" i="102"/>
  <c r="B23" i="107" s="1"/>
  <c r="F22" i="102"/>
  <c r="F22" i="107" s="1"/>
  <c r="E22" i="102"/>
  <c r="E22" i="107" s="1"/>
  <c r="D22" i="102"/>
  <c r="D22" i="107" s="1"/>
  <c r="C22" i="102"/>
  <c r="C22" i="107" s="1"/>
  <c r="B22" i="102"/>
  <c r="F21" i="102"/>
  <c r="E21" i="102"/>
  <c r="E21" i="107" s="1"/>
  <c r="D21" i="102"/>
  <c r="C21" i="102"/>
  <c r="B21" i="102"/>
  <c r="G21" i="102" s="1"/>
  <c r="F20" i="102"/>
  <c r="F20" i="107" s="1"/>
  <c r="E20" i="102"/>
  <c r="D20" i="102"/>
  <c r="D20" i="107" s="1"/>
  <c r="C20" i="102"/>
  <c r="C20" i="107" s="1"/>
  <c r="B20" i="102"/>
  <c r="B20" i="107" s="1"/>
  <c r="F19" i="102"/>
  <c r="F19" i="107" s="1"/>
  <c r="E19" i="102"/>
  <c r="E19" i="107" s="1"/>
  <c r="D19" i="102"/>
  <c r="D19" i="107" s="1"/>
  <c r="C19" i="102"/>
  <c r="C19" i="107" s="1"/>
  <c r="B19" i="102"/>
  <c r="F18" i="102"/>
  <c r="F18" i="107" s="1"/>
  <c r="E18" i="102"/>
  <c r="D18" i="102"/>
  <c r="D18" i="107" s="1"/>
  <c r="C18" i="102"/>
  <c r="B18" i="102"/>
  <c r="B18" i="107" s="1"/>
  <c r="F17" i="102"/>
  <c r="F17" i="107" s="1"/>
  <c r="E17" i="102"/>
  <c r="D17" i="102"/>
  <c r="C17" i="102"/>
  <c r="C17" i="107" s="1"/>
  <c r="B17" i="102"/>
  <c r="F16" i="102"/>
  <c r="F16" i="107" s="1"/>
  <c r="E16" i="102"/>
  <c r="E16" i="107" s="1"/>
  <c r="D16" i="102"/>
  <c r="D16" i="107" s="1"/>
  <c r="C16" i="102"/>
  <c r="C16" i="107" s="1"/>
  <c r="B16" i="102"/>
  <c r="F15" i="102"/>
  <c r="F15" i="107" s="1"/>
  <c r="E15" i="102"/>
  <c r="E15" i="107" s="1"/>
  <c r="D15" i="102"/>
  <c r="D15" i="107" s="1"/>
  <c r="C15" i="102"/>
  <c r="C15" i="107" s="1"/>
  <c r="B15" i="102"/>
  <c r="B15" i="107" s="1"/>
  <c r="F14" i="102"/>
  <c r="F14" i="107" s="1"/>
  <c r="E14" i="102"/>
  <c r="D14" i="102"/>
  <c r="D14" i="107" s="1"/>
  <c r="C14" i="102"/>
  <c r="C14" i="107" s="1"/>
  <c r="B14" i="102"/>
  <c r="F13" i="102"/>
  <c r="F13" i="107" s="1"/>
  <c r="E13" i="102"/>
  <c r="E13" i="107" s="1"/>
  <c r="D13" i="102"/>
  <c r="C13" i="102"/>
  <c r="B13" i="102"/>
  <c r="F12" i="102"/>
  <c r="E12" i="102"/>
  <c r="E12" i="107" s="1"/>
  <c r="D12" i="102"/>
  <c r="D12" i="107" s="1"/>
  <c r="C12" i="102"/>
  <c r="C12" i="107" s="1"/>
  <c r="B12" i="102"/>
  <c r="F11" i="102"/>
  <c r="F11" i="107" s="1"/>
  <c r="E11" i="102"/>
  <c r="D11" i="102"/>
  <c r="D11" i="107" s="1"/>
  <c r="C11" i="102"/>
  <c r="C11" i="107" s="1"/>
  <c r="B11" i="102"/>
  <c r="F10" i="102"/>
  <c r="F10" i="107" s="1"/>
  <c r="E10" i="102"/>
  <c r="D10" i="102"/>
  <c r="D10" i="107" s="1"/>
  <c r="C10" i="102"/>
  <c r="B10" i="102"/>
  <c r="F9" i="102"/>
  <c r="F9" i="107" s="1"/>
  <c r="E9" i="102"/>
  <c r="E9" i="107" s="1"/>
  <c r="D9" i="102"/>
  <c r="C9" i="102"/>
  <c r="B9" i="102"/>
  <c r="F8" i="102"/>
  <c r="E8" i="102"/>
  <c r="E8" i="107" s="1"/>
  <c r="D8" i="102"/>
  <c r="D8" i="107" s="1"/>
  <c r="C8" i="102"/>
  <c r="C8" i="107" s="1"/>
  <c r="B8" i="102"/>
  <c r="F7" i="102"/>
  <c r="F7" i="107" s="1"/>
  <c r="E7" i="102"/>
  <c r="E7" i="107" s="1"/>
  <c r="D7" i="102"/>
  <c r="C7" i="102"/>
  <c r="C7" i="107" s="1"/>
  <c r="B7" i="102"/>
  <c r="B7" i="107" s="1"/>
  <c r="F6" i="102"/>
  <c r="E6" i="102"/>
  <c r="D6" i="102"/>
  <c r="C6" i="102"/>
  <c r="B6" i="102"/>
  <c r="N129" i="101"/>
  <c r="N127" i="101"/>
  <c r="AB125" i="101"/>
  <c r="AA125" i="101"/>
  <c r="Y125" i="101"/>
  <c r="X125" i="101"/>
  <c r="V125" i="101"/>
  <c r="U125" i="101"/>
  <c r="S125" i="101"/>
  <c r="R125" i="101"/>
  <c r="L125" i="101"/>
  <c r="K125" i="101"/>
  <c r="J125" i="101"/>
  <c r="I125" i="101"/>
  <c r="H125" i="101"/>
  <c r="AB124" i="101"/>
  <c r="AA124" i="101"/>
  <c r="Y124" i="101"/>
  <c r="X124" i="101"/>
  <c r="V124" i="101"/>
  <c r="U124" i="101"/>
  <c r="S124" i="101"/>
  <c r="R124" i="101"/>
  <c r="L124" i="101"/>
  <c r="K124" i="101"/>
  <c r="J124" i="101"/>
  <c r="I124" i="101"/>
  <c r="H124" i="101"/>
  <c r="AB123" i="101"/>
  <c r="AA123" i="101"/>
  <c r="Y123" i="101"/>
  <c r="X123" i="101"/>
  <c r="V123" i="101"/>
  <c r="U123" i="101"/>
  <c r="S123" i="101"/>
  <c r="R123" i="101"/>
  <c r="L123" i="101"/>
  <c r="K123" i="101"/>
  <c r="J123" i="101"/>
  <c r="I123" i="101"/>
  <c r="H123" i="101"/>
  <c r="AB122" i="101"/>
  <c r="AA122" i="101"/>
  <c r="Y122" i="101"/>
  <c r="X122" i="101"/>
  <c r="V122" i="101"/>
  <c r="U122" i="101"/>
  <c r="S122" i="101"/>
  <c r="R122" i="101"/>
  <c r="L122" i="101"/>
  <c r="K122" i="101"/>
  <c r="J122" i="101"/>
  <c r="I122" i="101"/>
  <c r="H122" i="101"/>
  <c r="AB121" i="101"/>
  <c r="AA121" i="101"/>
  <c r="Y121" i="101"/>
  <c r="X121" i="101"/>
  <c r="V121" i="101"/>
  <c r="U121" i="101"/>
  <c r="S121" i="101"/>
  <c r="R121" i="101"/>
  <c r="L121" i="101"/>
  <c r="K121" i="101"/>
  <c r="J121" i="101"/>
  <c r="I121" i="101"/>
  <c r="H121" i="101"/>
  <c r="AB120" i="101"/>
  <c r="AA120" i="101"/>
  <c r="Y120" i="101"/>
  <c r="X120" i="101"/>
  <c r="V120" i="101"/>
  <c r="U120" i="101"/>
  <c r="S120" i="101"/>
  <c r="R120" i="101"/>
  <c r="L120" i="101"/>
  <c r="K120" i="101"/>
  <c r="J120" i="101"/>
  <c r="I120" i="101"/>
  <c r="H120" i="101"/>
  <c r="AB119" i="101"/>
  <c r="AA119" i="101"/>
  <c r="Y119" i="101"/>
  <c r="X119" i="101"/>
  <c r="V119" i="101"/>
  <c r="U119" i="101"/>
  <c r="S119" i="101"/>
  <c r="R119" i="101"/>
  <c r="L119" i="101"/>
  <c r="K119" i="101"/>
  <c r="J119" i="101"/>
  <c r="I119" i="101"/>
  <c r="H119" i="101"/>
  <c r="AB118" i="101"/>
  <c r="AA118" i="101"/>
  <c r="Y118" i="101"/>
  <c r="X118" i="101"/>
  <c r="V118" i="101"/>
  <c r="U118" i="101"/>
  <c r="S118" i="101"/>
  <c r="R118" i="101"/>
  <c r="L118" i="101"/>
  <c r="K118" i="101"/>
  <c r="J118" i="101"/>
  <c r="I118" i="101"/>
  <c r="H118" i="101"/>
  <c r="N114" i="101"/>
  <c r="AB112" i="101"/>
  <c r="AA112" i="101"/>
  <c r="Y112" i="101"/>
  <c r="X112" i="101"/>
  <c r="V112" i="101"/>
  <c r="U112" i="101"/>
  <c r="S112" i="101"/>
  <c r="R112" i="101"/>
  <c r="L112" i="101"/>
  <c r="K112" i="101"/>
  <c r="J112" i="101"/>
  <c r="I112" i="101"/>
  <c r="H112" i="101"/>
  <c r="AB111" i="101"/>
  <c r="AA111" i="101"/>
  <c r="Y111" i="101"/>
  <c r="X111" i="101"/>
  <c r="V111" i="101"/>
  <c r="U111" i="101"/>
  <c r="S111" i="101"/>
  <c r="R111" i="101"/>
  <c r="L111" i="101"/>
  <c r="K111" i="101"/>
  <c r="J111" i="101"/>
  <c r="I111" i="101"/>
  <c r="H111" i="101"/>
  <c r="AB110" i="101"/>
  <c r="AA110" i="101"/>
  <c r="Y110" i="101"/>
  <c r="X110" i="101"/>
  <c r="V110" i="101"/>
  <c r="U110" i="101"/>
  <c r="S110" i="101"/>
  <c r="R110" i="101"/>
  <c r="L110" i="101"/>
  <c r="K110" i="101"/>
  <c r="J110" i="101"/>
  <c r="I110" i="101"/>
  <c r="H110" i="101"/>
  <c r="AB109" i="101"/>
  <c r="AA109" i="101"/>
  <c r="Y109" i="101"/>
  <c r="X109" i="101"/>
  <c r="V109" i="101"/>
  <c r="U109" i="101"/>
  <c r="S109" i="101"/>
  <c r="R109" i="101"/>
  <c r="L109" i="101"/>
  <c r="K109" i="101"/>
  <c r="J109" i="101"/>
  <c r="I109" i="101"/>
  <c r="H109" i="101"/>
  <c r="AB108" i="101"/>
  <c r="AA108" i="101"/>
  <c r="Y108" i="101"/>
  <c r="X108" i="101"/>
  <c r="V108" i="101"/>
  <c r="U108" i="101"/>
  <c r="S108" i="101"/>
  <c r="R108" i="101"/>
  <c r="L108" i="101"/>
  <c r="K108" i="101"/>
  <c r="J108" i="101"/>
  <c r="I108" i="101"/>
  <c r="H108" i="101"/>
  <c r="AB107" i="101"/>
  <c r="AA107" i="101"/>
  <c r="Y107" i="101"/>
  <c r="X107" i="101"/>
  <c r="V107" i="101"/>
  <c r="U107" i="101"/>
  <c r="S107" i="101"/>
  <c r="R107" i="101"/>
  <c r="L107" i="101"/>
  <c r="K107" i="101"/>
  <c r="J107" i="101"/>
  <c r="I107" i="101"/>
  <c r="H107" i="101"/>
  <c r="AB106" i="101"/>
  <c r="AA106" i="101"/>
  <c r="Y106" i="101"/>
  <c r="X106" i="101"/>
  <c r="V106" i="101"/>
  <c r="U106" i="101"/>
  <c r="S106" i="101"/>
  <c r="R106" i="101"/>
  <c r="L106" i="101"/>
  <c r="K106" i="101"/>
  <c r="J106" i="101"/>
  <c r="I106" i="101"/>
  <c r="H106" i="101"/>
  <c r="AB105" i="101"/>
  <c r="AA105" i="101"/>
  <c r="Y105" i="101"/>
  <c r="X105" i="101"/>
  <c r="V105" i="101"/>
  <c r="U105" i="101"/>
  <c r="S105" i="101"/>
  <c r="R105" i="101"/>
  <c r="L105" i="101"/>
  <c r="K105" i="101"/>
  <c r="J105" i="101"/>
  <c r="I105" i="101"/>
  <c r="H105" i="101"/>
  <c r="AB104" i="101"/>
  <c r="AA104" i="101"/>
  <c r="Y104" i="101"/>
  <c r="X104" i="101"/>
  <c r="V104" i="101"/>
  <c r="U104" i="101"/>
  <c r="S104" i="101"/>
  <c r="R104" i="101"/>
  <c r="L104" i="101"/>
  <c r="K104" i="101"/>
  <c r="J104" i="101"/>
  <c r="I104" i="101"/>
  <c r="H104" i="101"/>
  <c r="AB103" i="101"/>
  <c r="AA103" i="101"/>
  <c r="Y103" i="101"/>
  <c r="X103" i="101"/>
  <c r="V103" i="101"/>
  <c r="U103" i="101"/>
  <c r="S103" i="101"/>
  <c r="R103" i="101"/>
  <c r="L103" i="101"/>
  <c r="K103" i="101"/>
  <c r="J103" i="101"/>
  <c r="I103" i="101"/>
  <c r="H103" i="101"/>
  <c r="AB102" i="101"/>
  <c r="AA102" i="101"/>
  <c r="Y102" i="101"/>
  <c r="X102" i="101"/>
  <c r="V102" i="101"/>
  <c r="U102" i="101"/>
  <c r="S102" i="101"/>
  <c r="R102" i="101"/>
  <c r="L102" i="101"/>
  <c r="K102" i="101"/>
  <c r="J102" i="101"/>
  <c r="I102" i="101"/>
  <c r="H102" i="101"/>
  <c r="AB101" i="101"/>
  <c r="AA101" i="101"/>
  <c r="Y101" i="101"/>
  <c r="X101" i="101"/>
  <c r="V101" i="101"/>
  <c r="U101" i="101"/>
  <c r="S101" i="101"/>
  <c r="R101" i="101"/>
  <c r="L101" i="101"/>
  <c r="K101" i="101"/>
  <c r="J101" i="101"/>
  <c r="I101" i="101"/>
  <c r="H101" i="101"/>
  <c r="AB100" i="101"/>
  <c r="AA100" i="101"/>
  <c r="Y100" i="101"/>
  <c r="X100" i="101"/>
  <c r="V100" i="101"/>
  <c r="U100" i="101"/>
  <c r="S100" i="101"/>
  <c r="R100" i="101"/>
  <c r="L100" i="101"/>
  <c r="K100" i="101"/>
  <c r="J100" i="101"/>
  <c r="I100" i="101"/>
  <c r="H100" i="101"/>
  <c r="AB99" i="101"/>
  <c r="AA99" i="101"/>
  <c r="Y99" i="101"/>
  <c r="X99" i="101"/>
  <c r="V99" i="101"/>
  <c r="U99" i="101"/>
  <c r="S99" i="101"/>
  <c r="R99" i="101"/>
  <c r="L99" i="101"/>
  <c r="K99" i="101"/>
  <c r="J99" i="101"/>
  <c r="I99" i="101"/>
  <c r="H99" i="101"/>
  <c r="AB98" i="101"/>
  <c r="AA98" i="101"/>
  <c r="Y98" i="101"/>
  <c r="X98" i="101"/>
  <c r="V98" i="101"/>
  <c r="U98" i="101"/>
  <c r="S98" i="101"/>
  <c r="R98" i="101"/>
  <c r="L98" i="101"/>
  <c r="K98" i="101"/>
  <c r="J98" i="101"/>
  <c r="I98" i="101"/>
  <c r="H98" i="101"/>
  <c r="AB97" i="101"/>
  <c r="AA97" i="101"/>
  <c r="Y97" i="101"/>
  <c r="X97" i="101"/>
  <c r="V97" i="101"/>
  <c r="U97" i="101"/>
  <c r="S97" i="101"/>
  <c r="R97" i="101"/>
  <c r="L97" i="101"/>
  <c r="K97" i="101"/>
  <c r="J97" i="101"/>
  <c r="I97" i="101"/>
  <c r="H97" i="101"/>
  <c r="AB96" i="101"/>
  <c r="AA96" i="101"/>
  <c r="Y96" i="101"/>
  <c r="X96" i="101"/>
  <c r="V96" i="101"/>
  <c r="U96" i="101"/>
  <c r="S96" i="101"/>
  <c r="R96" i="101"/>
  <c r="L96" i="101"/>
  <c r="K96" i="101"/>
  <c r="J96" i="101"/>
  <c r="I96" i="101"/>
  <c r="H96" i="101"/>
  <c r="AB95" i="101"/>
  <c r="AA95" i="101"/>
  <c r="Y95" i="101"/>
  <c r="X95" i="101"/>
  <c r="V95" i="101"/>
  <c r="U95" i="101"/>
  <c r="S95" i="101"/>
  <c r="R95" i="101"/>
  <c r="L95" i="101"/>
  <c r="K95" i="101"/>
  <c r="J95" i="101"/>
  <c r="I95" i="101"/>
  <c r="H95" i="101"/>
  <c r="AB94" i="101"/>
  <c r="AA94" i="101"/>
  <c r="Y94" i="101"/>
  <c r="X94" i="101"/>
  <c r="V94" i="101"/>
  <c r="U94" i="101"/>
  <c r="S94" i="101"/>
  <c r="R94" i="101"/>
  <c r="L94" i="101"/>
  <c r="K94" i="101"/>
  <c r="J94" i="101"/>
  <c r="I94" i="101"/>
  <c r="H94" i="101"/>
  <c r="AB93" i="101"/>
  <c r="AA93" i="101"/>
  <c r="Y93" i="101"/>
  <c r="X93" i="101"/>
  <c r="V93" i="101"/>
  <c r="U93" i="101"/>
  <c r="S93" i="101"/>
  <c r="R93" i="101"/>
  <c r="L93" i="101"/>
  <c r="K93" i="101"/>
  <c r="J93" i="101"/>
  <c r="I93" i="101"/>
  <c r="H93" i="101"/>
  <c r="AB92" i="101"/>
  <c r="AA92" i="101"/>
  <c r="Y92" i="101"/>
  <c r="X92" i="101"/>
  <c r="V92" i="101"/>
  <c r="U92" i="101"/>
  <c r="S92" i="101"/>
  <c r="R92" i="101"/>
  <c r="L92" i="101"/>
  <c r="K92" i="101"/>
  <c r="J92" i="101"/>
  <c r="I92" i="101"/>
  <c r="H92" i="101"/>
  <c r="AB91" i="101"/>
  <c r="AA91" i="101"/>
  <c r="Y91" i="101"/>
  <c r="X91" i="101"/>
  <c r="V91" i="101"/>
  <c r="U91" i="101"/>
  <c r="S91" i="101"/>
  <c r="R91" i="101"/>
  <c r="L91" i="101"/>
  <c r="K91" i="101"/>
  <c r="J91" i="101"/>
  <c r="I91" i="101"/>
  <c r="H91" i="101"/>
  <c r="AB90" i="101"/>
  <c r="AA90" i="101"/>
  <c r="Y90" i="101"/>
  <c r="X90" i="101"/>
  <c r="V90" i="101"/>
  <c r="U90" i="101"/>
  <c r="S90" i="101"/>
  <c r="R90" i="101"/>
  <c r="L90" i="101"/>
  <c r="K90" i="101"/>
  <c r="J90" i="101"/>
  <c r="I90" i="101"/>
  <c r="H90" i="101"/>
  <c r="AB89" i="101"/>
  <c r="AA89" i="101"/>
  <c r="Y89" i="101"/>
  <c r="X89" i="101"/>
  <c r="V89" i="101"/>
  <c r="U89" i="101"/>
  <c r="S89" i="101"/>
  <c r="R89" i="101"/>
  <c r="L89" i="101"/>
  <c r="K89" i="101"/>
  <c r="J89" i="101"/>
  <c r="I89" i="101"/>
  <c r="H89" i="101"/>
  <c r="AB88" i="101"/>
  <c r="AA88" i="101"/>
  <c r="Y88" i="101"/>
  <c r="X88" i="101"/>
  <c r="V88" i="101"/>
  <c r="U88" i="101"/>
  <c r="S88" i="101"/>
  <c r="R88" i="101"/>
  <c r="L88" i="101"/>
  <c r="K88" i="101"/>
  <c r="J88" i="101"/>
  <c r="I88" i="101"/>
  <c r="H88" i="101"/>
  <c r="AB87" i="101"/>
  <c r="AA87" i="101"/>
  <c r="Y87" i="101"/>
  <c r="X87" i="101"/>
  <c r="V87" i="101"/>
  <c r="U87" i="101"/>
  <c r="S87" i="101"/>
  <c r="R87" i="101"/>
  <c r="L87" i="101"/>
  <c r="K87" i="101"/>
  <c r="J87" i="101"/>
  <c r="I87" i="101"/>
  <c r="H87" i="101"/>
  <c r="AB86" i="101"/>
  <c r="AA86" i="101"/>
  <c r="Y86" i="101"/>
  <c r="X86" i="101"/>
  <c r="V86" i="101"/>
  <c r="U86" i="101"/>
  <c r="S86" i="101"/>
  <c r="R86" i="101"/>
  <c r="L86" i="101"/>
  <c r="K86" i="101"/>
  <c r="J86" i="101"/>
  <c r="I86" i="101"/>
  <c r="H86" i="101"/>
  <c r="AB85" i="101"/>
  <c r="AA85" i="101"/>
  <c r="Y85" i="101"/>
  <c r="X85" i="101"/>
  <c r="V85" i="101"/>
  <c r="U85" i="101"/>
  <c r="S85" i="101"/>
  <c r="R85" i="101"/>
  <c r="L85" i="101"/>
  <c r="K85" i="101"/>
  <c r="J85" i="101"/>
  <c r="I85" i="101"/>
  <c r="H85" i="101"/>
  <c r="AB84" i="101"/>
  <c r="AA84" i="101"/>
  <c r="Y84" i="101"/>
  <c r="X84" i="101"/>
  <c r="V84" i="101"/>
  <c r="U84" i="101"/>
  <c r="S84" i="101"/>
  <c r="R84" i="101"/>
  <c r="L84" i="101"/>
  <c r="K84" i="101"/>
  <c r="J84" i="101"/>
  <c r="I84" i="101"/>
  <c r="H84" i="101"/>
  <c r="AB83" i="101"/>
  <c r="AA83" i="101"/>
  <c r="Y83" i="101"/>
  <c r="X83" i="101"/>
  <c r="V83" i="101"/>
  <c r="U83" i="101"/>
  <c r="S83" i="101"/>
  <c r="R83" i="101"/>
  <c r="L83" i="101"/>
  <c r="K83" i="101"/>
  <c r="J83" i="101"/>
  <c r="I83" i="101"/>
  <c r="H83" i="101"/>
  <c r="AB82" i="101"/>
  <c r="AA82" i="101"/>
  <c r="Y82" i="101"/>
  <c r="X82" i="101"/>
  <c r="V82" i="101"/>
  <c r="U82" i="101"/>
  <c r="S82" i="101"/>
  <c r="R82" i="101"/>
  <c r="L82" i="101"/>
  <c r="K82" i="101"/>
  <c r="J82" i="101"/>
  <c r="I82" i="101"/>
  <c r="H82" i="101"/>
  <c r="AB81" i="101"/>
  <c r="AA81" i="101"/>
  <c r="Y81" i="101"/>
  <c r="X81" i="101"/>
  <c r="V81" i="101"/>
  <c r="U81" i="101"/>
  <c r="S81" i="101"/>
  <c r="R81" i="101"/>
  <c r="L81" i="101"/>
  <c r="K81" i="101"/>
  <c r="J81" i="101"/>
  <c r="I81" i="101"/>
  <c r="H81" i="101"/>
  <c r="AB80" i="101"/>
  <c r="AA80" i="101"/>
  <c r="Y80" i="101"/>
  <c r="X80" i="101"/>
  <c r="V80" i="101"/>
  <c r="U80" i="101"/>
  <c r="S80" i="101"/>
  <c r="R80" i="101"/>
  <c r="L80" i="101"/>
  <c r="K80" i="101"/>
  <c r="J80" i="101"/>
  <c r="I80" i="101"/>
  <c r="H80" i="101"/>
  <c r="AB79" i="101"/>
  <c r="AA79" i="101"/>
  <c r="Y79" i="101"/>
  <c r="X79" i="101"/>
  <c r="V79" i="101"/>
  <c r="U79" i="101"/>
  <c r="S79" i="101"/>
  <c r="R79" i="101"/>
  <c r="L79" i="101"/>
  <c r="K79" i="101"/>
  <c r="J79" i="101"/>
  <c r="I79" i="101"/>
  <c r="H79" i="101"/>
  <c r="AB78" i="101"/>
  <c r="AA78" i="101"/>
  <c r="Y78" i="101"/>
  <c r="X78" i="101"/>
  <c r="V78" i="101"/>
  <c r="U78" i="101"/>
  <c r="S78" i="101"/>
  <c r="R78" i="101"/>
  <c r="L78" i="101"/>
  <c r="K78" i="101"/>
  <c r="J78" i="101"/>
  <c r="I78" i="101"/>
  <c r="H78" i="101"/>
  <c r="AB77" i="101"/>
  <c r="AA77" i="101"/>
  <c r="Y77" i="101"/>
  <c r="X77" i="101"/>
  <c r="V77" i="101"/>
  <c r="U77" i="101"/>
  <c r="S77" i="101"/>
  <c r="R77" i="101"/>
  <c r="L77" i="101"/>
  <c r="K77" i="101"/>
  <c r="J77" i="101"/>
  <c r="I77" i="101"/>
  <c r="H77" i="101"/>
  <c r="AB76" i="101"/>
  <c r="AA76" i="101"/>
  <c r="Y76" i="101"/>
  <c r="X76" i="101"/>
  <c r="V76" i="101"/>
  <c r="U76" i="101"/>
  <c r="S76" i="101"/>
  <c r="R76" i="101"/>
  <c r="L76" i="101"/>
  <c r="K76" i="101"/>
  <c r="J76" i="101"/>
  <c r="I76" i="101"/>
  <c r="H76" i="101"/>
  <c r="AB75" i="101"/>
  <c r="AA75" i="101"/>
  <c r="Y75" i="101"/>
  <c r="X75" i="101"/>
  <c r="V75" i="101"/>
  <c r="U75" i="101"/>
  <c r="S75" i="101"/>
  <c r="R75" i="101"/>
  <c r="L75" i="101"/>
  <c r="K75" i="101"/>
  <c r="J75" i="101"/>
  <c r="I75" i="101"/>
  <c r="H75" i="101"/>
  <c r="AB74" i="101"/>
  <c r="AA74" i="101"/>
  <c r="Y74" i="101"/>
  <c r="X74" i="101"/>
  <c r="V74" i="101"/>
  <c r="U74" i="101"/>
  <c r="S74" i="101"/>
  <c r="R74" i="101"/>
  <c r="L74" i="101"/>
  <c r="K74" i="101"/>
  <c r="J74" i="101"/>
  <c r="I74" i="101"/>
  <c r="H74" i="101"/>
  <c r="AB73" i="101"/>
  <c r="AA73" i="101"/>
  <c r="Y73" i="101"/>
  <c r="X73" i="101"/>
  <c r="V73" i="101"/>
  <c r="U73" i="101"/>
  <c r="S73" i="101"/>
  <c r="R73" i="101"/>
  <c r="L73" i="101"/>
  <c r="K73" i="101"/>
  <c r="J73" i="101"/>
  <c r="I73" i="101"/>
  <c r="H73" i="101"/>
  <c r="AB72" i="101"/>
  <c r="AA72" i="101"/>
  <c r="Y72" i="101"/>
  <c r="X72" i="101"/>
  <c r="V72" i="101"/>
  <c r="U72" i="101"/>
  <c r="S72" i="101"/>
  <c r="R72" i="101"/>
  <c r="L72" i="101"/>
  <c r="K72" i="101"/>
  <c r="J72" i="101"/>
  <c r="I72" i="101"/>
  <c r="H72" i="101"/>
  <c r="AB71" i="101"/>
  <c r="AA71" i="101"/>
  <c r="Y71" i="101"/>
  <c r="X71" i="101"/>
  <c r="V71" i="101"/>
  <c r="U71" i="101"/>
  <c r="S71" i="101"/>
  <c r="R71" i="101"/>
  <c r="L71" i="101"/>
  <c r="K71" i="101"/>
  <c r="J71" i="101"/>
  <c r="I71" i="101"/>
  <c r="H71" i="101"/>
  <c r="AB70" i="101"/>
  <c r="AA70" i="101"/>
  <c r="Y70" i="101"/>
  <c r="X70" i="101"/>
  <c r="V70" i="101"/>
  <c r="U70" i="101"/>
  <c r="S70" i="101"/>
  <c r="R70" i="101"/>
  <c r="L70" i="101"/>
  <c r="K70" i="101"/>
  <c r="J70" i="101"/>
  <c r="I70" i="101"/>
  <c r="H70" i="101"/>
  <c r="AB69" i="101"/>
  <c r="AA69" i="101"/>
  <c r="Y69" i="101"/>
  <c r="X69" i="101"/>
  <c r="V69" i="101"/>
  <c r="U69" i="101"/>
  <c r="S69" i="101"/>
  <c r="R69" i="101"/>
  <c r="L69" i="101"/>
  <c r="K69" i="101"/>
  <c r="J69" i="101"/>
  <c r="I69" i="101"/>
  <c r="H69" i="101"/>
  <c r="AB68" i="101"/>
  <c r="AA68" i="101"/>
  <c r="Y68" i="101"/>
  <c r="X68" i="101"/>
  <c r="V68" i="101"/>
  <c r="U68" i="101"/>
  <c r="S68" i="101"/>
  <c r="R68" i="101"/>
  <c r="L68" i="101"/>
  <c r="K68" i="101"/>
  <c r="J68" i="101"/>
  <c r="I68" i="101"/>
  <c r="H68" i="101"/>
  <c r="AB67" i="101"/>
  <c r="AA67" i="101"/>
  <c r="Y67" i="101"/>
  <c r="X67" i="101"/>
  <c r="V67" i="101"/>
  <c r="U67" i="101"/>
  <c r="S67" i="101"/>
  <c r="R67" i="101"/>
  <c r="L67" i="101"/>
  <c r="K67" i="101"/>
  <c r="J67" i="101"/>
  <c r="I67" i="101"/>
  <c r="H67" i="101"/>
  <c r="AB66" i="101"/>
  <c r="AA66" i="101"/>
  <c r="Y66" i="101"/>
  <c r="X66" i="101"/>
  <c r="V66" i="101"/>
  <c r="U66" i="101"/>
  <c r="S66" i="101"/>
  <c r="R66" i="101"/>
  <c r="L66" i="101"/>
  <c r="K66" i="101"/>
  <c r="J66" i="101"/>
  <c r="I66" i="101"/>
  <c r="H66" i="101"/>
  <c r="AB65" i="101"/>
  <c r="AA65" i="101"/>
  <c r="Y65" i="101"/>
  <c r="X65" i="101"/>
  <c r="V65" i="101"/>
  <c r="U65" i="101"/>
  <c r="S65" i="101"/>
  <c r="R65" i="101"/>
  <c r="L65" i="101"/>
  <c r="K65" i="101"/>
  <c r="J65" i="101"/>
  <c r="I65" i="101"/>
  <c r="H65" i="101"/>
  <c r="AB64" i="101"/>
  <c r="AA64" i="101"/>
  <c r="Y64" i="101"/>
  <c r="X64" i="101"/>
  <c r="V64" i="101"/>
  <c r="U64" i="101"/>
  <c r="S64" i="101"/>
  <c r="R64" i="101"/>
  <c r="L64" i="101"/>
  <c r="K64" i="101"/>
  <c r="J64" i="101"/>
  <c r="I64" i="101"/>
  <c r="H64" i="101"/>
  <c r="AB63" i="101"/>
  <c r="AA63" i="101"/>
  <c r="Y63" i="101"/>
  <c r="X63" i="101"/>
  <c r="V63" i="101"/>
  <c r="U63" i="101"/>
  <c r="S63" i="101"/>
  <c r="R63" i="101"/>
  <c r="L63" i="101"/>
  <c r="K63" i="101"/>
  <c r="J63" i="101"/>
  <c r="I63" i="101"/>
  <c r="H63" i="101"/>
  <c r="AB62" i="101"/>
  <c r="AA62" i="101"/>
  <c r="Y62" i="101"/>
  <c r="X62" i="101"/>
  <c r="V62" i="101"/>
  <c r="U62" i="101"/>
  <c r="S62" i="101"/>
  <c r="R62" i="101"/>
  <c r="L62" i="101"/>
  <c r="K62" i="101"/>
  <c r="J62" i="101"/>
  <c r="I62" i="101"/>
  <c r="H62" i="101"/>
  <c r="AB61" i="101"/>
  <c r="AA61" i="101"/>
  <c r="Y61" i="101"/>
  <c r="X61" i="101"/>
  <c r="V61" i="101"/>
  <c r="U61" i="101"/>
  <c r="S61" i="101"/>
  <c r="R61" i="101"/>
  <c r="L61" i="101"/>
  <c r="K61" i="101"/>
  <c r="J61" i="101"/>
  <c r="I61" i="101"/>
  <c r="H61" i="101"/>
  <c r="AB60" i="101"/>
  <c r="AA60" i="101"/>
  <c r="Y60" i="101"/>
  <c r="X60" i="101"/>
  <c r="V60" i="101"/>
  <c r="U60" i="101"/>
  <c r="S60" i="101"/>
  <c r="R60" i="101"/>
  <c r="L60" i="101"/>
  <c r="K60" i="101"/>
  <c r="J60" i="101"/>
  <c r="I60" i="101"/>
  <c r="H60" i="101"/>
  <c r="AB59" i="101"/>
  <c r="AA59" i="101"/>
  <c r="Y59" i="101"/>
  <c r="X59" i="101"/>
  <c r="V59" i="101"/>
  <c r="U59" i="101"/>
  <c r="S59" i="101"/>
  <c r="R59" i="101"/>
  <c r="L59" i="101"/>
  <c r="K59" i="101"/>
  <c r="J59" i="101"/>
  <c r="I59" i="101"/>
  <c r="H59" i="101"/>
  <c r="AB58" i="101"/>
  <c r="AA58" i="101"/>
  <c r="Y58" i="101"/>
  <c r="X58" i="101"/>
  <c r="V58" i="101"/>
  <c r="U58" i="101"/>
  <c r="S58" i="101"/>
  <c r="R58" i="101"/>
  <c r="L58" i="101"/>
  <c r="K58" i="101"/>
  <c r="J58" i="101"/>
  <c r="I58" i="101"/>
  <c r="H58" i="101"/>
  <c r="AB57" i="101"/>
  <c r="AA57" i="101"/>
  <c r="Y57" i="101"/>
  <c r="X57" i="101"/>
  <c r="V57" i="101"/>
  <c r="U57" i="101"/>
  <c r="S57" i="101"/>
  <c r="R57" i="101"/>
  <c r="L57" i="101"/>
  <c r="K57" i="101"/>
  <c r="J57" i="101"/>
  <c r="I57" i="101"/>
  <c r="H57" i="101"/>
  <c r="AB56" i="101"/>
  <c r="AA56" i="101"/>
  <c r="Y56" i="101"/>
  <c r="X56" i="101"/>
  <c r="V56" i="101"/>
  <c r="U56" i="101"/>
  <c r="S56" i="101"/>
  <c r="R56" i="101"/>
  <c r="L56" i="101"/>
  <c r="K56" i="101"/>
  <c r="J56" i="101"/>
  <c r="I56" i="101"/>
  <c r="H56" i="101"/>
  <c r="AB55" i="101"/>
  <c r="AA55" i="101"/>
  <c r="Y55" i="101"/>
  <c r="X55" i="101"/>
  <c r="V55" i="101"/>
  <c r="U55" i="101"/>
  <c r="S55" i="101"/>
  <c r="R55" i="101"/>
  <c r="L55" i="101"/>
  <c r="K55" i="101"/>
  <c r="J55" i="101"/>
  <c r="I55" i="101"/>
  <c r="H55" i="101"/>
  <c r="AB54" i="101"/>
  <c r="AA54" i="101"/>
  <c r="Y54" i="101"/>
  <c r="X54" i="101"/>
  <c r="V54" i="101"/>
  <c r="U54" i="101"/>
  <c r="S54" i="101"/>
  <c r="R54" i="101"/>
  <c r="L54" i="101"/>
  <c r="K54" i="101"/>
  <c r="J54" i="101"/>
  <c r="I54" i="101"/>
  <c r="H54" i="101"/>
  <c r="N50" i="101"/>
  <c r="AB48" i="101"/>
  <c r="AA48" i="101"/>
  <c r="Y48" i="101"/>
  <c r="X48" i="101"/>
  <c r="V48" i="101"/>
  <c r="U48" i="101"/>
  <c r="S48" i="101"/>
  <c r="R48" i="101"/>
  <c r="L48" i="101"/>
  <c r="K48" i="101"/>
  <c r="J48" i="101"/>
  <c r="I48" i="101"/>
  <c r="H48" i="101"/>
  <c r="AB47" i="101"/>
  <c r="AA47" i="101"/>
  <c r="Y47" i="101"/>
  <c r="X47" i="101"/>
  <c r="V47" i="101"/>
  <c r="U47" i="101"/>
  <c r="S47" i="101"/>
  <c r="R47" i="101"/>
  <c r="L47" i="101"/>
  <c r="K47" i="101"/>
  <c r="J47" i="101"/>
  <c r="I47" i="101"/>
  <c r="H47" i="101"/>
  <c r="AB46" i="101"/>
  <c r="AA46" i="101"/>
  <c r="Y46" i="101"/>
  <c r="X46" i="101"/>
  <c r="V46" i="101"/>
  <c r="U46" i="101"/>
  <c r="S46" i="101"/>
  <c r="R46" i="101"/>
  <c r="L46" i="101"/>
  <c r="K46" i="101"/>
  <c r="J46" i="101"/>
  <c r="I46" i="101"/>
  <c r="H46" i="101"/>
  <c r="AB45" i="101"/>
  <c r="AA45" i="101"/>
  <c r="Y45" i="101"/>
  <c r="X45" i="101"/>
  <c r="V45" i="101"/>
  <c r="U45" i="101"/>
  <c r="S45" i="101"/>
  <c r="R45" i="101"/>
  <c r="L45" i="101"/>
  <c r="K45" i="101"/>
  <c r="J45" i="101"/>
  <c r="I45" i="101"/>
  <c r="H45" i="101"/>
  <c r="AB44" i="101"/>
  <c r="AA44" i="101"/>
  <c r="Y44" i="101"/>
  <c r="X44" i="101"/>
  <c r="V44" i="101"/>
  <c r="U44" i="101"/>
  <c r="S44" i="101"/>
  <c r="R44" i="101"/>
  <c r="L44" i="101"/>
  <c r="K44" i="101"/>
  <c r="J44" i="101"/>
  <c r="I44" i="101"/>
  <c r="H44" i="101"/>
  <c r="AB43" i="101"/>
  <c r="AA43" i="101"/>
  <c r="Y43" i="101"/>
  <c r="X43" i="101"/>
  <c r="V43" i="101"/>
  <c r="U43" i="101"/>
  <c r="S43" i="101"/>
  <c r="R43" i="101"/>
  <c r="L43" i="101"/>
  <c r="K43" i="101"/>
  <c r="J43" i="101"/>
  <c r="I43" i="101"/>
  <c r="H43" i="101"/>
  <c r="AB42" i="101"/>
  <c r="AA42" i="101"/>
  <c r="Y42" i="101"/>
  <c r="X42" i="101"/>
  <c r="V42" i="101"/>
  <c r="U42" i="101"/>
  <c r="S42" i="101"/>
  <c r="R42" i="101"/>
  <c r="L42" i="101"/>
  <c r="K42" i="101"/>
  <c r="J42" i="101"/>
  <c r="I42" i="101"/>
  <c r="H42" i="101"/>
  <c r="AB41" i="101"/>
  <c r="AA41" i="101"/>
  <c r="Y41" i="101"/>
  <c r="X41" i="101"/>
  <c r="V41" i="101"/>
  <c r="U41" i="101"/>
  <c r="S41" i="101"/>
  <c r="R41" i="101"/>
  <c r="L41" i="101"/>
  <c r="K41" i="101"/>
  <c r="J41" i="101"/>
  <c r="I41" i="101"/>
  <c r="H41" i="101"/>
  <c r="AB40" i="101"/>
  <c r="AA40" i="101"/>
  <c r="Y40" i="101"/>
  <c r="X40" i="101"/>
  <c r="V40" i="101"/>
  <c r="U40" i="101"/>
  <c r="S40" i="101"/>
  <c r="R40" i="101"/>
  <c r="L40" i="101"/>
  <c r="K40" i="101"/>
  <c r="J40" i="101"/>
  <c r="I40" i="101"/>
  <c r="H40" i="101"/>
  <c r="AB39" i="101"/>
  <c r="AA39" i="101"/>
  <c r="Y39" i="101"/>
  <c r="X39" i="101"/>
  <c r="V39" i="101"/>
  <c r="U39" i="101"/>
  <c r="S39" i="101"/>
  <c r="R39" i="101"/>
  <c r="L39" i="101"/>
  <c r="K39" i="101"/>
  <c r="J39" i="101"/>
  <c r="I39" i="101"/>
  <c r="H39" i="101"/>
  <c r="AB38" i="101"/>
  <c r="AA38" i="101"/>
  <c r="Y38" i="101"/>
  <c r="X38" i="101"/>
  <c r="V38" i="101"/>
  <c r="U38" i="101"/>
  <c r="S38" i="101"/>
  <c r="R38" i="101"/>
  <c r="L38" i="101"/>
  <c r="K38" i="101"/>
  <c r="J38" i="101"/>
  <c r="I38" i="101"/>
  <c r="H38" i="101"/>
  <c r="AB37" i="101"/>
  <c r="AA37" i="101"/>
  <c r="Y37" i="101"/>
  <c r="X37" i="101"/>
  <c r="V37" i="101"/>
  <c r="U37" i="101"/>
  <c r="S37" i="101"/>
  <c r="R37" i="101"/>
  <c r="L37" i="101"/>
  <c r="K37" i="101"/>
  <c r="J37" i="101"/>
  <c r="I37" i="101"/>
  <c r="H37" i="101"/>
  <c r="AB36" i="101"/>
  <c r="AA36" i="101"/>
  <c r="Y36" i="101"/>
  <c r="X36" i="101"/>
  <c r="V36" i="101"/>
  <c r="U36" i="101"/>
  <c r="S36" i="101"/>
  <c r="R36" i="101"/>
  <c r="L36" i="101"/>
  <c r="K36" i="101"/>
  <c r="J36" i="101"/>
  <c r="I36" i="101"/>
  <c r="H36" i="101"/>
  <c r="AB35" i="101"/>
  <c r="AA35" i="101"/>
  <c r="Y35" i="101"/>
  <c r="X35" i="101"/>
  <c r="V35" i="101"/>
  <c r="U35" i="101"/>
  <c r="S35" i="101"/>
  <c r="R35" i="101"/>
  <c r="L35" i="101"/>
  <c r="K35" i="101"/>
  <c r="J35" i="101"/>
  <c r="I35" i="101"/>
  <c r="H35" i="101"/>
  <c r="AB34" i="101"/>
  <c r="AA34" i="101"/>
  <c r="Y34" i="101"/>
  <c r="X34" i="101"/>
  <c r="V34" i="101"/>
  <c r="U34" i="101"/>
  <c r="S34" i="101"/>
  <c r="R34" i="101"/>
  <c r="L34" i="101"/>
  <c r="K34" i="101"/>
  <c r="J34" i="101"/>
  <c r="I34" i="101"/>
  <c r="H34" i="101"/>
  <c r="AB33" i="101"/>
  <c r="AA33" i="101"/>
  <c r="Y33" i="101"/>
  <c r="X33" i="101"/>
  <c r="V33" i="101"/>
  <c r="U33" i="101"/>
  <c r="S33" i="101"/>
  <c r="R33" i="101"/>
  <c r="L33" i="101"/>
  <c r="K33" i="101"/>
  <c r="J33" i="101"/>
  <c r="I33" i="101"/>
  <c r="H33" i="101"/>
  <c r="N29" i="101"/>
  <c r="AB27" i="101"/>
  <c r="AA27" i="101"/>
  <c r="Y27" i="101"/>
  <c r="X27" i="101"/>
  <c r="V27" i="101"/>
  <c r="U27" i="101"/>
  <c r="S27" i="101"/>
  <c r="R27" i="101"/>
  <c r="L27" i="101"/>
  <c r="K27" i="101"/>
  <c r="J27" i="101"/>
  <c r="I27" i="101"/>
  <c r="H27" i="101"/>
  <c r="AB26" i="101"/>
  <c r="AA26" i="101"/>
  <c r="Y26" i="101"/>
  <c r="X26" i="101"/>
  <c r="V26" i="101"/>
  <c r="U26" i="101"/>
  <c r="S26" i="101"/>
  <c r="R26" i="101"/>
  <c r="L26" i="101"/>
  <c r="K26" i="101"/>
  <c r="J26" i="101"/>
  <c r="I26" i="101"/>
  <c r="H26" i="101"/>
  <c r="AB25" i="101"/>
  <c r="AA25" i="101"/>
  <c r="Y25" i="101"/>
  <c r="X25" i="101"/>
  <c r="V25" i="101"/>
  <c r="U25" i="101"/>
  <c r="S25" i="101"/>
  <c r="R25" i="101"/>
  <c r="L25" i="101"/>
  <c r="K25" i="101"/>
  <c r="J25" i="101"/>
  <c r="I25" i="101"/>
  <c r="H25" i="101"/>
  <c r="AB24" i="101"/>
  <c r="AA24" i="101"/>
  <c r="Y24" i="101"/>
  <c r="X24" i="101"/>
  <c r="V24" i="101"/>
  <c r="U24" i="101"/>
  <c r="S24" i="101"/>
  <c r="R24" i="101"/>
  <c r="L24" i="101"/>
  <c r="K24" i="101"/>
  <c r="J24" i="101"/>
  <c r="I24" i="101"/>
  <c r="H24" i="101"/>
  <c r="AB23" i="101"/>
  <c r="AA23" i="101"/>
  <c r="Y23" i="101"/>
  <c r="X23" i="101"/>
  <c r="V23" i="101"/>
  <c r="U23" i="101"/>
  <c r="S23" i="101"/>
  <c r="R23" i="101"/>
  <c r="L23" i="101"/>
  <c r="K23" i="101"/>
  <c r="J23" i="101"/>
  <c r="I23" i="101"/>
  <c r="H23" i="101"/>
  <c r="AB22" i="101"/>
  <c r="AA22" i="101"/>
  <c r="Y22" i="101"/>
  <c r="X22" i="101"/>
  <c r="V22" i="101"/>
  <c r="U22" i="101"/>
  <c r="S22" i="101"/>
  <c r="R22" i="101"/>
  <c r="L22" i="101"/>
  <c r="K22" i="101"/>
  <c r="J22" i="101"/>
  <c r="I22" i="101"/>
  <c r="H22" i="101"/>
  <c r="AB21" i="101"/>
  <c r="AA21" i="101"/>
  <c r="Y21" i="101"/>
  <c r="X21" i="101"/>
  <c r="V21" i="101"/>
  <c r="U21" i="101"/>
  <c r="S21" i="101"/>
  <c r="R21" i="101"/>
  <c r="L21" i="101"/>
  <c r="K21" i="101"/>
  <c r="J21" i="101"/>
  <c r="I21" i="101"/>
  <c r="H21" i="101"/>
  <c r="AB20" i="101"/>
  <c r="AA20" i="101"/>
  <c r="Y20" i="101"/>
  <c r="X20" i="101"/>
  <c r="V20" i="101"/>
  <c r="U20" i="101"/>
  <c r="S20" i="101"/>
  <c r="R20" i="101"/>
  <c r="L20" i="101"/>
  <c r="K20" i="101"/>
  <c r="J20" i="101"/>
  <c r="I20" i="101"/>
  <c r="H20" i="101"/>
  <c r="AB19" i="101"/>
  <c r="AA19" i="101"/>
  <c r="Y19" i="101"/>
  <c r="X19" i="101"/>
  <c r="V19" i="101"/>
  <c r="U19" i="101"/>
  <c r="S19" i="101"/>
  <c r="R19" i="101"/>
  <c r="L19" i="101"/>
  <c r="K19" i="101"/>
  <c r="J19" i="101"/>
  <c r="I19" i="101"/>
  <c r="H19" i="101"/>
  <c r="AB18" i="101"/>
  <c r="AA18" i="101"/>
  <c r="Y18" i="101"/>
  <c r="X18" i="101"/>
  <c r="V18" i="101"/>
  <c r="U18" i="101"/>
  <c r="S18" i="101"/>
  <c r="R18" i="101"/>
  <c r="L18" i="101"/>
  <c r="K18" i="101"/>
  <c r="J18" i="101"/>
  <c r="I18" i="101"/>
  <c r="H18" i="101"/>
  <c r="AB17" i="101"/>
  <c r="AA17" i="101"/>
  <c r="Y17" i="101"/>
  <c r="X17" i="101"/>
  <c r="V17" i="101"/>
  <c r="U17" i="101"/>
  <c r="S17" i="101"/>
  <c r="R17" i="101"/>
  <c r="L17" i="101"/>
  <c r="K17" i="101"/>
  <c r="J17" i="101"/>
  <c r="I17" i="101"/>
  <c r="H17" i="101"/>
  <c r="AB16" i="101"/>
  <c r="AA16" i="101"/>
  <c r="Y16" i="101"/>
  <c r="X16" i="101"/>
  <c r="V16" i="101"/>
  <c r="U16" i="101"/>
  <c r="S16" i="101"/>
  <c r="R16" i="101"/>
  <c r="L16" i="101"/>
  <c r="K16" i="101"/>
  <c r="J16" i="101"/>
  <c r="I16" i="101"/>
  <c r="H16" i="101"/>
  <c r="AB15" i="101"/>
  <c r="AA15" i="101"/>
  <c r="Y15" i="101"/>
  <c r="X15" i="101"/>
  <c r="V15" i="101"/>
  <c r="U15" i="101"/>
  <c r="S15" i="101"/>
  <c r="R15" i="101"/>
  <c r="L15" i="101"/>
  <c r="K15" i="101"/>
  <c r="J15" i="101"/>
  <c r="I15" i="101"/>
  <c r="H15" i="101"/>
  <c r="AB14" i="101"/>
  <c r="AA14" i="101"/>
  <c r="Y14" i="101"/>
  <c r="X14" i="101"/>
  <c r="V14" i="101"/>
  <c r="U14" i="101"/>
  <c r="S14" i="101"/>
  <c r="R14" i="101"/>
  <c r="L14" i="101"/>
  <c r="K14" i="101"/>
  <c r="J14" i="101"/>
  <c r="I14" i="101"/>
  <c r="H14" i="101"/>
  <c r="AB13" i="101"/>
  <c r="AA13" i="101"/>
  <c r="Y13" i="101"/>
  <c r="X13" i="101"/>
  <c r="V13" i="101"/>
  <c r="U13" i="101"/>
  <c r="S13" i="101"/>
  <c r="R13" i="101"/>
  <c r="L13" i="101"/>
  <c r="K13" i="101"/>
  <c r="J13" i="101"/>
  <c r="I13" i="101"/>
  <c r="H13" i="101"/>
  <c r="N9" i="101"/>
  <c r="AB7" i="101"/>
  <c r="AB9" i="101" s="1"/>
  <c r="AA7" i="101"/>
  <c r="Y7" i="101"/>
  <c r="X7" i="101"/>
  <c r="V7" i="101"/>
  <c r="U7" i="101"/>
  <c r="S7" i="101"/>
  <c r="S9" i="101" s="1"/>
  <c r="R7" i="101"/>
  <c r="R9" i="101" s="1"/>
  <c r="L7" i="101"/>
  <c r="L9" i="101" s="1"/>
  <c r="K7" i="101"/>
  <c r="J7" i="101"/>
  <c r="I7" i="101"/>
  <c r="H7" i="101"/>
  <c r="V60" i="100"/>
  <c r="U60" i="100"/>
  <c r="S60" i="100"/>
  <c r="R60" i="100"/>
  <c r="P60" i="100"/>
  <c r="O60" i="100"/>
  <c r="M60" i="100"/>
  <c r="L60" i="100"/>
  <c r="F60" i="100"/>
  <c r="E60" i="100"/>
  <c r="D60" i="100"/>
  <c r="C60" i="100"/>
  <c r="B60" i="100"/>
  <c r="G58" i="100"/>
  <c r="G57" i="100"/>
  <c r="G56" i="100"/>
  <c r="G55" i="100"/>
  <c r="G54" i="100"/>
  <c r="G53" i="100"/>
  <c r="G52" i="100"/>
  <c r="G51" i="100"/>
  <c r="G50" i="100"/>
  <c r="G49" i="100"/>
  <c r="G48" i="100"/>
  <c r="G47" i="100"/>
  <c r="G46" i="100"/>
  <c r="G45" i="100"/>
  <c r="G44" i="100"/>
  <c r="G43" i="100"/>
  <c r="G42" i="100"/>
  <c r="G41" i="100"/>
  <c r="G40" i="100"/>
  <c r="G39" i="100"/>
  <c r="G38" i="100"/>
  <c r="G37" i="100"/>
  <c r="G36" i="100"/>
  <c r="G35" i="100"/>
  <c r="G34" i="100"/>
  <c r="G33" i="100"/>
  <c r="G32" i="100"/>
  <c r="G31" i="100"/>
  <c r="G30" i="100"/>
  <c r="G29" i="100"/>
  <c r="G28" i="100"/>
  <c r="G27" i="100"/>
  <c r="J26" i="100"/>
  <c r="G26" i="100"/>
  <c r="G25" i="100"/>
  <c r="G24" i="100"/>
  <c r="G23" i="100"/>
  <c r="G22" i="100"/>
  <c r="G21" i="100"/>
  <c r="G20" i="100"/>
  <c r="G19" i="100"/>
  <c r="G18" i="100"/>
  <c r="G17" i="100"/>
  <c r="G16" i="100"/>
  <c r="G15" i="100"/>
  <c r="G14" i="100"/>
  <c r="G13" i="100"/>
  <c r="G12" i="100"/>
  <c r="J27" i="100" s="1"/>
  <c r="G11" i="100"/>
  <c r="G10" i="100"/>
  <c r="G9" i="100"/>
  <c r="G8" i="100"/>
  <c r="G7" i="100"/>
  <c r="G6" i="100"/>
  <c r="G60" i="100" s="1"/>
  <c r="V60" i="99"/>
  <c r="U60" i="99"/>
  <c r="S60" i="99"/>
  <c r="R60" i="99"/>
  <c r="P60" i="99"/>
  <c r="O60" i="99"/>
  <c r="M60" i="99"/>
  <c r="L60" i="99"/>
  <c r="F60" i="99"/>
  <c r="E60" i="99"/>
  <c r="D60" i="99"/>
  <c r="C60" i="99"/>
  <c r="B60" i="99"/>
  <c r="G58" i="99"/>
  <c r="G57" i="99"/>
  <c r="G56" i="99"/>
  <c r="G55" i="99"/>
  <c r="G54" i="99"/>
  <c r="G53" i="99"/>
  <c r="G52" i="99"/>
  <c r="G51" i="99"/>
  <c r="G50" i="99"/>
  <c r="G49" i="99"/>
  <c r="G48" i="99"/>
  <c r="G47" i="99"/>
  <c r="G46" i="99"/>
  <c r="G45" i="99"/>
  <c r="G44" i="99"/>
  <c r="G43" i="99"/>
  <c r="G42" i="99"/>
  <c r="G41" i="99"/>
  <c r="G40" i="99"/>
  <c r="G39" i="99"/>
  <c r="G38" i="99"/>
  <c r="G37" i="99"/>
  <c r="G36" i="99"/>
  <c r="G35" i="99"/>
  <c r="G34" i="99"/>
  <c r="G33" i="99"/>
  <c r="G32" i="99"/>
  <c r="G31" i="99"/>
  <c r="G30" i="99"/>
  <c r="G29" i="99"/>
  <c r="G28" i="99"/>
  <c r="G27" i="99"/>
  <c r="J26" i="99"/>
  <c r="G26" i="99"/>
  <c r="G25" i="99"/>
  <c r="G24" i="99"/>
  <c r="G23" i="99"/>
  <c r="G22" i="99"/>
  <c r="G21" i="99"/>
  <c r="G20" i="99"/>
  <c r="G19" i="99"/>
  <c r="G18" i="99"/>
  <c r="G17" i="99"/>
  <c r="G16" i="99"/>
  <c r="G15" i="99"/>
  <c r="G14" i="99"/>
  <c r="G13" i="99"/>
  <c r="G12" i="99"/>
  <c r="G11" i="99"/>
  <c r="G10" i="99"/>
  <c r="G9" i="99"/>
  <c r="G8" i="99"/>
  <c r="G7" i="99"/>
  <c r="G6" i="99"/>
  <c r="V60" i="98"/>
  <c r="U60" i="98"/>
  <c r="S60" i="98"/>
  <c r="R60" i="98"/>
  <c r="P60" i="98"/>
  <c r="O60" i="98"/>
  <c r="M60" i="98"/>
  <c r="L60" i="98"/>
  <c r="F60" i="98"/>
  <c r="E60" i="98"/>
  <c r="D60" i="98"/>
  <c r="C60" i="98"/>
  <c r="B60" i="98"/>
  <c r="G58" i="98"/>
  <c r="G57" i="98"/>
  <c r="G56" i="98"/>
  <c r="G55" i="98"/>
  <c r="G54" i="98"/>
  <c r="G53" i="98"/>
  <c r="G52" i="98"/>
  <c r="G51" i="98"/>
  <c r="G50" i="98"/>
  <c r="G49" i="98"/>
  <c r="G48" i="98"/>
  <c r="G47" i="98"/>
  <c r="G46" i="98"/>
  <c r="G45" i="98"/>
  <c r="G44" i="98"/>
  <c r="G43" i="98"/>
  <c r="G42" i="98"/>
  <c r="G41" i="98"/>
  <c r="G40" i="98"/>
  <c r="G39" i="98"/>
  <c r="G38" i="98"/>
  <c r="G37" i="98"/>
  <c r="G36" i="98"/>
  <c r="G35" i="98"/>
  <c r="G34" i="98"/>
  <c r="G33" i="98"/>
  <c r="G32" i="98"/>
  <c r="G31" i="98"/>
  <c r="G30" i="98"/>
  <c r="G29" i="98"/>
  <c r="G28" i="98"/>
  <c r="G27" i="98"/>
  <c r="J26" i="98"/>
  <c r="G26" i="98"/>
  <c r="G25" i="98"/>
  <c r="G24" i="98"/>
  <c r="G23" i="98"/>
  <c r="G22" i="98"/>
  <c r="G21" i="98"/>
  <c r="G20" i="98"/>
  <c r="G19" i="98"/>
  <c r="G18" i="98"/>
  <c r="G17" i="98"/>
  <c r="G16" i="98"/>
  <c r="G15" i="98"/>
  <c r="G14" i="98"/>
  <c r="G13" i="98"/>
  <c r="G12" i="98"/>
  <c r="G11" i="98"/>
  <c r="G10" i="98"/>
  <c r="G9" i="98"/>
  <c r="G60" i="98" s="1"/>
  <c r="G8" i="98"/>
  <c r="G7" i="98"/>
  <c r="G6" i="98"/>
  <c r="V60" i="97"/>
  <c r="U60" i="97"/>
  <c r="S60" i="97"/>
  <c r="R60" i="97"/>
  <c r="P60" i="97"/>
  <c r="O60" i="97"/>
  <c r="M60" i="97"/>
  <c r="L60" i="97"/>
  <c r="F60" i="97"/>
  <c r="E60" i="97"/>
  <c r="D60" i="97"/>
  <c r="C60" i="97"/>
  <c r="B60" i="97"/>
  <c r="G58" i="97"/>
  <c r="G57" i="97"/>
  <c r="G56" i="97"/>
  <c r="G55" i="97"/>
  <c r="G54" i="97"/>
  <c r="G53" i="97"/>
  <c r="G52" i="97"/>
  <c r="G51" i="97"/>
  <c r="G50" i="97"/>
  <c r="G49" i="97"/>
  <c r="G48" i="97"/>
  <c r="G47" i="97"/>
  <c r="G46" i="97"/>
  <c r="G45" i="97"/>
  <c r="G44" i="97"/>
  <c r="G43" i="97"/>
  <c r="G42" i="97"/>
  <c r="G41" i="97"/>
  <c r="G40" i="97"/>
  <c r="G60" i="97" s="1"/>
  <c r="G39" i="97"/>
  <c r="G38" i="97"/>
  <c r="G37" i="97"/>
  <c r="G36" i="97"/>
  <c r="G35" i="97"/>
  <c r="G34" i="97"/>
  <c r="G33" i="97"/>
  <c r="G32" i="97"/>
  <c r="G31" i="97"/>
  <c r="G30" i="97"/>
  <c r="G29" i="97"/>
  <c r="G28" i="97"/>
  <c r="G27" i="97"/>
  <c r="J26" i="97"/>
  <c r="G26" i="97"/>
  <c r="G25" i="97"/>
  <c r="G24" i="97"/>
  <c r="G23" i="97"/>
  <c r="G22" i="97"/>
  <c r="G21" i="97"/>
  <c r="G20" i="97"/>
  <c r="G19" i="97"/>
  <c r="G18" i="97"/>
  <c r="G17" i="97"/>
  <c r="G16" i="97"/>
  <c r="G15" i="97"/>
  <c r="G14" i="97"/>
  <c r="G13" i="97"/>
  <c r="G12" i="97"/>
  <c r="G11" i="97"/>
  <c r="G10" i="97"/>
  <c r="G9" i="97"/>
  <c r="G8" i="97"/>
  <c r="G7" i="97"/>
  <c r="G6" i="97"/>
  <c r="V60" i="96"/>
  <c r="U60" i="96"/>
  <c r="S60" i="96"/>
  <c r="R60" i="96"/>
  <c r="P60" i="96"/>
  <c r="O60" i="96"/>
  <c r="M60" i="96"/>
  <c r="L60" i="96"/>
  <c r="F60" i="96"/>
  <c r="E60" i="96"/>
  <c r="D60" i="96"/>
  <c r="C60" i="96"/>
  <c r="B60" i="96"/>
  <c r="G58" i="96"/>
  <c r="G57" i="96"/>
  <c r="G56" i="96"/>
  <c r="G55" i="96"/>
  <c r="G54" i="96"/>
  <c r="G53" i="96"/>
  <c r="G52" i="96"/>
  <c r="G51" i="96"/>
  <c r="G50" i="96"/>
  <c r="G49" i="96"/>
  <c r="G48" i="96"/>
  <c r="G47" i="96"/>
  <c r="G46" i="96"/>
  <c r="G45" i="96"/>
  <c r="G44" i="96"/>
  <c r="G43" i="96"/>
  <c r="G42" i="96"/>
  <c r="G41" i="96"/>
  <c r="G40" i="96"/>
  <c r="G39" i="96"/>
  <c r="G38" i="96"/>
  <c r="G37" i="96"/>
  <c r="G36" i="96"/>
  <c r="G35" i="96"/>
  <c r="G34" i="96"/>
  <c r="G33" i="96"/>
  <c r="G32" i="96"/>
  <c r="G31" i="96"/>
  <c r="G30" i="96"/>
  <c r="G29" i="96"/>
  <c r="G28" i="96"/>
  <c r="G27" i="96"/>
  <c r="J26" i="96"/>
  <c r="G26" i="96"/>
  <c r="G25" i="96"/>
  <c r="G24" i="96"/>
  <c r="G23" i="96"/>
  <c r="G22" i="96"/>
  <c r="G21" i="96"/>
  <c r="G20" i="96"/>
  <c r="G19" i="96"/>
  <c r="G18" i="96"/>
  <c r="G17" i="96"/>
  <c r="G16" i="96"/>
  <c r="G15" i="96"/>
  <c r="G14" i="96"/>
  <c r="G13" i="96"/>
  <c r="G12" i="96"/>
  <c r="J27" i="96" s="1"/>
  <c r="G11" i="96"/>
  <c r="G10" i="96"/>
  <c r="G9" i="96"/>
  <c r="G8" i="96"/>
  <c r="G7" i="96"/>
  <c r="G6" i="96"/>
  <c r="V60" i="95"/>
  <c r="U60" i="95"/>
  <c r="S60" i="95"/>
  <c r="R60" i="95"/>
  <c r="P60" i="95"/>
  <c r="O60" i="95"/>
  <c r="M60" i="95"/>
  <c r="L60" i="95"/>
  <c r="F60" i="95"/>
  <c r="E60" i="95"/>
  <c r="D60" i="95"/>
  <c r="C60" i="95"/>
  <c r="B60" i="95"/>
  <c r="G58" i="95"/>
  <c r="G57" i="95"/>
  <c r="G56" i="95"/>
  <c r="G55" i="95"/>
  <c r="G54" i="95"/>
  <c r="G53" i="95"/>
  <c r="G52" i="95"/>
  <c r="G51" i="95"/>
  <c r="G50" i="95"/>
  <c r="G49" i="95"/>
  <c r="G48" i="95"/>
  <c r="G47" i="95"/>
  <c r="G46" i="95"/>
  <c r="G45" i="95"/>
  <c r="G44" i="95"/>
  <c r="G43" i="95"/>
  <c r="G42" i="95"/>
  <c r="G41" i="95"/>
  <c r="G40" i="95"/>
  <c r="G39" i="95"/>
  <c r="G38" i="95"/>
  <c r="G37" i="95"/>
  <c r="G36" i="95"/>
  <c r="G35" i="95"/>
  <c r="G34" i="95"/>
  <c r="G33" i="95"/>
  <c r="G32" i="95"/>
  <c r="G31" i="95"/>
  <c r="G30" i="95"/>
  <c r="G29" i="95"/>
  <c r="G28" i="95"/>
  <c r="G27" i="95"/>
  <c r="J26" i="95"/>
  <c r="G26" i="95"/>
  <c r="G25" i="95"/>
  <c r="G24" i="95"/>
  <c r="G23" i="95"/>
  <c r="G22" i="95"/>
  <c r="G21" i="95"/>
  <c r="G20" i="95"/>
  <c r="G19" i="95"/>
  <c r="G18" i="95"/>
  <c r="G17" i="95"/>
  <c r="G16" i="95"/>
  <c r="G15" i="95"/>
  <c r="G14" i="95"/>
  <c r="G13" i="95"/>
  <c r="G12" i="95"/>
  <c r="G11" i="95"/>
  <c r="G10" i="95"/>
  <c r="G9" i="95"/>
  <c r="G8" i="95"/>
  <c r="G7" i="95"/>
  <c r="G6" i="95"/>
  <c r="V60" i="94"/>
  <c r="U60" i="94"/>
  <c r="S60" i="94"/>
  <c r="R60" i="94"/>
  <c r="P60" i="94"/>
  <c r="O60" i="94"/>
  <c r="M60" i="94"/>
  <c r="L60" i="94"/>
  <c r="F60" i="94"/>
  <c r="E60" i="94"/>
  <c r="D60" i="94"/>
  <c r="C60" i="94"/>
  <c r="B60" i="94"/>
  <c r="G58" i="94"/>
  <c r="G57" i="94"/>
  <c r="G56" i="94"/>
  <c r="G55" i="94"/>
  <c r="G54" i="94"/>
  <c r="G53" i="94"/>
  <c r="G52" i="94"/>
  <c r="G51" i="94"/>
  <c r="G50" i="94"/>
  <c r="G49" i="94"/>
  <c r="G48" i="94"/>
  <c r="G47" i="94"/>
  <c r="G46" i="94"/>
  <c r="G45" i="94"/>
  <c r="G44" i="94"/>
  <c r="G43" i="94"/>
  <c r="G42" i="94"/>
  <c r="G41" i="94"/>
  <c r="G40" i="94"/>
  <c r="G39" i="94"/>
  <c r="G38" i="94"/>
  <c r="G37" i="94"/>
  <c r="G36" i="94"/>
  <c r="G35" i="94"/>
  <c r="G34" i="94"/>
  <c r="G33" i="94"/>
  <c r="G32" i="94"/>
  <c r="G31" i="94"/>
  <c r="G30" i="94"/>
  <c r="G29" i="94"/>
  <c r="G28" i="94"/>
  <c r="G60" i="94" s="1"/>
  <c r="G27" i="94"/>
  <c r="J26" i="94"/>
  <c r="G26" i="94"/>
  <c r="G25" i="94"/>
  <c r="G24" i="94"/>
  <c r="G23" i="94"/>
  <c r="G22" i="94"/>
  <c r="G21" i="94"/>
  <c r="G20" i="94"/>
  <c r="G19" i="94"/>
  <c r="G18" i="94"/>
  <c r="G17" i="94"/>
  <c r="G16" i="94"/>
  <c r="G15" i="94"/>
  <c r="G14" i="94"/>
  <c r="G13" i="94"/>
  <c r="G12" i="94"/>
  <c r="G11" i="94"/>
  <c r="G10" i="94"/>
  <c r="G9" i="94"/>
  <c r="G8" i="94"/>
  <c r="G7" i="94"/>
  <c r="G6" i="94"/>
  <c r="V60" i="93"/>
  <c r="U60" i="93"/>
  <c r="S60" i="93"/>
  <c r="R60" i="93"/>
  <c r="P60" i="93"/>
  <c r="O60" i="93"/>
  <c r="M60" i="93"/>
  <c r="L60" i="93"/>
  <c r="F60" i="93"/>
  <c r="E60" i="93"/>
  <c r="D60" i="93"/>
  <c r="C60" i="93"/>
  <c r="B60" i="93"/>
  <c r="G58" i="93"/>
  <c r="G57" i="93"/>
  <c r="G56" i="93"/>
  <c r="G55" i="93"/>
  <c r="G54" i="93"/>
  <c r="G53" i="93"/>
  <c r="G52" i="93"/>
  <c r="G51" i="93"/>
  <c r="G50" i="93"/>
  <c r="G49" i="93"/>
  <c r="G48" i="93"/>
  <c r="G47" i="93"/>
  <c r="G46" i="93"/>
  <c r="G45" i="93"/>
  <c r="G44" i="93"/>
  <c r="G43" i="93"/>
  <c r="G42" i="93"/>
  <c r="G41" i="93"/>
  <c r="G40" i="93"/>
  <c r="G39" i="93"/>
  <c r="G38" i="93"/>
  <c r="G37" i="93"/>
  <c r="G36" i="93"/>
  <c r="G35" i="93"/>
  <c r="G34" i="93"/>
  <c r="G33" i="93"/>
  <c r="G32" i="93"/>
  <c r="G31" i="93"/>
  <c r="G30" i="93"/>
  <c r="G29" i="93"/>
  <c r="G28" i="93"/>
  <c r="G27" i="93"/>
  <c r="J26" i="93"/>
  <c r="G26" i="93"/>
  <c r="G25" i="93"/>
  <c r="G24" i="93"/>
  <c r="G23" i="93"/>
  <c r="G22" i="93"/>
  <c r="G21" i="93"/>
  <c r="G20" i="93"/>
  <c r="G19" i="93"/>
  <c r="G18" i="93"/>
  <c r="G17" i="93"/>
  <c r="G16" i="93"/>
  <c r="G15" i="93"/>
  <c r="G14" i="93"/>
  <c r="G13" i="93"/>
  <c r="G12" i="93"/>
  <c r="G11" i="93"/>
  <c r="G10" i="93"/>
  <c r="G9" i="93"/>
  <c r="G8" i="93"/>
  <c r="G7" i="93"/>
  <c r="G6" i="93"/>
  <c r="G60" i="93" s="1"/>
  <c r="V60" i="92"/>
  <c r="U60" i="92"/>
  <c r="S60" i="92"/>
  <c r="R60" i="92"/>
  <c r="P60" i="92"/>
  <c r="O60" i="92"/>
  <c r="M60" i="92"/>
  <c r="L60" i="92"/>
  <c r="F60" i="92"/>
  <c r="E60" i="92"/>
  <c r="D60" i="92"/>
  <c r="C60" i="92"/>
  <c r="B60" i="92"/>
  <c r="G58" i="92"/>
  <c r="G57" i="92"/>
  <c r="G56" i="92"/>
  <c r="G55" i="92"/>
  <c r="G54" i="92"/>
  <c r="G53" i="92"/>
  <c r="G52" i="92"/>
  <c r="G51" i="92"/>
  <c r="G50" i="92"/>
  <c r="G49" i="92"/>
  <c r="G48" i="92"/>
  <c r="G47" i="92"/>
  <c r="G46" i="92"/>
  <c r="G45" i="92"/>
  <c r="G44" i="92"/>
  <c r="G43" i="92"/>
  <c r="G42" i="92"/>
  <c r="G41" i="92"/>
  <c r="G40" i="92"/>
  <c r="G39" i="92"/>
  <c r="G38" i="92"/>
  <c r="G37" i="92"/>
  <c r="G36" i="92"/>
  <c r="G35" i="92"/>
  <c r="G34" i="92"/>
  <c r="G33" i="92"/>
  <c r="G32" i="92"/>
  <c r="G31" i="92"/>
  <c r="G30" i="92"/>
  <c r="G29" i="92"/>
  <c r="G28" i="92"/>
  <c r="G27" i="92"/>
  <c r="J26" i="92"/>
  <c r="G26" i="92"/>
  <c r="G25" i="92"/>
  <c r="G24" i="92"/>
  <c r="G23" i="92"/>
  <c r="G22" i="92"/>
  <c r="G21" i="92"/>
  <c r="G20" i="92"/>
  <c r="G19" i="92"/>
  <c r="G18" i="92"/>
  <c r="G17" i="92"/>
  <c r="G16" i="92"/>
  <c r="G15" i="92"/>
  <c r="G14" i="92"/>
  <c r="G13" i="92"/>
  <c r="G12" i="92"/>
  <c r="J27" i="92" s="1"/>
  <c r="G11" i="92"/>
  <c r="G10" i="92"/>
  <c r="G9" i="92"/>
  <c r="G8" i="92"/>
  <c r="G7" i="92"/>
  <c r="G6" i="92"/>
  <c r="V60" i="91"/>
  <c r="U60" i="91"/>
  <c r="S60" i="91"/>
  <c r="R60" i="91"/>
  <c r="P60" i="91"/>
  <c r="O60" i="91"/>
  <c r="M60" i="91"/>
  <c r="L60" i="91"/>
  <c r="F60" i="91"/>
  <c r="E60" i="91"/>
  <c r="D60" i="91"/>
  <c r="C60" i="91"/>
  <c r="B60" i="91"/>
  <c r="G58" i="91"/>
  <c r="G57" i="91"/>
  <c r="G56" i="91"/>
  <c r="G55" i="91"/>
  <c r="G54" i="91"/>
  <c r="G53" i="91"/>
  <c r="G52" i="91"/>
  <c r="G51" i="91"/>
  <c r="G50" i="91"/>
  <c r="G49" i="91"/>
  <c r="G48" i="91"/>
  <c r="G47" i="91"/>
  <c r="G46" i="91"/>
  <c r="G45" i="91"/>
  <c r="G44" i="91"/>
  <c r="G43" i="91"/>
  <c r="G42" i="91"/>
  <c r="G41" i="91"/>
  <c r="G40" i="91"/>
  <c r="G39" i="91"/>
  <c r="G38" i="91"/>
  <c r="G37" i="91"/>
  <c r="G36" i="91"/>
  <c r="G35" i="91"/>
  <c r="G34" i="91"/>
  <c r="G33" i="91"/>
  <c r="G32" i="91"/>
  <c r="G31" i="91"/>
  <c r="G30" i="91"/>
  <c r="G29" i="91"/>
  <c r="G28" i="91"/>
  <c r="G27" i="91"/>
  <c r="J26" i="91"/>
  <c r="G26" i="91"/>
  <c r="G25" i="91"/>
  <c r="G24" i="91"/>
  <c r="G23" i="91"/>
  <c r="G22" i="91"/>
  <c r="G21" i="91"/>
  <c r="G20" i="91"/>
  <c r="G19" i="91"/>
  <c r="G18" i="91"/>
  <c r="G17" i="91"/>
  <c r="G16" i="91"/>
  <c r="G15" i="91"/>
  <c r="G14" i="91"/>
  <c r="G13" i="91"/>
  <c r="G12" i="91"/>
  <c r="G11" i="91"/>
  <c r="G10" i="91"/>
  <c r="G9" i="91"/>
  <c r="G8" i="91"/>
  <c r="G7" i="91"/>
  <c r="G6" i="91"/>
  <c r="V60" i="90"/>
  <c r="U60" i="90"/>
  <c r="S60" i="90"/>
  <c r="R60" i="90"/>
  <c r="P60" i="90"/>
  <c r="O60" i="90"/>
  <c r="M60" i="90"/>
  <c r="L60" i="90"/>
  <c r="F60" i="90"/>
  <c r="E60" i="90"/>
  <c r="D60" i="90"/>
  <c r="C60" i="90"/>
  <c r="B60" i="90"/>
  <c r="G58" i="90"/>
  <c r="G57" i="90"/>
  <c r="G56" i="90"/>
  <c r="G55" i="90"/>
  <c r="G54" i="90"/>
  <c r="G53" i="90"/>
  <c r="G52" i="90"/>
  <c r="G51" i="90"/>
  <c r="G50" i="90"/>
  <c r="G49" i="90"/>
  <c r="G48" i="90"/>
  <c r="G47" i="90"/>
  <c r="G46" i="90"/>
  <c r="G45" i="90"/>
  <c r="G44" i="90"/>
  <c r="G43" i="90"/>
  <c r="G42" i="90"/>
  <c r="G41" i="90"/>
  <c r="G40" i="90"/>
  <c r="G39" i="90"/>
  <c r="G38" i="90"/>
  <c r="G37" i="90"/>
  <c r="G36" i="90"/>
  <c r="G35" i="90"/>
  <c r="G34" i="90"/>
  <c r="G33" i="90"/>
  <c r="G32" i="90"/>
  <c r="G31" i="90"/>
  <c r="G30" i="90"/>
  <c r="G29" i="90"/>
  <c r="G28" i="90"/>
  <c r="G27" i="90"/>
  <c r="J26" i="90"/>
  <c r="G26" i="90"/>
  <c r="G25" i="90"/>
  <c r="G24" i="90"/>
  <c r="G23" i="90"/>
  <c r="G22" i="90"/>
  <c r="G21" i="90"/>
  <c r="G20" i="90"/>
  <c r="G19" i="90"/>
  <c r="G18" i="90"/>
  <c r="G17" i="90"/>
  <c r="G16" i="90"/>
  <c r="G15" i="90"/>
  <c r="G14" i="90"/>
  <c r="G13" i="90"/>
  <c r="G12" i="90"/>
  <c r="G11" i="90"/>
  <c r="G60" i="90" s="1"/>
  <c r="G10" i="90"/>
  <c r="G9" i="90"/>
  <c r="G8" i="90"/>
  <c r="G7" i="90"/>
  <c r="G6" i="90"/>
  <c r="V60" i="89"/>
  <c r="U60" i="89"/>
  <c r="S60" i="89"/>
  <c r="R60" i="89"/>
  <c r="P60" i="89"/>
  <c r="O60" i="89"/>
  <c r="M60" i="89"/>
  <c r="L60" i="89"/>
  <c r="F60" i="89"/>
  <c r="E60" i="89"/>
  <c r="D60" i="89"/>
  <c r="C60" i="89"/>
  <c r="B60" i="89"/>
  <c r="G58" i="89"/>
  <c r="G57" i="89"/>
  <c r="G56" i="89"/>
  <c r="G55" i="89"/>
  <c r="G54" i="89"/>
  <c r="G53" i="89"/>
  <c r="G52" i="89"/>
  <c r="G51" i="89"/>
  <c r="G50" i="89"/>
  <c r="G49" i="89"/>
  <c r="G48" i="89"/>
  <c r="G47" i="89"/>
  <c r="G46" i="89"/>
  <c r="G45" i="89"/>
  <c r="G44" i="89"/>
  <c r="G43" i="89"/>
  <c r="G42" i="89"/>
  <c r="G41" i="89"/>
  <c r="G40" i="89"/>
  <c r="G39" i="89"/>
  <c r="G38" i="89"/>
  <c r="G37" i="89"/>
  <c r="G36" i="89"/>
  <c r="G35" i="89"/>
  <c r="G34" i="89"/>
  <c r="G33" i="89"/>
  <c r="G32" i="89"/>
  <c r="G31" i="89"/>
  <c r="G30" i="89"/>
  <c r="G29" i="89"/>
  <c r="G28" i="89"/>
  <c r="G27" i="89"/>
  <c r="J26" i="89"/>
  <c r="G26" i="89"/>
  <c r="G25" i="89"/>
  <c r="G24" i="89"/>
  <c r="G23" i="89"/>
  <c r="G22" i="89"/>
  <c r="G21" i="89"/>
  <c r="G20" i="89"/>
  <c r="G19" i="89"/>
  <c r="G18" i="89"/>
  <c r="G17" i="89"/>
  <c r="G16" i="89"/>
  <c r="G15" i="89"/>
  <c r="G14" i="89"/>
  <c r="G13" i="89"/>
  <c r="G12" i="89"/>
  <c r="G11" i="89"/>
  <c r="G10" i="89"/>
  <c r="G9" i="89"/>
  <c r="G8" i="89"/>
  <c r="G7" i="89"/>
  <c r="G6" i="89"/>
  <c r="G60" i="89" s="1"/>
  <c r="V60" i="88"/>
  <c r="U60" i="88"/>
  <c r="S60" i="88"/>
  <c r="R60" i="88"/>
  <c r="P60" i="88"/>
  <c r="O60" i="88"/>
  <c r="M60" i="88"/>
  <c r="L60" i="88"/>
  <c r="F60" i="88"/>
  <c r="E60" i="88"/>
  <c r="D60" i="88"/>
  <c r="C60" i="88"/>
  <c r="B60" i="88"/>
  <c r="G58" i="88"/>
  <c r="G57" i="88"/>
  <c r="G56" i="88"/>
  <c r="G55" i="88"/>
  <c r="G54" i="88"/>
  <c r="G53" i="88"/>
  <c r="G52" i="88"/>
  <c r="G51" i="88"/>
  <c r="G50" i="88"/>
  <c r="G49" i="88"/>
  <c r="G48" i="88"/>
  <c r="G47" i="88"/>
  <c r="G46" i="88"/>
  <c r="G45" i="88"/>
  <c r="G44" i="88"/>
  <c r="G43" i="88"/>
  <c r="G42" i="88"/>
  <c r="G41" i="88"/>
  <c r="G40" i="88"/>
  <c r="G39" i="88"/>
  <c r="G38" i="88"/>
  <c r="G37" i="88"/>
  <c r="G36" i="88"/>
  <c r="G35" i="88"/>
  <c r="G34" i="88"/>
  <c r="G33" i="88"/>
  <c r="G32" i="88"/>
  <c r="G31" i="88"/>
  <c r="G30" i="88"/>
  <c r="G29" i="88"/>
  <c r="G28" i="88"/>
  <c r="G27" i="88"/>
  <c r="J26" i="88"/>
  <c r="G26" i="88"/>
  <c r="G25" i="88"/>
  <c r="G24" i="88"/>
  <c r="G23" i="88"/>
  <c r="G22" i="88"/>
  <c r="G21" i="88"/>
  <c r="G20" i="88"/>
  <c r="G19" i="88"/>
  <c r="G18" i="88"/>
  <c r="G17" i="88"/>
  <c r="G16" i="88"/>
  <c r="G15" i="88"/>
  <c r="J27" i="88" s="1"/>
  <c r="G14" i="88"/>
  <c r="G13" i="88"/>
  <c r="G12" i="88"/>
  <c r="G11" i="88"/>
  <c r="G10" i="88"/>
  <c r="G9" i="88"/>
  <c r="G8" i="88"/>
  <c r="G7" i="88"/>
  <c r="G6" i="88"/>
  <c r="V60" i="87"/>
  <c r="U60" i="87"/>
  <c r="S60" i="87"/>
  <c r="R60" i="87"/>
  <c r="P60" i="87"/>
  <c r="O60" i="87"/>
  <c r="M60" i="87"/>
  <c r="L60" i="87"/>
  <c r="F60" i="87"/>
  <c r="E60" i="87"/>
  <c r="D60" i="87"/>
  <c r="C60" i="87"/>
  <c r="B60" i="87"/>
  <c r="G58" i="87"/>
  <c r="G57" i="87"/>
  <c r="G56" i="87"/>
  <c r="G55" i="87"/>
  <c r="G54" i="87"/>
  <c r="G53" i="87"/>
  <c r="G52" i="87"/>
  <c r="G51" i="87"/>
  <c r="G50" i="87"/>
  <c r="G49" i="87"/>
  <c r="G48" i="87"/>
  <c r="G47" i="87"/>
  <c r="G46" i="87"/>
  <c r="G45" i="87"/>
  <c r="G44" i="87"/>
  <c r="G43" i="87"/>
  <c r="G42" i="87"/>
  <c r="G41" i="87"/>
  <c r="G40" i="87"/>
  <c r="G39" i="87"/>
  <c r="G38" i="87"/>
  <c r="G37" i="87"/>
  <c r="G36" i="87"/>
  <c r="G35" i="87"/>
  <c r="G34" i="87"/>
  <c r="G33" i="87"/>
  <c r="G32" i="87"/>
  <c r="G31" i="87"/>
  <c r="G30" i="87"/>
  <c r="G29" i="87"/>
  <c r="G28" i="87"/>
  <c r="G27" i="87"/>
  <c r="J26" i="87"/>
  <c r="G26" i="87"/>
  <c r="G25" i="87"/>
  <c r="G24" i="87"/>
  <c r="G23" i="87"/>
  <c r="G22" i="87"/>
  <c r="G21" i="87"/>
  <c r="G20" i="87"/>
  <c r="G19" i="87"/>
  <c r="G18" i="87"/>
  <c r="G17" i="87"/>
  <c r="G16" i="87"/>
  <c r="G15" i="87"/>
  <c r="G14" i="87"/>
  <c r="G13" i="87"/>
  <c r="G12" i="87"/>
  <c r="G11" i="87"/>
  <c r="G10" i="87"/>
  <c r="G9" i="87"/>
  <c r="G8" i="87"/>
  <c r="G7" i="87"/>
  <c r="G6" i="87"/>
  <c r="V60" i="86"/>
  <c r="U60" i="86"/>
  <c r="S60" i="86"/>
  <c r="R60" i="86"/>
  <c r="P60" i="86"/>
  <c r="O60" i="86"/>
  <c r="M60" i="86"/>
  <c r="L60" i="86"/>
  <c r="F60" i="86"/>
  <c r="E60" i="86"/>
  <c r="D60" i="86"/>
  <c r="C60" i="86"/>
  <c r="B60" i="86"/>
  <c r="G58" i="86"/>
  <c r="G57" i="86"/>
  <c r="G56" i="86"/>
  <c r="G55" i="86"/>
  <c r="G54" i="86"/>
  <c r="G53" i="86"/>
  <c r="G52" i="86"/>
  <c r="G51" i="86"/>
  <c r="G50" i="86"/>
  <c r="G49" i="86"/>
  <c r="G48" i="86"/>
  <c r="G47" i="86"/>
  <c r="G46" i="86"/>
  <c r="G45" i="86"/>
  <c r="G44" i="86"/>
  <c r="G43" i="86"/>
  <c r="G42" i="86"/>
  <c r="G41" i="86"/>
  <c r="G40" i="86"/>
  <c r="G39" i="86"/>
  <c r="G38" i="86"/>
  <c r="G37" i="86"/>
  <c r="G36" i="86"/>
  <c r="G35" i="86"/>
  <c r="G34" i="86"/>
  <c r="G33" i="86"/>
  <c r="G32" i="86"/>
  <c r="G31" i="86"/>
  <c r="G30" i="86"/>
  <c r="G29" i="86"/>
  <c r="G28" i="86"/>
  <c r="G27" i="86"/>
  <c r="J26" i="86"/>
  <c r="G26" i="86"/>
  <c r="G25" i="86"/>
  <c r="G24" i="86"/>
  <c r="G23" i="86"/>
  <c r="G22" i="86"/>
  <c r="G21" i="86"/>
  <c r="G20" i="86"/>
  <c r="G19" i="86"/>
  <c r="G18" i="86"/>
  <c r="G17" i="86"/>
  <c r="G16" i="86"/>
  <c r="G15" i="86"/>
  <c r="G14" i="86"/>
  <c r="G13" i="86"/>
  <c r="G12" i="86"/>
  <c r="G11" i="86"/>
  <c r="G10" i="86"/>
  <c r="G9" i="86"/>
  <c r="G8" i="86"/>
  <c r="G7" i="86"/>
  <c r="G6" i="86"/>
  <c r="V60" i="85"/>
  <c r="U60" i="85"/>
  <c r="S60" i="85"/>
  <c r="R60" i="85"/>
  <c r="P60" i="85"/>
  <c r="O60" i="85"/>
  <c r="M60" i="85"/>
  <c r="L60" i="85"/>
  <c r="F60" i="85"/>
  <c r="E60" i="85"/>
  <c r="D60" i="85"/>
  <c r="C60" i="85"/>
  <c r="B60" i="85"/>
  <c r="G58" i="85"/>
  <c r="G57" i="85"/>
  <c r="G56" i="85"/>
  <c r="G55" i="85"/>
  <c r="G54" i="85"/>
  <c r="G53" i="85"/>
  <c r="G52" i="85"/>
  <c r="G51" i="85"/>
  <c r="G50" i="85"/>
  <c r="G49" i="85"/>
  <c r="G48" i="85"/>
  <c r="G47" i="85"/>
  <c r="G46" i="85"/>
  <c r="G45" i="85"/>
  <c r="G44" i="85"/>
  <c r="G43" i="85"/>
  <c r="G42" i="85"/>
  <c r="G41" i="85"/>
  <c r="G40" i="85"/>
  <c r="G39" i="85"/>
  <c r="G38" i="85"/>
  <c r="G37" i="85"/>
  <c r="G36" i="85"/>
  <c r="G35" i="85"/>
  <c r="G34" i="85"/>
  <c r="G33" i="85"/>
  <c r="G32" i="85"/>
  <c r="G31" i="85"/>
  <c r="G30" i="85"/>
  <c r="G29" i="85"/>
  <c r="G28" i="85"/>
  <c r="G27" i="85"/>
  <c r="J26" i="85"/>
  <c r="G26" i="85"/>
  <c r="G25" i="85"/>
  <c r="G24" i="85"/>
  <c r="G23" i="85"/>
  <c r="G22" i="85"/>
  <c r="G21" i="85"/>
  <c r="G20" i="85"/>
  <c r="G19" i="85"/>
  <c r="G18" i="85"/>
  <c r="G17" i="85"/>
  <c r="G16" i="85"/>
  <c r="G15" i="85"/>
  <c r="G14" i="85"/>
  <c r="G13" i="85"/>
  <c r="G12" i="85"/>
  <c r="G11" i="85"/>
  <c r="G10" i="85"/>
  <c r="G9" i="85"/>
  <c r="G8" i="85"/>
  <c r="G60" i="85" s="1"/>
  <c r="G7" i="85"/>
  <c r="G6" i="85"/>
  <c r="V60" i="84"/>
  <c r="U60" i="84"/>
  <c r="S60" i="84"/>
  <c r="R60" i="84"/>
  <c r="P60" i="84"/>
  <c r="O60" i="84"/>
  <c r="M60" i="84"/>
  <c r="L60" i="84"/>
  <c r="F60" i="84"/>
  <c r="E60" i="84"/>
  <c r="D60" i="84"/>
  <c r="C60" i="84"/>
  <c r="B60" i="84"/>
  <c r="G58" i="84"/>
  <c r="G57" i="84"/>
  <c r="G56" i="84"/>
  <c r="G55" i="84"/>
  <c r="G54" i="84"/>
  <c r="G53" i="84"/>
  <c r="G52" i="84"/>
  <c r="G51" i="84"/>
  <c r="G50" i="84"/>
  <c r="G49" i="84"/>
  <c r="G48" i="84"/>
  <c r="G47" i="84"/>
  <c r="G46" i="84"/>
  <c r="G45" i="84"/>
  <c r="G44" i="84"/>
  <c r="G43" i="84"/>
  <c r="G42" i="84"/>
  <c r="G41" i="84"/>
  <c r="G40" i="84"/>
  <c r="G39" i="84"/>
  <c r="G38" i="84"/>
  <c r="G37" i="84"/>
  <c r="G36" i="84"/>
  <c r="G35" i="84"/>
  <c r="G34" i="84"/>
  <c r="G33" i="84"/>
  <c r="G32" i="84"/>
  <c r="G31" i="84"/>
  <c r="G30" i="84"/>
  <c r="G29" i="84"/>
  <c r="G28" i="84"/>
  <c r="G27" i="84"/>
  <c r="J26" i="84"/>
  <c r="G26" i="84"/>
  <c r="G25" i="84"/>
  <c r="G24" i="84"/>
  <c r="G23" i="84"/>
  <c r="G22" i="84"/>
  <c r="G21" i="84"/>
  <c r="G20" i="84"/>
  <c r="G19" i="84"/>
  <c r="G18" i="84"/>
  <c r="G17" i="84"/>
  <c r="G16" i="84"/>
  <c r="G15" i="84"/>
  <c r="G14" i="84"/>
  <c r="G13" i="84"/>
  <c r="G12" i="84"/>
  <c r="J27" i="84" s="1"/>
  <c r="G11" i="84"/>
  <c r="G10" i="84"/>
  <c r="G9" i="84"/>
  <c r="G8" i="84"/>
  <c r="G7" i="84"/>
  <c r="G6" i="84"/>
  <c r="V60" i="83"/>
  <c r="U60" i="83"/>
  <c r="S60" i="83"/>
  <c r="R60" i="83"/>
  <c r="P60" i="83"/>
  <c r="O60" i="83"/>
  <c r="M60" i="83"/>
  <c r="L60" i="83"/>
  <c r="F60" i="83"/>
  <c r="E60" i="83"/>
  <c r="D60" i="83"/>
  <c r="C60" i="83"/>
  <c r="B60" i="83"/>
  <c r="G58" i="83"/>
  <c r="G57" i="83"/>
  <c r="G56" i="83"/>
  <c r="G55" i="83"/>
  <c r="G54" i="83"/>
  <c r="G53" i="83"/>
  <c r="G52" i="83"/>
  <c r="G51" i="83"/>
  <c r="G50" i="83"/>
  <c r="G49" i="83"/>
  <c r="G48" i="83"/>
  <c r="G47" i="83"/>
  <c r="G46" i="83"/>
  <c r="G45" i="83"/>
  <c r="G44" i="83"/>
  <c r="G43" i="83"/>
  <c r="G42" i="83"/>
  <c r="G41" i="83"/>
  <c r="G40" i="83"/>
  <c r="G39" i="83"/>
  <c r="G38" i="83"/>
  <c r="G37" i="83"/>
  <c r="G36" i="83"/>
  <c r="G35" i="83"/>
  <c r="G34" i="83"/>
  <c r="G33" i="83"/>
  <c r="G32" i="83"/>
  <c r="G31" i="83"/>
  <c r="G30" i="83"/>
  <c r="G29" i="83"/>
  <c r="G28" i="83"/>
  <c r="G27" i="83"/>
  <c r="J26" i="83"/>
  <c r="G26" i="83"/>
  <c r="G25" i="83"/>
  <c r="G24" i="83"/>
  <c r="G23" i="83"/>
  <c r="G22" i="83"/>
  <c r="G21" i="83"/>
  <c r="G20" i="83"/>
  <c r="G19" i="83"/>
  <c r="G18" i="83"/>
  <c r="G17" i="83"/>
  <c r="G16" i="83"/>
  <c r="G15" i="83"/>
  <c r="G14" i="83"/>
  <c r="G13" i="83"/>
  <c r="G12" i="83"/>
  <c r="G11" i="83"/>
  <c r="G10" i="83"/>
  <c r="G9" i="83"/>
  <c r="G8" i="83"/>
  <c r="G7" i="83"/>
  <c r="G6" i="83"/>
  <c r="G60" i="83" s="1"/>
  <c r="V60" i="82"/>
  <c r="U60" i="82"/>
  <c r="S60" i="82"/>
  <c r="R60" i="82"/>
  <c r="P60" i="82"/>
  <c r="O60" i="82"/>
  <c r="M60" i="82"/>
  <c r="L60" i="82"/>
  <c r="F60" i="82"/>
  <c r="E60" i="82"/>
  <c r="D60" i="82"/>
  <c r="C60" i="82"/>
  <c r="B60" i="82"/>
  <c r="G58" i="82"/>
  <c r="G57" i="82"/>
  <c r="G56" i="82"/>
  <c r="G55" i="82"/>
  <c r="G54" i="82"/>
  <c r="G53" i="82"/>
  <c r="G52" i="82"/>
  <c r="G51" i="82"/>
  <c r="G50" i="82"/>
  <c r="G49" i="82"/>
  <c r="G48" i="82"/>
  <c r="G47" i="82"/>
  <c r="G46" i="82"/>
  <c r="G45" i="82"/>
  <c r="G44" i="82"/>
  <c r="G43" i="82"/>
  <c r="G42" i="82"/>
  <c r="G41" i="82"/>
  <c r="G40" i="82"/>
  <c r="G39" i="82"/>
  <c r="G38" i="82"/>
  <c r="G37" i="82"/>
  <c r="G36" i="82"/>
  <c r="G35" i="82"/>
  <c r="G34" i="82"/>
  <c r="G33" i="82"/>
  <c r="G32" i="82"/>
  <c r="G31" i="82"/>
  <c r="G30" i="82"/>
  <c r="G29" i="82"/>
  <c r="G28" i="82"/>
  <c r="G27" i="82"/>
  <c r="J26" i="82"/>
  <c r="G26" i="82"/>
  <c r="G25" i="82"/>
  <c r="G24" i="82"/>
  <c r="G23" i="82"/>
  <c r="G22" i="82"/>
  <c r="G21" i="82"/>
  <c r="G20" i="82"/>
  <c r="G19" i="82"/>
  <c r="G18" i="82"/>
  <c r="G17" i="82"/>
  <c r="G16" i="82"/>
  <c r="G15" i="82"/>
  <c r="G14" i="82"/>
  <c r="G13" i="82"/>
  <c r="G12" i="82"/>
  <c r="G11" i="82"/>
  <c r="G10" i="82"/>
  <c r="G9" i="82"/>
  <c r="G8" i="82"/>
  <c r="G7" i="82"/>
  <c r="G6" i="82"/>
  <c r="G60" i="82" s="1"/>
  <c r="V60" i="81"/>
  <c r="U60" i="81"/>
  <c r="S60" i="81"/>
  <c r="R60" i="81"/>
  <c r="P60" i="81"/>
  <c r="O60" i="81"/>
  <c r="M60" i="81"/>
  <c r="L60" i="81"/>
  <c r="F60" i="81"/>
  <c r="E60" i="81"/>
  <c r="D60" i="81"/>
  <c r="C60" i="81"/>
  <c r="B60" i="81"/>
  <c r="G58" i="81"/>
  <c r="G57" i="81"/>
  <c r="G56" i="81"/>
  <c r="G55" i="81"/>
  <c r="G54" i="81"/>
  <c r="G53" i="81"/>
  <c r="G52" i="81"/>
  <c r="G51" i="81"/>
  <c r="G50" i="81"/>
  <c r="G49" i="81"/>
  <c r="G48" i="81"/>
  <c r="G47" i="81"/>
  <c r="G46" i="81"/>
  <c r="G45" i="81"/>
  <c r="G44" i="81"/>
  <c r="G43" i="81"/>
  <c r="G42" i="81"/>
  <c r="G41" i="81"/>
  <c r="G40" i="81"/>
  <c r="G39" i="81"/>
  <c r="G38" i="81"/>
  <c r="G37" i="81"/>
  <c r="G36" i="81"/>
  <c r="G35" i="81"/>
  <c r="G34" i="81"/>
  <c r="G33" i="81"/>
  <c r="G32" i="81"/>
  <c r="G31" i="81"/>
  <c r="G30" i="81"/>
  <c r="G29" i="81"/>
  <c r="G28" i="81"/>
  <c r="G27" i="81"/>
  <c r="J26" i="81"/>
  <c r="G26" i="81"/>
  <c r="G25" i="81"/>
  <c r="G24" i="81"/>
  <c r="G23" i="81"/>
  <c r="G22" i="81"/>
  <c r="G21" i="81"/>
  <c r="G20" i="81"/>
  <c r="G19" i="81"/>
  <c r="G18" i="81"/>
  <c r="G17" i="81"/>
  <c r="G16" i="81"/>
  <c r="G15" i="81"/>
  <c r="G60" i="81" s="1"/>
  <c r="G14" i="81"/>
  <c r="G13" i="81"/>
  <c r="G12" i="81"/>
  <c r="G11" i="81"/>
  <c r="G10" i="81"/>
  <c r="G9" i="81"/>
  <c r="G8" i="81"/>
  <c r="G7" i="81"/>
  <c r="G6" i="81"/>
  <c r="V60" i="80"/>
  <c r="U60" i="80"/>
  <c r="S60" i="80"/>
  <c r="R60" i="80"/>
  <c r="P60" i="80"/>
  <c r="O60" i="80"/>
  <c r="M60" i="80"/>
  <c r="L60" i="80"/>
  <c r="F60" i="80"/>
  <c r="E60" i="80"/>
  <c r="D60" i="80"/>
  <c r="C60" i="80"/>
  <c r="B60" i="80"/>
  <c r="G58" i="80"/>
  <c r="G57" i="80"/>
  <c r="G56" i="80"/>
  <c r="G55" i="80"/>
  <c r="G54" i="80"/>
  <c r="G53" i="80"/>
  <c r="G52" i="80"/>
  <c r="G51" i="80"/>
  <c r="G50" i="80"/>
  <c r="G49" i="80"/>
  <c r="G48" i="80"/>
  <c r="G47" i="80"/>
  <c r="G46" i="80"/>
  <c r="G45" i="80"/>
  <c r="G44" i="80"/>
  <c r="G43" i="80"/>
  <c r="G42" i="80"/>
  <c r="G41" i="80"/>
  <c r="G40" i="80"/>
  <c r="G39" i="80"/>
  <c r="J27" i="80" s="1"/>
  <c r="G38" i="80"/>
  <c r="G37" i="80"/>
  <c r="G36" i="80"/>
  <c r="G35" i="80"/>
  <c r="G34" i="80"/>
  <c r="G33" i="80"/>
  <c r="G32" i="80"/>
  <c r="G31" i="80"/>
  <c r="G30" i="80"/>
  <c r="G29" i="80"/>
  <c r="G28" i="80"/>
  <c r="G27" i="80"/>
  <c r="J26" i="80"/>
  <c r="G26" i="80"/>
  <c r="G25" i="80"/>
  <c r="G24" i="80"/>
  <c r="G23" i="80"/>
  <c r="G22" i="80"/>
  <c r="G21" i="80"/>
  <c r="G20" i="80"/>
  <c r="G19" i="80"/>
  <c r="G18" i="80"/>
  <c r="G17" i="80"/>
  <c r="G16" i="80"/>
  <c r="G15" i="80"/>
  <c r="G14" i="80"/>
  <c r="G13" i="80"/>
  <c r="G12" i="80"/>
  <c r="G11" i="80"/>
  <c r="G10" i="80"/>
  <c r="G9" i="80"/>
  <c r="G8" i="80"/>
  <c r="G7" i="80"/>
  <c r="G6" i="80"/>
  <c r="V60" i="79"/>
  <c r="U60" i="79"/>
  <c r="S60" i="79"/>
  <c r="R60" i="79"/>
  <c r="P60" i="79"/>
  <c r="O60" i="79"/>
  <c r="M60" i="79"/>
  <c r="L60" i="79"/>
  <c r="F60" i="79"/>
  <c r="E60" i="79"/>
  <c r="D60" i="79"/>
  <c r="C60" i="79"/>
  <c r="B60" i="79"/>
  <c r="G58" i="79"/>
  <c r="G57" i="79"/>
  <c r="G56" i="79"/>
  <c r="G55" i="79"/>
  <c r="G54" i="79"/>
  <c r="G53" i="79"/>
  <c r="G52" i="79"/>
  <c r="G51" i="79"/>
  <c r="G50" i="79"/>
  <c r="G49" i="79"/>
  <c r="G48" i="79"/>
  <c r="G47" i="79"/>
  <c r="G46" i="79"/>
  <c r="G45" i="79"/>
  <c r="G44" i="79"/>
  <c r="G43" i="79"/>
  <c r="G42" i="79"/>
  <c r="G41" i="79"/>
  <c r="G40" i="79"/>
  <c r="G39" i="79"/>
  <c r="G38" i="79"/>
  <c r="G37" i="79"/>
  <c r="G36" i="79"/>
  <c r="G35" i="79"/>
  <c r="G34" i="79"/>
  <c r="G33" i="79"/>
  <c r="G32" i="79"/>
  <c r="G31" i="79"/>
  <c r="G30" i="79"/>
  <c r="G29" i="79"/>
  <c r="G28" i="79"/>
  <c r="G27" i="79"/>
  <c r="J26" i="79"/>
  <c r="G26" i="79"/>
  <c r="G25" i="79"/>
  <c r="G24" i="79"/>
  <c r="G23" i="79"/>
  <c r="G22" i="79"/>
  <c r="G21" i="79"/>
  <c r="G20" i="79"/>
  <c r="G19" i="79"/>
  <c r="G18" i="79"/>
  <c r="G17" i="79"/>
  <c r="G16" i="79"/>
  <c r="G15" i="79"/>
  <c r="G14" i="79"/>
  <c r="G13" i="79"/>
  <c r="G12" i="79"/>
  <c r="G11" i="79"/>
  <c r="G10" i="79"/>
  <c r="G9" i="79"/>
  <c r="G8" i="79"/>
  <c r="G7" i="79"/>
  <c r="G6" i="79"/>
  <c r="V60" i="78"/>
  <c r="U60" i="78"/>
  <c r="S60" i="78"/>
  <c r="R60" i="78"/>
  <c r="P60" i="78"/>
  <c r="O60" i="78"/>
  <c r="M60" i="78"/>
  <c r="L60" i="78"/>
  <c r="F60" i="78"/>
  <c r="E60" i="78"/>
  <c r="D60" i="78"/>
  <c r="C60" i="78"/>
  <c r="B60" i="78"/>
  <c r="G58" i="78"/>
  <c r="G57" i="78"/>
  <c r="G56" i="78"/>
  <c r="G55" i="78"/>
  <c r="G54" i="78"/>
  <c r="G53" i="78"/>
  <c r="G52" i="78"/>
  <c r="G51" i="78"/>
  <c r="G50" i="78"/>
  <c r="G49" i="78"/>
  <c r="G48" i="78"/>
  <c r="G47" i="78"/>
  <c r="G46" i="78"/>
  <c r="G45" i="78"/>
  <c r="G44" i="78"/>
  <c r="G43" i="78"/>
  <c r="G42" i="78"/>
  <c r="G41" i="78"/>
  <c r="G40" i="78"/>
  <c r="G39" i="78"/>
  <c r="G38" i="78"/>
  <c r="G37" i="78"/>
  <c r="G36" i="78"/>
  <c r="G35" i="78"/>
  <c r="G34" i="78"/>
  <c r="G33" i="78"/>
  <c r="G32" i="78"/>
  <c r="G31" i="78"/>
  <c r="G30" i="78"/>
  <c r="G29" i="78"/>
  <c r="G28" i="78"/>
  <c r="G27" i="78"/>
  <c r="J26" i="78"/>
  <c r="G26" i="78"/>
  <c r="G25" i="78"/>
  <c r="G24" i="78"/>
  <c r="G23" i="78"/>
  <c r="G22" i="78"/>
  <c r="G21" i="78"/>
  <c r="G20" i="78"/>
  <c r="G19" i="78"/>
  <c r="G18" i="78"/>
  <c r="G17" i="78"/>
  <c r="G16" i="78"/>
  <c r="G15" i="78"/>
  <c r="G14" i="78"/>
  <c r="G13" i="78"/>
  <c r="G12" i="78"/>
  <c r="G11" i="78"/>
  <c r="G10" i="78"/>
  <c r="G9" i="78"/>
  <c r="G8" i="78"/>
  <c r="G7" i="78"/>
  <c r="G6" i="78"/>
  <c r="G60" i="78" s="1"/>
  <c r="V60" i="77"/>
  <c r="U60" i="77"/>
  <c r="S60" i="77"/>
  <c r="R60" i="77"/>
  <c r="P60" i="77"/>
  <c r="O60" i="77"/>
  <c r="M60" i="77"/>
  <c r="L60" i="77"/>
  <c r="F60" i="77"/>
  <c r="E60" i="77"/>
  <c r="D60" i="77"/>
  <c r="C60" i="77"/>
  <c r="B60" i="77"/>
  <c r="G58" i="77"/>
  <c r="G57" i="77"/>
  <c r="G56" i="77"/>
  <c r="G55" i="77"/>
  <c r="G54" i="77"/>
  <c r="G53" i="77"/>
  <c r="G52" i="77"/>
  <c r="G51" i="77"/>
  <c r="G50" i="77"/>
  <c r="G49" i="77"/>
  <c r="G48" i="77"/>
  <c r="G47" i="77"/>
  <c r="G46" i="77"/>
  <c r="G45" i="77"/>
  <c r="G44" i="77"/>
  <c r="G43" i="77"/>
  <c r="G42" i="77"/>
  <c r="G41" i="77"/>
  <c r="G40" i="77"/>
  <c r="G39" i="77"/>
  <c r="G38" i="77"/>
  <c r="G37" i="77"/>
  <c r="G36" i="77"/>
  <c r="G35" i="77"/>
  <c r="G34" i="77"/>
  <c r="G33" i="77"/>
  <c r="G32" i="77"/>
  <c r="G31" i="77"/>
  <c r="G30" i="77"/>
  <c r="G29" i="77"/>
  <c r="G28" i="77"/>
  <c r="G27" i="77"/>
  <c r="J26" i="77"/>
  <c r="G26" i="77"/>
  <c r="G25" i="77"/>
  <c r="G24" i="77"/>
  <c r="G23" i="77"/>
  <c r="G22" i="77"/>
  <c r="G21" i="77"/>
  <c r="G20" i="77"/>
  <c r="G19" i="77"/>
  <c r="G18" i="77"/>
  <c r="G17" i="77"/>
  <c r="G16" i="77"/>
  <c r="G60" i="77" s="1"/>
  <c r="G15" i="77"/>
  <c r="G14" i="77"/>
  <c r="G13" i="77"/>
  <c r="G12" i="77"/>
  <c r="G11" i="77"/>
  <c r="G10" i="77"/>
  <c r="G9" i="77"/>
  <c r="G8" i="77"/>
  <c r="G7" i="77"/>
  <c r="G6" i="77"/>
  <c r="V60" i="76"/>
  <c r="U60" i="76"/>
  <c r="S60" i="76"/>
  <c r="R60" i="76"/>
  <c r="P60" i="76"/>
  <c r="O60" i="76"/>
  <c r="M60" i="76"/>
  <c r="L60" i="76"/>
  <c r="F60" i="76"/>
  <c r="E60" i="76"/>
  <c r="D60" i="76"/>
  <c r="C60" i="76"/>
  <c r="B60" i="76"/>
  <c r="G58" i="76"/>
  <c r="G57" i="76"/>
  <c r="G56" i="76"/>
  <c r="G55" i="76"/>
  <c r="G54" i="76"/>
  <c r="G53" i="76"/>
  <c r="G52" i="76"/>
  <c r="G51" i="76"/>
  <c r="G50" i="76"/>
  <c r="G49" i="76"/>
  <c r="G48" i="76"/>
  <c r="G47" i="76"/>
  <c r="G46" i="76"/>
  <c r="G45" i="76"/>
  <c r="G44" i="76"/>
  <c r="G43" i="76"/>
  <c r="G42" i="76"/>
  <c r="G41" i="76"/>
  <c r="G40" i="76"/>
  <c r="G39" i="76"/>
  <c r="G38" i="76"/>
  <c r="G37" i="76"/>
  <c r="G36" i="76"/>
  <c r="G35" i="76"/>
  <c r="G34" i="76"/>
  <c r="G33" i="76"/>
  <c r="G32" i="76"/>
  <c r="G31" i="76"/>
  <c r="G30" i="76"/>
  <c r="G29" i="76"/>
  <c r="G28" i="76"/>
  <c r="G27" i="76"/>
  <c r="J26" i="76"/>
  <c r="G26" i="76"/>
  <c r="G25" i="76"/>
  <c r="G24" i="76"/>
  <c r="G23" i="76"/>
  <c r="G22" i="76"/>
  <c r="G21" i="76"/>
  <c r="G20" i="76"/>
  <c r="G19" i="76"/>
  <c r="G18" i="76"/>
  <c r="G17" i="76"/>
  <c r="G16" i="76"/>
  <c r="G15" i="76"/>
  <c r="G14" i="76"/>
  <c r="G13" i="76"/>
  <c r="G12" i="76"/>
  <c r="J27" i="76" s="1"/>
  <c r="G11" i="76"/>
  <c r="G10" i="76"/>
  <c r="G9" i="76"/>
  <c r="G8" i="76"/>
  <c r="G7" i="76"/>
  <c r="G6" i="76"/>
  <c r="V60" i="75"/>
  <c r="U60" i="75"/>
  <c r="S60" i="75"/>
  <c r="R60" i="75"/>
  <c r="P60" i="75"/>
  <c r="O60" i="75"/>
  <c r="M60" i="75"/>
  <c r="L60" i="75"/>
  <c r="F60" i="75"/>
  <c r="E60" i="75"/>
  <c r="D60" i="75"/>
  <c r="C60" i="75"/>
  <c r="B60" i="75"/>
  <c r="G58" i="75"/>
  <c r="G57" i="75"/>
  <c r="G56" i="75"/>
  <c r="G55" i="75"/>
  <c r="G54" i="75"/>
  <c r="G53" i="75"/>
  <c r="G52" i="75"/>
  <c r="G51" i="75"/>
  <c r="G50" i="75"/>
  <c r="G49" i="75"/>
  <c r="G48" i="75"/>
  <c r="G47" i="75"/>
  <c r="G46" i="75"/>
  <c r="G45" i="75"/>
  <c r="G44" i="75"/>
  <c r="G43" i="75"/>
  <c r="G42" i="75"/>
  <c r="G41" i="75"/>
  <c r="G40" i="75"/>
  <c r="G39" i="75"/>
  <c r="G38" i="75"/>
  <c r="G37" i="75"/>
  <c r="G36" i="75"/>
  <c r="G35" i="75"/>
  <c r="G34" i="75"/>
  <c r="G33" i="75"/>
  <c r="G32" i="75"/>
  <c r="G31" i="75"/>
  <c r="G30" i="75"/>
  <c r="G29" i="75"/>
  <c r="G28" i="75"/>
  <c r="G27" i="75"/>
  <c r="J26" i="75"/>
  <c r="G26" i="75"/>
  <c r="G25" i="75"/>
  <c r="G24" i="75"/>
  <c r="G23" i="75"/>
  <c r="G22" i="75"/>
  <c r="G21" i="75"/>
  <c r="G20" i="75"/>
  <c r="G19" i="75"/>
  <c r="G18" i="75"/>
  <c r="G17" i="75"/>
  <c r="G16" i="75"/>
  <c r="G15" i="75"/>
  <c r="G14" i="75"/>
  <c r="G13" i="75"/>
  <c r="G12" i="75"/>
  <c r="G11" i="75"/>
  <c r="G10" i="75"/>
  <c r="G9" i="75"/>
  <c r="G8" i="75"/>
  <c r="G7" i="75"/>
  <c r="G6" i="75"/>
  <c r="V60" i="74"/>
  <c r="U60" i="74"/>
  <c r="S60" i="74"/>
  <c r="R60" i="74"/>
  <c r="P60" i="74"/>
  <c r="O60" i="74"/>
  <c r="M60" i="74"/>
  <c r="L60" i="74"/>
  <c r="F60" i="74"/>
  <c r="E60" i="74"/>
  <c r="D60" i="74"/>
  <c r="C60" i="74"/>
  <c r="B60" i="74"/>
  <c r="G58" i="74"/>
  <c r="G57" i="74"/>
  <c r="G56" i="74"/>
  <c r="G55" i="74"/>
  <c r="G54" i="74"/>
  <c r="G53" i="74"/>
  <c r="G52" i="74"/>
  <c r="G51" i="74"/>
  <c r="G50" i="74"/>
  <c r="G49" i="74"/>
  <c r="G48" i="74"/>
  <c r="G47" i="74"/>
  <c r="G46" i="74"/>
  <c r="G45" i="74"/>
  <c r="G44" i="74"/>
  <c r="G43" i="74"/>
  <c r="G42" i="74"/>
  <c r="G41" i="74"/>
  <c r="G40" i="74"/>
  <c r="G39" i="74"/>
  <c r="G38" i="74"/>
  <c r="G37" i="74"/>
  <c r="G36" i="74"/>
  <c r="G35" i="74"/>
  <c r="G34" i="74"/>
  <c r="G33" i="74"/>
  <c r="G32" i="74"/>
  <c r="G31" i="74"/>
  <c r="G30" i="74"/>
  <c r="G29" i="74"/>
  <c r="G28" i="74"/>
  <c r="G27" i="74"/>
  <c r="J26" i="74"/>
  <c r="G26" i="74"/>
  <c r="G25" i="74"/>
  <c r="G24" i="74"/>
  <c r="G23" i="74"/>
  <c r="G22" i="74"/>
  <c r="G21" i="74"/>
  <c r="G20" i="74"/>
  <c r="G19" i="74"/>
  <c r="G18" i="74"/>
  <c r="G17" i="74"/>
  <c r="G16" i="74"/>
  <c r="G15" i="74"/>
  <c r="G14" i="74"/>
  <c r="G13" i="74"/>
  <c r="G12" i="74"/>
  <c r="G11" i="74"/>
  <c r="G10" i="74"/>
  <c r="G9" i="74"/>
  <c r="G8" i="74"/>
  <c r="G7" i="74"/>
  <c r="G6" i="74"/>
  <c r="G60" i="74" s="1"/>
  <c r="V60" i="73"/>
  <c r="U60" i="73"/>
  <c r="S60" i="73"/>
  <c r="R60" i="73"/>
  <c r="P60" i="73"/>
  <c r="O60" i="73"/>
  <c r="M60" i="73"/>
  <c r="L60" i="73"/>
  <c r="F60" i="73"/>
  <c r="E60" i="73"/>
  <c r="D60" i="73"/>
  <c r="C60" i="73"/>
  <c r="B60" i="73"/>
  <c r="G58" i="73"/>
  <c r="G57" i="73"/>
  <c r="G56" i="73"/>
  <c r="G55" i="73"/>
  <c r="G54" i="73"/>
  <c r="G53" i="73"/>
  <c r="G52" i="73"/>
  <c r="G51" i="73"/>
  <c r="G50" i="73"/>
  <c r="G49" i="73"/>
  <c r="G48" i="73"/>
  <c r="G47" i="73"/>
  <c r="G46" i="73"/>
  <c r="G45" i="73"/>
  <c r="G44" i="73"/>
  <c r="G43" i="73"/>
  <c r="G42" i="73"/>
  <c r="G41" i="73"/>
  <c r="G40" i="73"/>
  <c r="G39" i="73"/>
  <c r="G38" i="73"/>
  <c r="G37" i="73"/>
  <c r="G36" i="73"/>
  <c r="G35" i="73"/>
  <c r="G34" i="73"/>
  <c r="G33" i="73"/>
  <c r="G32" i="73"/>
  <c r="G31" i="73"/>
  <c r="G30" i="73"/>
  <c r="G29" i="73"/>
  <c r="G28" i="73"/>
  <c r="G60" i="73" s="1"/>
  <c r="G27" i="73"/>
  <c r="J26" i="73"/>
  <c r="G26" i="73"/>
  <c r="G25" i="73"/>
  <c r="G24" i="73"/>
  <c r="G23" i="73"/>
  <c r="G22" i="73"/>
  <c r="G21" i="73"/>
  <c r="G20" i="73"/>
  <c r="G19" i="73"/>
  <c r="G18" i="73"/>
  <c r="G17" i="73"/>
  <c r="G16" i="73"/>
  <c r="G15" i="73"/>
  <c r="G14" i="73"/>
  <c r="G13" i="73"/>
  <c r="G12" i="73"/>
  <c r="G11" i="73"/>
  <c r="G10" i="73"/>
  <c r="G9" i="73"/>
  <c r="G8" i="73"/>
  <c r="G7" i="73"/>
  <c r="G6" i="73"/>
  <c r="V60" i="72"/>
  <c r="U60" i="72"/>
  <c r="S60" i="72"/>
  <c r="R60" i="72"/>
  <c r="P60" i="72"/>
  <c r="O60" i="72"/>
  <c r="M60" i="72"/>
  <c r="L60" i="72"/>
  <c r="F60" i="72"/>
  <c r="E60" i="72"/>
  <c r="D60" i="72"/>
  <c r="C60" i="72"/>
  <c r="B60" i="72"/>
  <c r="G58" i="72"/>
  <c r="G57" i="72"/>
  <c r="G56" i="72"/>
  <c r="G55" i="72"/>
  <c r="G54" i="72"/>
  <c r="G53" i="72"/>
  <c r="G52" i="72"/>
  <c r="G51" i="72"/>
  <c r="G50" i="72"/>
  <c r="G49" i="72"/>
  <c r="G48" i="72"/>
  <c r="G47" i="72"/>
  <c r="G46" i="72"/>
  <c r="G45" i="72"/>
  <c r="G44" i="72"/>
  <c r="G43" i="72"/>
  <c r="G42" i="72"/>
  <c r="G41" i="72"/>
  <c r="G40" i="72"/>
  <c r="G39" i="72"/>
  <c r="G38" i="72"/>
  <c r="G37" i="72"/>
  <c r="G36" i="72"/>
  <c r="G35" i="72"/>
  <c r="G34" i="72"/>
  <c r="G33" i="72"/>
  <c r="G32" i="72"/>
  <c r="G31" i="72"/>
  <c r="G30" i="72"/>
  <c r="G29" i="72"/>
  <c r="G28" i="72"/>
  <c r="G27" i="72"/>
  <c r="J26" i="72"/>
  <c r="G26" i="72"/>
  <c r="G25" i="72"/>
  <c r="G24" i="72"/>
  <c r="G23" i="72"/>
  <c r="G22" i="72"/>
  <c r="G21" i="72"/>
  <c r="G20" i="72"/>
  <c r="G19" i="72"/>
  <c r="G18" i="72"/>
  <c r="G17" i="72"/>
  <c r="G16" i="72"/>
  <c r="G15" i="72"/>
  <c r="G14" i="72"/>
  <c r="G13" i="72"/>
  <c r="G12" i="72"/>
  <c r="G11" i="72"/>
  <c r="G10" i="72"/>
  <c r="G9" i="72"/>
  <c r="G8" i="72"/>
  <c r="G7" i="72"/>
  <c r="J27" i="72" s="1"/>
  <c r="G6" i="72"/>
  <c r="V60" i="71"/>
  <c r="U60" i="71"/>
  <c r="S60" i="71"/>
  <c r="R60" i="71"/>
  <c r="P60" i="71"/>
  <c r="O60" i="71"/>
  <c r="M60" i="71"/>
  <c r="L60" i="71"/>
  <c r="F60" i="71"/>
  <c r="E60" i="71"/>
  <c r="D60" i="71"/>
  <c r="C60" i="71"/>
  <c r="B60" i="71"/>
  <c r="G58" i="71"/>
  <c r="G57" i="71"/>
  <c r="G56" i="71"/>
  <c r="G55" i="71"/>
  <c r="G54" i="71"/>
  <c r="G53" i="71"/>
  <c r="G52" i="71"/>
  <c r="G51" i="71"/>
  <c r="G50" i="71"/>
  <c r="G49" i="71"/>
  <c r="G48" i="71"/>
  <c r="G47" i="71"/>
  <c r="G46" i="71"/>
  <c r="G45" i="71"/>
  <c r="G44" i="71"/>
  <c r="G43" i="71"/>
  <c r="G42" i="71"/>
  <c r="G41" i="71"/>
  <c r="G40" i="71"/>
  <c r="G39" i="71"/>
  <c r="G38" i="71"/>
  <c r="G37" i="71"/>
  <c r="G36" i="71"/>
  <c r="G35" i="71"/>
  <c r="G34" i="71"/>
  <c r="G33" i="71"/>
  <c r="G32" i="71"/>
  <c r="G31" i="71"/>
  <c r="G30" i="71"/>
  <c r="G29" i="71"/>
  <c r="G28" i="71"/>
  <c r="G27" i="71"/>
  <c r="J26" i="71"/>
  <c r="G26" i="71"/>
  <c r="G25" i="71"/>
  <c r="G24" i="71"/>
  <c r="G23" i="71"/>
  <c r="G22" i="71"/>
  <c r="G21" i="71"/>
  <c r="G20" i="71"/>
  <c r="G19" i="71"/>
  <c r="G18" i="71"/>
  <c r="G17" i="71"/>
  <c r="G16" i="71"/>
  <c r="G15" i="71"/>
  <c r="G14" i="71"/>
  <c r="G13" i="71"/>
  <c r="G12" i="71"/>
  <c r="G11" i="71"/>
  <c r="G10" i="71"/>
  <c r="G9" i="71"/>
  <c r="G8" i="71"/>
  <c r="G7" i="71"/>
  <c r="G6" i="71"/>
  <c r="V60" i="70"/>
  <c r="U60" i="70"/>
  <c r="S60" i="70"/>
  <c r="R60" i="70"/>
  <c r="P60" i="70"/>
  <c r="O60" i="70"/>
  <c r="M60" i="70"/>
  <c r="L60" i="70"/>
  <c r="F60" i="70"/>
  <c r="E60" i="70"/>
  <c r="D60" i="70"/>
  <c r="C60" i="70"/>
  <c r="B60" i="70"/>
  <c r="G58" i="70"/>
  <c r="G57" i="70"/>
  <c r="G56" i="70"/>
  <c r="G55" i="70"/>
  <c r="G54" i="70"/>
  <c r="G53" i="70"/>
  <c r="G52" i="70"/>
  <c r="G51" i="70"/>
  <c r="G50" i="70"/>
  <c r="G49" i="70"/>
  <c r="G48" i="70"/>
  <c r="G47" i="70"/>
  <c r="G46" i="70"/>
  <c r="G45" i="70"/>
  <c r="G44" i="70"/>
  <c r="G43" i="70"/>
  <c r="G42" i="70"/>
  <c r="G41" i="70"/>
  <c r="G40" i="70"/>
  <c r="G39" i="70"/>
  <c r="G38" i="70"/>
  <c r="G37" i="70"/>
  <c r="G36" i="70"/>
  <c r="G35" i="70"/>
  <c r="G34" i="70"/>
  <c r="G33" i="70"/>
  <c r="G32" i="70"/>
  <c r="G31" i="70"/>
  <c r="G30" i="70"/>
  <c r="G29" i="70"/>
  <c r="G28" i="70"/>
  <c r="G27" i="70"/>
  <c r="J26" i="70"/>
  <c r="G26" i="70"/>
  <c r="G25" i="70"/>
  <c r="G24" i="70"/>
  <c r="G23" i="70"/>
  <c r="G22" i="70"/>
  <c r="G21" i="70"/>
  <c r="G20" i="70"/>
  <c r="G19" i="70"/>
  <c r="G18" i="70"/>
  <c r="G17" i="70"/>
  <c r="G16" i="70"/>
  <c r="G15" i="70"/>
  <c r="G14" i="70"/>
  <c r="G13" i="70"/>
  <c r="G12" i="70"/>
  <c r="G11" i="70"/>
  <c r="G10" i="70"/>
  <c r="G9" i="70"/>
  <c r="G8" i="70"/>
  <c r="G7" i="70"/>
  <c r="G6" i="70"/>
  <c r="G60" i="70" s="1"/>
  <c r="V60" i="69"/>
  <c r="U60" i="69"/>
  <c r="S60" i="69"/>
  <c r="R60" i="69"/>
  <c r="P60" i="69"/>
  <c r="O60" i="69"/>
  <c r="M60" i="69"/>
  <c r="L60" i="69"/>
  <c r="F60" i="69"/>
  <c r="E60" i="69"/>
  <c r="D60" i="69"/>
  <c r="C60" i="69"/>
  <c r="B60" i="69"/>
  <c r="G58" i="69"/>
  <c r="G57" i="69"/>
  <c r="G56" i="69"/>
  <c r="G55" i="69"/>
  <c r="G54" i="69"/>
  <c r="G53" i="69"/>
  <c r="G52" i="69"/>
  <c r="G51" i="69"/>
  <c r="G50" i="69"/>
  <c r="G49" i="69"/>
  <c r="G48" i="69"/>
  <c r="G47" i="69"/>
  <c r="G46" i="69"/>
  <c r="G45" i="69"/>
  <c r="G44" i="69"/>
  <c r="G43" i="69"/>
  <c r="G42" i="69"/>
  <c r="G41" i="69"/>
  <c r="G40" i="69"/>
  <c r="G39" i="69"/>
  <c r="G38" i="69"/>
  <c r="G37" i="69"/>
  <c r="G36" i="69"/>
  <c r="G35" i="69"/>
  <c r="G34" i="69"/>
  <c r="G33" i="69"/>
  <c r="G32" i="69"/>
  <c r="G31" i="69"/>
  <c r="G30" i="69"/>
  <c r="G29" i="69"/>
  <c r="G28" i="69"/>
  <c r="G27" i="69"/>
  <c r="J26" i="69"/>
  <c r="G26" i="69"/>
  <c r="G25" i="69"/>
  <c r="G24" i="69"/>
  <c r="G23" i="69"/>
  <c r="G22" i="69"/>
  <c r="G21" i="69"/>
  <c r="G20" i="69"/>
  <c r="G19" i="69"/>
  <c r="G18" i="69"/>
  <c r="G17" i="69"/>
  <c r="G16" i="69"/>
  <c r="G15" i="69"/>
  <c r="G14" i="69"/>
  <c r="G13" i="69"/>
  <c r="G12" i="69"/>
  <c r="G11" i="69"/>
  <c r="G10" i="69"/>
  <c r="G9" i="69"/>
  <c r="G8" i="69"/>
  <c r="G7" i="69"/>
  <c r="G6" i="69"/>
  <c r="V60" i="68"/>
  <c r="U60" i="68"/>
  <c r="S60" i="68"/>
  <c r="R60" i="68"/>
  <c r="P60" i="68"/>
  <c r="O60" i="68"/>
  <c r="M60" i="68"/>
  <c r="L60" i="68"/>
  <c r="F60" i="68"/>
  <c r="E60" i="68"/>
  <c r="D60" i="68"/>
  <c r="C60" i="68"/>
  <c r="B60" i="68"/>
  <c r="G58" i="68"/>
  <c r="G57" i="68"/>
  <c r="G56" i="68"/>
  <c r="G55" i="68"/>
  <c r="G54" i="68"/>
  <c r="G53" i="68"/>
  <c r="G52" i="68"/>
  <c r="G51" i="68"/>
  <c r="G50" i="68"/>
  <c r="G49" i="68"/>
  <c r="G48" i="68"/>
  <c r="G47" i="68"/>
  <c r="G46" i="68"/>
  <c r="G45" i="68"/>
  <c r="G44" i="68"/>
  <c r="G43" i="68"/>
  <c r="G42" i="68"/>
  <c r="G41" i="68"/>
  <c r="G40" i="68"/>
  <c r="G39" i="68"/>
  <c r="G38" i="68"/>
  <c r="G37" i="68"/>
  <c r="G36" i="68"/>
  <c r="G35" i="68"/>
  <c r="G34" i="68"/>
  <c r="G33" i="68"/>
  <c r="G32" i="68"/>
  <c r="G31" i="68"/>
  <c r="G30" i="68"/>
  <c r="G29" i="68"/>
  <c r="G28" i="68"/>
  <c r="G27" i="68"/>
  <c r="J26" i="68"/>
  <c r="G26" i="68"/>
  <c r="G25" i="68"/>
  <c r="G24" i="68"/>
  <c r="G23" i="68"/>
  <c r="G22" i="68"/>
  <c r="G21" i="68"/>
  <c r="G20" i="68"/>
  <c r="G19" i="68"/>
  <c r="G18" i="68"/>
  <c r="G17" i="68"/>
  <c r="G16" i="68"/>
  <c r="G15" i="68"/>
  <c r="J27" i="68" s="1"/>
  <c r="G14" i="68"/>
  <c r="G13" i="68"/>
  <c r="G12" i="68"/>
  <c r="G11" i="68"/>
  <c r="G10" i="68"/>
  <c r="G9" i="68"/>
  <c r="G8" i="68"/>
  <c r="G7" i="68"/>
  <c r="G6" i="68"/>
  <c r="V60" i="67"/>
  <c r="U60" i="67"/>
  <c r="S60" i="67"/>
  <c r="R60" i="67"/>
  <c r="P60" i="67"/>
  <c r="O60" i="67"/>
  <c r="M60" i="67"/>
  <c r="L60" i="67"/>
  <c r="F60" i="67"/>
  <c r="E60" i="67"/>
  <c r="D60" i="67"/>
  <c r="C60" i="67"/>
  <c r="B60"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J26" i="67"/>
  <c r="G26" i="67"/>
  <c r="G25" i="67"/>
  <c r="G24" i="67"/>
  <c r="G23" i="67"/>
  <c r="G22" i="67"/>
  <c r="G21" i="67"/>
  <c r="G20" i="67"/>
  <c r="G19" i="67"/>
  <c r="G18" i="67"/>
  <c r="G17" i="67"/>
  <c r="G16" i="67"/>
  <c r="G15" i="67"/>
  <c r="G14" i="67"/>
  <c r="G13" i="67"/>
  <c r="G12" i="67"/>
  <c r="G11" i="67"/>
  <c r="G10" i="67"/>
  <c r="G9" i="67"/>
  <c r="G8" i="67"/>
  <c r="G7" i="67"/>
  <c r="G6" i="67"/>
  <c r="V60" i="66"/>
  <c r="U60" i="66"/>
  <c r="S60" i="66"/>
  <c r="R60" i="66"/>
  <c r="P60" i="66"/>
  <c r="O60" i="66"/>
  <c r="M60" i="66"/>
  <c r="L60" i="66"/>
  <c r="G60" i="66"/>
  <c r="F60" i="66"/>
  <c r="E60" i="66"/>
  <c r="D60" i="66"/>
  <c r="C60" i="66"/>
  <c r="B60" i="66"/>
  <c r="G58" i="66"/>
  <c r="H58" i="102" s="1"/>
  <c r="G57" i="66"/>
  <c r="H57" i="102" s="1"/>
  <c r="G56" i="66"/>
  <c r="H56" i="102" s="1"/>
  <c r="G55" i="66"/>
  <c r="H55" i="102" s="1"/>
  <c r="G54" i="66"/>
  <c r="H54" i="102" s="1"/>
  <c r="G53" i="66"/>
  <c r="H53" i="102" s="1"/>
  <c r="G52" i="66"/>
  <c r="H52" i="102" s="1"/>
  <c r="G51" i="66"/>
  <c r="H51" i="102" s="1"/>
  <c r="G50" i="66"/>
  <c r="H50" i="102" s="1"/>
  <c r="G49" i="66"/>
  <c r="H49" i="102" s="1"/>
  <c r="G48" i="66"/>
  <c r="H48" i="102" s="1"/>
  <c r="G47" i="66"/>
  <c r="H47" i="102" s="1"/>
  <c r="G46" i="66"/>
  <c r="H46" i="102" s="1"/>
  <c r="G45" i="66"/>
  <c r="H45" i="102" s="1"/>
  <c r="G44" i="66"/>
  <c r="H44" i="102" s="1"/>
  <c r="G43" i="66"/>
  <c r="H43" i="102" s="1"/>
  <c r="G42" i="66"/>
  <c r="H42" i="102" s="1"/>
  <c r="G41" i="66"/>
  <c r="H41" i="102" s="1"/>
  <c r="G40" i="66"/>
  <c r="H40" i="102" s="1"/>
  <c r="G39" i="66"/>
  <c r="H39" i="102" s="1"/>
  <c r="G38" i="66"/>
  <c r="H38" i="102" s="1"/>
  <c r="G37" i="66"/>
  <c r="H37" i="102" s="1"/>
  <c r="G36" i="66"/>
  <c r="H36" i="102" s="1"/>
  <c r="G35" i="66"/>
  <c r="H35" i="102" s="1"/>
  <c r="G34" i="66"/>
  <c r="H34" i="102" s="1"/>
  <c r="G33" i="66"/>
  <c r="H33" i="102" s="1"/>
  <c r="G32" i="66"/>
  <c r="H32" i="102" s="1"/>
  <c r="G31" i="66"/>
  <c r="H31" i="102" s="1"/>
  <c r="G30" i="66"/>
  <c r="H30" i="102" s="1"/>
  <c r="G29" i="66"/>
  <c r="H29" i="102" s="1"/>
  <c r="G28" i="66"/>
  <c r="H28" i="102" s="1"/>
  <c r="G27" i="66"/>
  <c r="H27" i="102" s="1"/>
  <c r="J26" i="66"/>
  <c r="G26" i="66"/>
  <c r="H26" i="102" s="1"/>
  <c r="G25" i="66"/>
  <c r="H25" i="102" s="1"/>
  <c r="G24" i="66"/>
  <c r="H24" i="102" s="1"/>
  <c r="G23" i="66"/>
  <c r="H23" i="102" s="1"/>
  <c r="G22" i="66"/>
  <c r="H22" i="102" s="1"/>
  <c r="G21" i="66"/>
  <c r="H21" i="102" s="1"/>
  <c r="G20" i="66"/>
  <c r="H20" i="102" s="1"/>
  <c r="G19" i="66"/>
  <c r="H19" i="102" s="1"/>
  <c r="G18" i="66"/>
  <c r="H18" i="102" s="1"/>
  <c r="G17" i="66"/>
  <c r="H17" i="102" s="1"/>
  <c r="G16" i="66"/>
  <c r="H16" i="102" s="1"/>
  <c r="G15" i="66"/>
  <c r="H15" i="102" s="1"/>
  <c r="G14" i="66"/>
  <c r="H14" i="102" s="1"/>
  <c r="G13" i="66"/>
  <c r="H13" i="102" s="1"/>
  <c r="G12" i="66"/>
  <c r="H12" i="102" s="1"/>
  <c r="G11" i="66"/>
  <c r="H11" i="102" s="1"/>
  <c r="G10" i="66"/>
  <c r="H10" i="102" s="1"/>
  <c r="G9" i="66"/>
  <c r="H9" i="102" s="1"/>
  <c r="G8" i="66"/>
  <c r="H8" i="102" s="1"/>
  <c r="G7" i="66"/>
  <c r="H7" i="102" s="1"/>
  <c r="G6" i="66"/>
  <c r="V60" i="65"/>
  <c r="U60" i="65"/>
  <c r="S60" i="65"/>
  <c r="R60" i="65"/>
  <c r="P60" i="65"/>
  <c r="O60" i="65"/>
  <c r="M60" i="65"/>
  <c r="L60" i="65"/>
  <c r="F60" i="65"/>
  <c r="E60" i="65"/>
  <c r="D60" i="65"/>
  <c r="C60" i="65"/>
  <c r="B60" i="65"/>
  <c r="G58" i="65"/>
  <c r="G57" i="65"/>
  <c r="G56" i="65"/>
  <c r="G55" i="65"/>
  <c r="G54" i="65"/>
  <c r="G53" i="65"/>
  <c r="G52" i="65"/>
  <c r="G51" i="65"/>
  <c r="G50" i="65"/>
  <c r="G49" i="65"/>
  <c r="G48" i="65"/>
  <c r="G47" i="65"/>
  <c r="G46" i="65"/>
  <c r="G45" i="65"/>
  <c r="G44" i="65"/>
  <c r="G43" i="65"/>
  <c r="G42" i="65"/>
  <c r="G41" i="65"/>
  <c r="G40" i="65"/>
  <c r="G39" i="65"/>
  <c r="G38" i="65"/>
  <c r="G37" i="65"/>
  <c r="G36" i="65"/>
  <c r="G35" i="65"/>
  <c r="G34" i="65"/>
  <c r="G33" i="65"/>
  <c r="G32" i="65"/>
  <c r="G31" i="65"/>
  <c r="G30" i="65"/>
  <c r="G29" i="65"/>
  <c r="G28" i="65"/>
  <c r="G27" i="65"/>
  <c r="J26" i="65"/>
  <c r="G26" i="65"/>
  <c r="G25" i="65"/>
  <c r="G24" i="65"/>
  <c r="G23" i="65"/>
  <c r="G22" i="65"/>
  <c r="G21" i="65"/>
  <c r="G20" i="65"/>
  <c r="G19" i="65"/>
  <c r="G18" i="65"/>
  <c r="G17" i="65"/>
  <c r="G16" i="65"/>
  <c r="G15" i="65"/>
  <c r="G14" i="65"/>
  <c r="G13" i="65"/>
  <c r="G12" i="65"/>
  <c r="G11" i="65"/>
  <c r="G10" i="65"/>
  <c r="G9" i="65"/>
  <c r="G8" i="65"/>
  <c r="J27" i="65" s="1"/>
  <c r="G7" i="65"/>
  <c r="G6" i="65"/>
  <c r="G60" i="65" s="1"/>
  <c r="V60" i="64"/>
  <c r="U60" i="64"/>
  <c r="S60" i="64"/>
  <c r="R60" i="64"/>
  <c r="P60" i="64"/>
  <c r="O60" i="64"/>
  <c r="M60" i="64"/>
  <c r="L60" i="64"/>
  <c r="F60" i="64"/>
  <c r="E60" i="64"/>
  <c r="D60" i="64"/>
  <c r="C60" i="64"/>
  <c r="B60" i="64"/>
  <c r="G58" i="64"/>
  <c r="G57" i="64"/>
  <c r="G56" i="64"/>
  <c r="G55" i="64"/>
  <c r="G54" i="64"/>
  <c r="G53" i="64"/>
  <c r="G52" i="64"/>
  <c r="G51" i="64"/>
  <c r="G50" i="64"/>
  <c r="G49" i="64"/>
  <c r="G48" i="64"/>
  <c r="G47" i="64"/>
  <c r="G46" i="64"/>
  <c r="G45" i="64"/>
  <c r="G44" i="64"/>
  <c r="G43" i="64"/>
  <c r="G42" i="64"/>
  <c r="G41" i="64"/>
  <c r="G40" i="64"/>
  <c r="G39" i="64"/>
  <c r="G38" i="64"/>
  <c r="G37" i="64"/>
  <c r="G36" i="64"/>
  <c r="G35" i="64"/>
  <c r="G34" i="64"/>
  <c r="G33" i="64"/>
  <c r="G32" i="64"/>
  <c r="G31" i="64"/>
  <c r="G30" i="64"/>
  <c r="G29" i="64"/>
  <c r="G28" i="64"/>
  <c r="G27" i="64"/>
  <c r="J26" i="64"/>
  <c r="G26" i="64"/>
  <c r="G25" i="64"/>
  <c r="G24" i="64"/>
  <c r="G23" i="64"/>
  <c r="G22" i="64"/>
  <c r="G21" i="64"/>
  <c r="G20" i="64"/>
  <c r="G19" i="64"/>
  <c r="G18" i="64"/>
  <c r="G17" i="64"/>
  <c r="G16" i="64"/>
  <c r="G15" i="64"/>
  <c r="G14" i="64"/>
  <c r="G13" i="64"/>
  <c r="G12" i="64"/>
  <c r="J27" i="64" s="1"/>
  <c r="G11" i="64"/>
  <c r="G10" i="64"/>
  <c r="G9" i="64"/>
  <c r="G8" i="64"/>
  <c r="G7" i="64"/>
  <c r="G6" i="64"/>
  <c r="V60" i="63"/>
  <c r="U60" i="63"/>
  <c r="S60" i="63"/>
  <c r="R60" i="63"/>
  <c r="P60" i="63"/>
  <c r="O60" i="63"/>
  <c r="M60" i="63"/>
  <c r="L60" i="63"/>
  <c r="F60" i="63"/>
  <c r="E60" i="63"/>
  <c r="D60" i="63"/>
  <c r="C60" i="63"/>
  <c r="B60" i="63"/>
  <c r="G58" i="63"/>
  <c r="G57" i="63"/>
  <c r="G56" i="63"/>
  <c r="G55" i="63"/>
  <c r="G54" i="63"/>
  <c r="G53" i="63"/>
  <c r="G52" i="63"/>
  <c r="G51" i="63"/>
  <c r="G50" i="63"/>
  <c r="G49" i="63"/>
  <c r="G48" i="63"/>
  <c r="G47" i="63"/>
  <c r="G46" i="63"/>
  <c r="G45" i="63"/>
  <c r="G44" i="63"/>
  <c r="G43" i="63"/>
  <c r="G42" i="63"/>
  <c r="G41" i="63"/>
  <c r="G40" i="63"/>
  <c r="G39" i="63"/>
  <c r="G38" i="63"/>
  <c r="G37" i="63"/>
  <c r="G36" i="63"/>
  <c r="G35" i="63"/>
  <c r="G34" i="63"/>
  <c r="G33" i="63"/>
  <c r="G32" i="63"/>
  <c r="G31" i="63"/>
  <c r="G30" i="63"/>
  <c r="G29" i="63"/>
  <c r="G28" i="63"/>
  <c r="G27" i="63"/>
  <c r="J26" i="63"/>
  <c r="G26" i="63"/>
  <c r="G25" i="63"/>
  <c r="G24" i="63"/>
  <c r="G23" i="63"/>
  <c r="G22" i="63"/>
  <c r="G21" i="63"/>
  <c r="G20" i="63"/>
  <c r="G19" i="63"/>
  <c r="G18" i="63"/>
  <c r="G17" i="63"/>
  <c r="G16" i="63"/>
  <c r="G15" i="63"/>
  <c r="G14" i="63"/>
  <c r="G13" i="63"/>
  <c r="G12" i="63"/>
  <c r="G11" i="63"/>
  <c r="G10" i="63"/>
  <c r="G9" i="63"/>
  <c r="G8" i="63"/>
  <c r="G7" i="63"/>
  <c r="G6" i="63"/>
  <c r="G60" i="63" s="1"/>
  <c r="V60" i="62"/>
  <c r="U60" i="62"/>
  <c r="S60" i="62"/>
  <c r="R60" i="62"/>
  <c r="P60" i="62"/>
  <c r="O60" i="62"/>
  <c r="M60" i="62"/>
  <c r="L60" i="62"/>
  <c r="F60" i="62"/>
  <c r="E60" i="62"/>
  <c r="D60" i="62"/>
  <c r="C60" i="62"/>
  <c r="B60" i="62"/>
  <c r="G58" i="62"/>
  <c r="G57" i="62"/>
  <c r="G56" i="62"/>
  <c r="G55" i="62"/>
  <c r="G54" i="62"/>
  <c r="G53" i="62"/>
  <c r="G52" i="62"/>
  <c r="G51" i="62"/>
  <c r="G50" i="62"/>
  <c r="G49" i="62"/>
  <c r="G48" i="62"/>
  <c r="G47" i="62"/>
  <c r="G46" i="62"/>
  <c r="G45" i="62"/>
  <c r="G44" i="62"/>
  <c r="G43" i="62"/>
  <c r="G42" i="62"/>
  <c r="G41" i="62"/>
  <c r="G40" i="62"/>
  <c r="G39" i="62"/>
  <c r="G38" i="62"/>
  <c r="G37" i="62"/>
  <c r="G36" i="62"/>
  <c r="G35" i="62"/>
  <c r="G34" i="62"/>
  <c r="G33" i="62"/>
  <c r="G32" i="62"/>
  <c r="G31" i="62"/>
  <c r="G30" i="62"/>
  <c r="G29" i="62"/>
  <c r="G28" i="62"/>
  <c r="G27" i="62"/>
  <c r="J26" i="62"/>
  <c r="G26" i="62"/>
  <c r="G25" i="62"/>
  <c r="G24" i="62"/>
  <c r="G23" i="62"/>
  <c r="G22" i="62"/>
  <c r="G21" i="62"/>
  <c r="G20" i="62"/>
  <c r="G19" i="62"/>
  <c r="G18" i="62"/>
  <c r="G17" i="62"/>
  <c r="G16" i="62"/>
  <c r="G15" i="62"/>
  <c r="G14" i="62"/>
  <c r="G13" i="62"/>
  <c r="G12" i="62"/>
  <c r="G11" i="62"/>
  <c r="G10" i="62"/>
  <c r="G9" i="62"/>
  <c r="G8" i="62"/>
  <c r="G7" i="62"/>
  <c r="G60" i="62" s="1"/>
  <c r="G6" i="62"/>
  <c r="V60" i="61"/>
  <c r="U60" i="61"/>
  <c r="S60" i="61"/>
  <c r="R60" i="61"/>
  <c r="P60" i="61"/>
  <c r="O60" i="61"/>
  <c r="M60" i="61"/>
  <c r="L60" i="61"/>
  <c r="F60" i="61"/>
  <c r="E60" i="61"/>
  <c r="D60" i="61"/>
  <c r="C60" i="61"/>
  <c r="B60" i="61"/>
  <c r="G58" i="61"/>
  <c r="G57" i="61"/>
  <c r="G56" i="61"/>
  <c r="G55" i="61"/>
  <c r="G54" i="61"/>
  <c r="G53" i="61"/>
  <c r="G52" i="61"/>
  <c r="G51" i="61"/>
  <c r="G50" i="61"/>
  <c r="G49" i="61"/>
  <c r="G48" i="61"/>
  <c r="G47" i="61"/>
  <c r="G46" i="61"/>
  <c r="G45" i="61"/>
  <c r="G44" i="61"/>
  <c r="G43" i="61"/>
  <c r="G42" i="61"/>
  <c r="G41" i="61"/>
  <c r="G40" i="61"/>
  <c r="G39" i="61"/>
  <c r="G38" i="61"/>
  <c r="G37" i="61"/>
  <c r="G36" i="61"/>
  <c r="G35" i="61"/>
  <c r="G34" i="61"/>
  <c r="G33" i="61"/>
  <c r="G32" i="61"/>
  <c r="G31" i="61"/>
  <c r="G30" i="61"/>
  <c r="G29" i="61"/>
  <c r="G28" i="61"/>
  <c r="G27" i="61"/>
  <c r="J26" i="61"/>
  <c r="G26" i="61"/>
  <c r="G25" i="61"/>
  <c r="G24" i="61"/>
  <c r="G23" i="61"/>
  <c r="G22" i="61"/>
  <c r="G21" i="61"/>
  <c r="G20" i="61"/>
  <c r="G19" i="61"/>
  <c r="G18" i="61"/>
  <c r="G17" i="61"/>
  <c r="G16" i="61"/>
  <c r="G15" i="61"/>
  <c r="G14" i="61"/>
  <c r="G13" i="61"/>
  <c r="G12" i="61"/>
  <c r="G11" i="61"/>
  <c r="G10" i="61"/>
  <c r="G9" i="61"/>
  <c r="G8" i="61"/>
  <c r="G7" i="61"/>
  <c r="G6" i="61"/>
  <c r="G60" i="61" s="1"/>
  <c r="V60" i="60"/>
  <c r="U60" i="60"/>
  <c r="S60" i="60"/>
  <c r="R60" i="60"/>
  <c r="P60" i="60"/>
  <c r="O60" i="60"/>
  <c r="M60" i="60"/>
  <c r="L60" i="60"/>
  <c r="F60" i="60"/>
  <c r="E60" i="60"/>
  <c r="D60" i="60"/>
  <c r="C60" i="60"/>
  <c r="B60" i="60"/>
  <c r="G58" i="60"/>
  <c r="G57" i="60"/>
  <c r="G56" i="60"/>
  <c r="G55" i="60"/>
  <c r="G54" i="60"/>
  <c r="G53" i="60"/>
  <c r="G52" i="60"/>
  <c r="G51" i="60"/>
  <c r="G50" i="60"/>
  <c r="G49" i="60"/>
  <c r="G48" i="60"/>
  <c r="G47" i="60"/>
  <c r="G46" i="60"/>
  <c r="G45" i="60"/>
  <c r="G44" i="60"/>
  <c r="G43" i="60"/>
  <c r="G42" i="60"/>
  <c r="G41" i="60"/>
  <c r="G40" i="60"/>
  <c r="G39" i="60"/>
  <c r="G38" i="60"/>
  <c r="G37" i="60"/>
  <c r="G36" i="60"/>
  <c r="G35" i="60"/>
  <c r="G34" i="60"/>
  <c r="G33" i="60"/>
  <c r="G32" i="60"/>
  <c r="G31" i="60"/>
  <c r="G30" i="60"/>
  <c r="G29" i="60"/>
  <c r="G28" i="60"/>
  <c r="G27" i="60"/>
  <c r="J26" i="60"/>
  <c r="G26" i="60"/>
  <c r="G25" i="60"/>
  <c r="G24" i="60"/>
  <c r="G23" i="60"/>
  <c r="G22" i="60"/>
  <c r="G21" i="60"/>
  <c r="G20" i="60"/>
  <c r="G19" i="60"/>
  <c r="G18" i="60"/>
  <c r="G17" i="60"/>
  <c r="G16" i="60"/>
  <c r="G15" i="60"/>
  <c r="G14" i="60"/>
  <c r="G13" i="60"/>
  <c r="G12" i="60"/>
  <c r="G11" i="60"/>
  <c r="G10" i="60"/>
  <c r="G9" i="60"/>
  <c r="G8" i="60"/>
  <c r="G7" i="60"/>
  <c r="J27" i="60" s="1"/>
  <c r="G6" i="60"/>
  <c r="G60" i="60" s="1"/>
  <c r="V60" i="59"/>
  <c r="U60" i="59"/>
  <c r="S60" i="59"/>
  <c r="R60" i="59"/>
  <c r="P60" i="59"/>
  <c r="O60" i="59"/>
  <c r="M60" i="59"/>
  <c r="L60" i="59"/>
  <c r="F60" i="59"/>
  <c r="E60" i="59"/>
  <c r="D60" i="59"/>
  <c r="C60" i="59"/>
  <c r="B60" i="59"/>
  <c r="G58" i="59"/>
  <c r="G57" i="59"/>
  <c r="G56" i="59"/>
  <c r="G55" i="59"/>
  <c r="G54" i="59"/>
  <c r="G53" i="59"/>
  <c r="G52" i="59"/>
  <c r="G51" i="59"/>
  <c r="G50" i="59"/>
  <c r="G49" i="59"/>
  <c r="G48" i="59"/>
  <c r="G47" i="59"/>
  <c r="G46" i="59"/>
  <c r="G45" i="59"/>
  <c r="G44" i="59"/>
  <c r="G43" i="59"/>
  <c r="G42" i="59"/>
  <c r="G41" i="59"/>
  <c r="G40" i="59"/>
  <c r="G39" i="59"/>
  <c r="G38" i="59"/>
  <c r="G37" i="59"/>
  <c r="G36" i="59"/>
  <c r="G35" i="59"/>
  <c r="G34" i="59"/>
  <c r="G33" i="59"/>
  <c r="G32" i="59"/>
  <c r="G31" i="59"/>
  <c r="G30" i="59"/>
  <c r="G29" i="59"/>
  <c r="G28" i="59"/>
  <c r="G27" i="59"/>
  <c r="J26" i="59"/>
  <c r="G26" i="59"/>
  <c r="G25" i="59"/>
  <c r="G24" i="59"/>
  <c r="G23" i="59"/>
  <c r="G22" i="59"/>
  <c r="G21" i="59"/>
  <c r="G20" i="59"/>
  <c r="G19" i="59"/>
  <c r="G18" i="59"/>
  <c r="G17" i="59"/>
  <c r="G16" i="59"/>
  <c r="G15" i="59"/>
  <c r="G14" i="59"/>
  <c r="G13" i="59"/>
  <c r="G12" i="59"/>
  <c r="G11" i="59"/>
  <c r="G10" i="59"/>
  <c r="G9" i="59"/>
  <c r="G8" i="59"/>
  <c r="G7" i="59"/>
  <c r="G6" i="59"/>
  <c r="V60" i="58"/>
  <c r="U60" i="58"/>
  <c r="S60" i="58"/>
  <c r="R60" i="58"/>
  <c r="P60" i="58"/>
  <c r="O60" i="58"/>
  <c r="M60" i="58"/>
  <c r="L60" i="58"/>
  <c r="F60" i="58"/>
  <c r="E60" i="58"/>
  <c r="D60" i="58"/>
  <c r="C60" i="58"/>
  <c r="B60" i="58"/>
  <c r="G58" i="58"/>
  <c r="G57" i="58"/>
  <c r="G56" i="58"/>
  <c r="G55" i="58"/>
  <c r="G54" i="58"/>
  <c r="G53" i="58"/>
  <c r="G52" i="58"/>
  <c r="G51" i="58"/>
  <c r="G50" i="58"/>
  <c r="G49" i="58"/>
  <c r="G48" i="58"/>
  <c r="G47" i="58"/>
  <c r="G46" i="58"/>
  <c r="G45" i="58"/>
  <c r="G44" i="58"/>
  <c r="G43" i="58"/>
  <c r="G42" i="58"/>
  <c r="G41" i="58"/>
  <c r="G40" i="58"/>
  <c r="G39" i="58"/>
  <c r="G38" i="58"/>
  <c r="G37" i="58"/>
  <c r="G36" i="58"/>
  <c r="G35" i="58"/>
  <c r="G34" i="58"/>
  <c r="G33" i="58"/>
  <c r="G32" i="58"/>
  <c r="G31" i="58"/>
  <c r="G30" i="58"/>
  <c r="G29" i="58"/>
  <c r="G28" i="58"/>
  <c r="G27" i="58"/>
  <c r="J26" i="58"/>
  <c r="G26" i="58"/>
  <c r="G25" i="58"/>
  <c r="G24" i="58"/>
  <c r="G23" i="58"/>
  <c r="G22" i="58"/>
  <c r="G21" i="58"/>
  <c r="G20" i="58"/>
  <c r="G19" i="58"/>
  <c r="G18" i="58"/>
  <c r="G17" i="58"/>
  <c r="G16" i="58"/>
  <c r="G15" i="58"/>
  <c r="G14" i="58"/>
  <c r="G13" i="58"/>
  <c r="G12" i="58"/>
  <c r="G11" i="58"/>
  <c r="G10" i="58"/>
  <c r="G9" i="58"/>
  <c r="G60" i="58" s="1"/>
  <c r="G8" i="58"/>
  <c r="G7" i="58"/>
  <c r="G6" i="58"/>
  <c r="V60" i="57"/>
  <c r="U60" i="57"/>
  <c r="S60" i="57"/>
  <c r="R60" i="57"/>
  <c r="P60" i="57"/>
  <c r="O60" i="57"/>
  <c r="M60" i="57"/>
  <c r="L60" i="57"/>
  <c r="F60" i="57"/>
  <c r="E60" i="57"/>
  <c r="D60" i="57"/>
  <c r="C60" i="57"/>
  <c r="B60" i="57"/>
  <c r="G58" i="57"/>
  <c r="G57" i="57"/>
  <c r="G56" i="57"/>
  <c r="G55" i="57"/>
  <c r="G54" i="57"/>
  <c r="G53" i="57"/>
  <c r="G52" i="57"/>
  <c r="G60" i="57" s="1"/>
  <c r="G51" i="57"/>
  <c r="G50" i="57"/>
  <c r="G49" i="57"/>
  <c r="G48" i="57"/>
  <c r="G47" i="57"/>
  <c r="G46" i="57"/>
  <c r="G45" i="57"/>
  <c r="G44" i="57"/>
  <c r="G43" i="57"/>
  <c r="G42" i="57"/>
  <c r="G41" i="57"/>
  <c r="G40" i="57"/>
  <c r="G39" i="57"/>
  <c r="G38" i="57"/>
  <c r="G37" i="57"/>
  <c r="G36" i="57"/>
  <c r="G35" i="57"/>
  <c r="G34" i="57"/>
  <c r="G33" i="57"/>
  <c r="G32" i="57"/>
  <c r="G31" i="57"/>
  <c r="G30" i="57"/>
  <c r="G29" i="57"/>
  <c r="G28" i="57"/>
  <c r="G27" i="57"/>
  <c r="J26" i="57"/>
  <c r="G26" i="57"/>
  <c r="G25" i="57"/>
  <c r="G24" i="57"/>
  <c r="G23" i="57"/>
  <c r="G22" i="57"/>
  <c r="G21" i="57"/>
  <c r="G20" i="57"/>
  <c r="G19" i="57"/>
  <c r="G18" i="57"/>
  <c r="G17" i="57"/>
  <c r="G16" i="57"/>
  <c r="G15" i="57"/>
  <c r="G14" i="57"/>
  <c r="G13" i="57"/>
  <c r="G12" i="57"/>
  <c r="G11" i="57"/>
  <c r="G10" i="57"/>
  <c r="G9" i="57"/>
  <c r="G8" i="57"/>
  <c r="G7" i="57"/>
  <c r="G6" i="57"/>
  <c r="J27" i="57" s="1"/>
  <c r="V60" i="56"/>
  <c r="U60" i="56"/>
  <c r="S60" i="56"/>
  <c r="R60" i="56"/>
  <c r="P60" i="56"/>
  <c r="O60" i="56"/>
  <c r="M60" i="56"/>
  <c r="L60" i="56"/>
  <c r="F60" i="56"/>
  <c r="E60" i="56"/>
  <c r="D60" i="56"/>
  <c r="C60" i="56"/>
  <c r="B60" i="56"/>
  <c r="G58" i="56"/>
  <c r="G57" i="56"/>
  <c r="G56" i="56"/>
  <c r="G55" i="56"/>
  <c r="G54" i="56"/>
  <c r="G53" i="56"/>
  <c r="G52" i="56"/>
  <c r="G51" i="56"/>
  <c r="G50" i="56"/>
  <c r="G49" i="56"/>
  <c r="G48" i="56"/>
  <c r="G47" i="56"/>
  <c r="G46" i="56"/>
  <c r="G45" i="56"/>
  <c r="G44" i="56"/>
  <c r="G43" i="56"/>
  <c r="G42" i="56"/>
  <c r="G41" i="56"/>
  <c r="G40" i="56"/>
  <c r="G39" i="56"/>
  <c r="G38" i="56"/>
  <c r="G37" i="56"/>
  <c r="G36" i="56"/>
  <c r="G35" i="56"/>
  <c r="G34" i="56"/>
  <c r="G33" i="56"/>
  <c r="G32" i="56"/>
  <c r="G31" i="56"/>
  <c r="G30" i="56"/>
  <c r="G29" i="56"/>
  <c r="G28" i="56"/>
  <c r="G27" i="56"/>
  <c r="J26" i="56"/>
  <c r="G26" i="56"/>
  <c r="G25" i="56"/>
  <c r="G24" i="56"/>
  <c r="G23" i="56"/>
  <c r="G22" i="56"/>
  <c r="G21" i="56"/>
  <c r="G20" i="56"/>
  <c r="G19" i="56"/>
  <c r="G18" i="56"/>
  <c r="G17" i="56"/>
  <c r="G16" i="56"/>
  <c r="G15" i="56"/>
  <c r="G14" i="56"/>
  <c r="J27" i="56" s="1"/>
  <c r="G13" i="56"/>
  <c r="G12" i="56"/>
  <c r="G11" i="56"/>
  <c r="G10" i="56"/>
  <c r="G9" i="56"/>
  <c r="G8" i="56"/>
  <c r="G7" i="56"/>
  <c r="G6" i="56"/>
  <c r="V60" i="55"/>
  <c r="U60" i="55"/>
  <c r="S60" i="55"/>
  <c r="R60" i="55"/>
  <c r="P60" i="55"/>
  <c r="O60" i="55"/>
  <c r="M60" i="55"/>
  <c r="L60" i="55"/>
  <c r="F60" i="55"/>
  <c r="E60" i="55"/>
  <c r="D60" i="55"/>
  <c r="C60" i="55"/>
  <c r="B60" i="55"/>
  <c r="G58" i="55"/>
  <c r="G57" i="55"/>
  <c r="G56" i="55"/>
  <c r="G55" i="55"/>
  <c r="G54" i="55"/>
  <c r="G53" i="55"/>
  <c r="G52" i="55"/>
  <c r="G51" i="55"/>
  <c r="G50" i="55"/>
  <c r="G49" i="55"/>
  <c r="G48" i="55"/>
  <c r="G47" i="55"/>
  <c r="G46" i="55"/>
  <c r="G45" i="55"/>
  <c r="G44" i="55"/>
  <c r="G43" i="55"/>
  <c r="G42" i="55"/>
  <c r="G41" i="55"/>
  <c r="G40" i="55"/>
  <c r="G39" i="55"/>
  <c r="G38" i="55"/>
  <c r="G37" i="55"/>
  <c r="G36" i="55"/>
  <c r="G35" i="55"/>
  <c r="G34" i="55"/>
  <c r="G33" i="55"/>
  <c r="G32" i="55"/>
  <c r="G31" i="55"/>
  <c r="G30" i="55"/>
  <c r="G29" i="55"/>
  <c r="G28" i="55"/>
  <c r="G27" i="55"/>
  <c r="J26" i="55"/>
  <c r="G26" i="55"/>
  <c r="G25" i="55"/>
  <c r="G24" i="55"/>
  <c r="G23" i="55"/>
  <c r="G22" i="55"/>
  <c r="G21" i="55"/>
  <c r="G20" i="55"/>
  <c r="G19" i="55"/>
  <c r="G18" i="55"/>
  <c r="G17" i="55"/>
  <c r="G16" i="55"/>
  <c r="G15" i="55"/>
  <c r="G14" i="55"/>
  <c r="G13" i="55"/>
  <c r="G12" i="55"/>
  <c r="G11" i="55"/>
  <c r="G10" i="55"/>
  <c r="G9" i="55"/>
  <c r="G8" i="55"/>
  <c r="G7" i="55"/>
  <c r="G6" i="55"/>
  <c r="V60" i="54"/>
  <c r="U60" i="54"/>
  <c r="S60" i="54"/>
  <c r="R60" i="54"/>
  <c r="P60" i="54"/>
  <c r="O60" i="54"/>
  <c r="M60" i="54"/>
  <c r="L60" i="54"/>
  <c r="F60" i="54"/>
  <c r="E60" i="54"/>
  <c r="D60" i="54"/>
  <c r="C60" i="54"/>
  <c r="B60" i="54"/>
  <c r="G58" i="54"/>
  <c r="G57" i="54"/>
  <c r="G56" i="54"/>
  <c r="G55" i="54"/>
  <c r="G54" i="54"/>
  <c r="G53" i="54"/>
  <c r="G52" i="54"/>
  <c r="G51" i="54"/>
  <c r="G50" i="54"/>
  <c r="G49" i="54"/>
  <c r="G48" i="54"/>
  <c r="G47" i="54"/>
  <c r="G46" i="54"/>
  <c r="G45" i="54"/>
  <c r="G44" i="54"/>
  <c r="G43" i="54"/>
  <c r="G42" i="54"/>
  <c r="G41" i="54"/>
  <c r="G40" i="54"/>
  <c r="G39" i="54"/>
  <c r="G38" i="54"/>
  <c r="G37" i="54"/>
  <c r="G36" i="54"/>
  <c r="G35" i="54"/>
  <c r="G34" i="54"/>
  <c r="G33" i="54"/>
  <c r="G32" i="54"/>
  <c r="G31" i="54"/>
  <c r="G30" i="54"/>
  <c r="G29" i="54"/>
  <c r="G28" i="54"/>
  <c r="G60" i="54" s="1"/>
  <c r="G27" i="54"/>
  <c r="J26" i="54"/>
  <c r="G26" i="54"/>
  <c r="G25" i="54"/>
  <c r="G24" i="54"/>
  <c r="G23" i="54"/>
  <c r="G22" i="54"/>
  <c r="G21" i="54"/>
  <c r="G20" i="54"/>
  <c r="G19" i="54"/>
  <c r="G18" i="54"/>
  <c r="G17" i="54"/>
  <c r="G16" i="54"/>
  <c r="G15" i="54"/>
  <c r="G14" i="54"/>
  <c r="G13" i="54"/>
  <c r="G12" i="54"/>
  <c r="G11" i="54"/>
  <c r="G10" i="54"/>
  <c r="G9" i="54"/>
  <c r="G8" i="54"/>
  <c r="G7" i="54"/>
  <c r="G6" i="54"/>
  <c r="V60" i="53"/>
  <c r="U60" i="53"/>
  <c r="S60" i="53"/>
  <c r="R60" i="53"/>
  <c r="P60" i="53"/>
  <c r="O60" i="53"/>
  <c r="M60" i="53"/>
  <c r="L60" i="53"/>
  <c r="F60" i="53"/>
  <c r="E60" i="53"/>
  <c r="D60" i="53"/>
  <c r="C60" i="53"/>
  <c r="B60" i="53"/>
  <c r="G58" i="53"/>
  <c r="G57" i="53"/>
  <c r="G56" i="53"/>
  <c r="G55" i="53"/>
  <c r="G54" i="53"/>
  <c r="G53" i="53"/>
  <c r="G52" i="53"/>
  <c r="G51" i="53"/>
  <c r="G50" i="53"/>
  <c r="G49" i="53"/>
  <c r="G48" i="53"/>
  <c r="G47" i="53"/>
  <c r="G46" i="53"/>
  <c r="G45" i="53"/>
  <c r="G44" i="53"/>
  <c r="G43" i="53"/>
  <c r="G42" i="53"/>
  <c r="G41" i="53"/>
  <c r="G40" i="53"/>
  <c r="G39" i="53"/>
  <c r="G38" i="53"/>
  <c r="G37" i="53"/>
  <c r="G36" i="53"/>
  <c r="G35" i="53"/>
  <c r="G34" i="53"/>
  <c r="G33" i="53"/>
  <c r="G32" i="53"/>
  <c r="G31" i="53"/>
  <c r="G30" i="53"/>
  <c r="G29" i="53"/>
  <c r="G28" i="53"/>
  <c r="G27" i="53"/>
  <c r="J26" i="53"/>
  <c r="G26" i="53"/>
  <c r="G25" i="53"/>
  <c r="G24" i="53"/>
  <c r="G23" i="53"/>
  <c r="G22" i="53"/>
  <c r="G21" i="53"/>
  <c r="G20" i="53"/>
  <c r="G19" i="53"/>
  <c r="G18" i="53"/>
  <c r="G17" i="53"/>
  <c r="G16" i="53"/>
  <c r="G15" i="53"/>
  <c r="G14" i="53"/>
  <c r="G13" i="53"/>
  <c r="G12" i="53"/>
  <c r="G11" i="53"/>
  <c r="G10" i="53"/>
  <c r="G9" i="53"/>
  <c r="G8" i="53"/>
  <c r="J27" i="53" s="1"/>
  <c r="G7" i="53"/>
  <c r="G6" i="53"/>
  <c r="G60" i="53" s="1"/>
  <c r="V60" i="52"/>
  <c r="U60" i="52"/>
  <c r="S60" i="52"/>
  <c r="R60" i="52"/>
  <c r="P60" i="52"/>
  <c r="O60" i="52"/>
  <c r="M60" i="52"/>
  <c r="L60" i="52"/>
  <c r="F60" i="52"/>
  <c r="E60" i="52"/>
  <c r="D60" i="52"/>
  <c r="C60" i="52"/>
  <c r="B60" i="52"/>
  <c r="G58" i="52"/>
  <c r="G57" i="52"/>
  <c r="G56" i="52"/>
  <c r="G55" i="52"/>
  <c r="G54" i="52"/>
  <c r="G53" i="52"/>
  <c r="G52" i="52"/>
  <c r="G51" i="52"/>
  <c r="G50" i="52"/>
  <c r="G49" i="52"/>
  <c r="G48" i="52"/>
  <c r="G47" i="52"/>
  <c r="G46" i="52"/>
  <c r="G45" i="52"/>
  <c r="G44" i="52"/>
  <c r="G43" i="52"/>
  <c r="G42" i="52"/>
  <c r="G41" i="52"/>
  <c r="G40" i="52"/>
  <c r="G39" i="52"/>
  <c r="G38" i="52"/>
  <c r="G37" i="52"/>
  <c r="G36" i="52"/>
  <c r="G35" i="52"/>
  <c r="G34" i="52"/>
  <c r="G33" i="52"/>
  <c r="G32" i="52"/>
  <c r="G31" i="52"/>
  <c r="G30" i="52"/>
  <c r="G29" i="52"/>
  <c r="G28" i="52"/>
  <c r="G27" i="52"/>
  <c r="J26" i="52"/>
  <c r="G26" i="52"/>
  <c r="G25" i="52"/>
  <c r="G24" i="52"/>
  <c r="G23" i="52"/>
  <c r="G22" i="52"/>
  <c r="G21" i="52"/>
  <c r="G20" i="52"/>
  <c r="G19" i="52"/>
  <c r="G18" i="52"/>
  <c r="G17" i="52"/>
  <c r="G16" i="52"/>
  <c r="G15" i="52"/>
  <c r="G14" i="52"/>
  <c r="G13" i="52"/>
  <c r="G12" i="52"/>
  <c r="J27" i="52" s="1"/>
  <c r="G11" i="52"/>
  <c r="G10" i="52"/>
  <c r="G9" i="52"/>
  <c r="G8" i="52"/>
  <c r="G7" i="52"/>
  <c r="G6" i="52"/>
  <c r="V60" i="51"/>
  <c r="U60" i="51"/>
  <c r="S60" i="51"/>
  <c r="R60" i="51"/>
  <c r="P60" i="51"/>
  <c r="O60" i="51"/>
  <c r="M60" i="51"/>
  <c r="L60" i="51"/>
  <c r="F60" i="51"/>
  <c r="E60" i="51"/>
  <c r="D60" i="51"/>
  <c r="C60" i="51"/>
  <c r="B60" i="51"/>
  <c r="G58" i="51"/>
  <c r="G57" i="51"/>
  <c r="G56" i="51"/>
  <c r="G55" i="51"/>
  <c r="G54" i="51"/>
  <c r="G53" i="51"/>
  <c r="G52" i="51"/>
  <c r="G51" i="51"/>
  <c r="G50" i="51"/>
  <c r="G49" i="51"/>
  <c r="G48" i="51"/>
  <c r="G47" i="51"/>
  <c r="G46" i="51"/>
  <c r="G45" i="51"/>
  <c r="G44" i="51"/>
  <c r="G43" i="51"/>
  <c r="G42" i="51"/>
  <c r="G41" i="51"/>
  <c r="G40" i="51"/>
  <c r="G39" i="51"/>
  <c r="G38" i="51"/>
  <c r="G37" i="51"/>
  <c r="G36" i="51"/>
  <c r="G35" i="51"/>
  <c r="G34" i="51"/>
  <c r="G33" i="51"/>
  <c r="G32" i="51"/>
  <c r="G31" i="51"/>
  <c r="G30" i="51"/>
  <c r="G29" i="51"/>
  <c r="G28" i="51"/>
  <c r="G27" i="51"/>
  <c r="J26" i="51"/>
  <c r="G26" i="51"/>
  <c r="G25" i="51"/>
  <c r="G24" i="51"/>
  <c r="G23" i="51"/>
  <c r="G22" i="51"/>
  <c r="G21" i="51"/>
  <c r="G20" i="51"/>
  <c r="G19" i="51"/>
  <c r="G18" i="51"/>
  <c r="G17" i="51"/>
  <c r="G16" i="51"/>
  <c r="G15" i="51"/>
  <c r="G14" i="51"/>
  <c r="G13" i="51"/>
  <c r="G12" i="51"/>
  <c r="G11" i="51"/>
  <c r="G10" i="51"/>
  <c r="G9" i="51"/>
  <c r="G8" i="51"/>
  <c r="G7" i="51"/>
  <c r="G6" i="51"/>
  <c r="G60" i="51" s="1"/>
  <c r="V60" i="50"/>
  <c r="U60" i="50"/>
  <c r="S60" i="50"/>
  <c r="R60" i="50"/>
  <c r="P60" i="50"/>
  <c r="O60" i="50"/>
  <c r="M60" i="50"/>
  <c r="L60" i="50"/>
  <c r="F60" i="50"/>
  <c r="E60" i="50"/>
  <c r="D60" i="50"/>
  <c r="C60" i="50"/>
  <c r="B60" i="50"/>
  <c r="G58" i="50"/>
  <c r="G57" i="50"/>
  <c r="G56" i="50"/>
  <c r="G55" i="50"/>
  <c r="G54" i="50"/>
  <c r="G53" i="50"/>
  <c r="G52" i="50"/>
  <c r="G51" i="50"/>
  <c r="G50" i="50"/>
  <c r="G49" i="50"/>
  <c r="G48" i="50"/>
  <c r="G47" i="50"/>
  <c r="G46" i="50"/>
  <c r="G45" i="50"/>
  <c r="G44" i="50"/>
  <c r="G43" i="50"/>
  <c r="G42" i="50"/>
  <c r="G41" i="50"/>
  <c r="G40" i="50"/>
  <c r="G39" i="50"/>
  <c r="G38" i="50"/>
  <c r="G37" i="50"/>
  <c r="G36" i="50"/>
  <c r="G35" i="50"/>
  <c r="G34" i="50"/>
  <c r="G33" i="50"/>
  <c r="G32" i="50"/>
  <c r="G31" i="50"/>
  <c r="G30" i="50"/>
  <c r="G29" i="50"/>
  <c r="G28" i="50"/>
  <c r="G27" i="50"/>
  <c r="J26" i="50"/>
  <c r="G26" i="50"/>
  <c r="G25" i="50"/>
  <c r="G24" i="50"/>
  <c r="G23" i="50"/>
  <c r="G22" i="50"/>
  <c r="G21" i="50"/>
  <c r="G20" i="50"/>
  <c r="G19" i="50"/>
  <c r="G18" i="50"/>
  <c r="G17" i="50"/>
  <c r="G16" i="50"/>
  <c r="G15" i="50"/>
  <c r="G14" i="50"/>
  <c r="G13" i="50"/>
  <c r="G12" i="50"/>
  <c r="G11" i="50"/>
  <c r="G10" i="50"/>
  <c r="G9" i="50"/>
  <c r="G8" i="50"/>
  <c r="G7" i="50"/>
  <c r="G60" i="50" s="1"/>
  <c r="G6" i="50"/>
  <c r="V60" i="49"/>
  <c r="U60" i="49"/>
  <c r="S60" i="49"/>
  <c r="R60" i="49"/>
  <c r="P60" i="49"/>
  <c r="O60" i="49"/>
  <c r="M60" i="49"/>
  <c r="L60" i="49"/>
  <c r="F60" i="49"/>
  <c r="E60" i="49"/>
  <c r="D60" i="49"/>
  <c r="C60" i="49"/>
  <c r="B60" i="49"/>
  <c r="G58" i="49"/>
  <c r="G57" i="49"/>
  <c r="G56" i="49"/>
  <c r="G55" i="49"/>
  <c r="G54" i="49"/>
  <c r="G53" i="49"/>
  <c r="G52" i="49"/>
  <c r="G51" i="49"/>
  <c r="G50" i="49"/>
  <c r="G49" i="49"/>
  <c r="G48" i="49"/>
  <c r="G47" i="49"/>
  <c r="G46" i="49"/>
  <c r="G45" i="49"/>
  <c r="G44" i="49"/>
  <c r="G43" i="49"/>
  <c r="G42" i="49"/>
  <c r="G41" i="49"/>
  <c r="G40" i="49"/>
  <c r="G39" i="49"/>
  <c r="G38" i="49"/>
  <c r="G37" i="49"/>
  <c r="G36" i="49"/>
  <c r="G35" i="49"/>
  <c r="G34" i="49"/>
  <c r="G33" i="49"/>
  <c r="G32" i="49"/>
  <c r="G31" i="49"/>
  <c r="G30" i="49"/>
  <c r="G29" i="49"/>
  <c r="G28" i="49"/>
  <c r="G27" i="49"/>
  <c r="J26" i="49"/>
  <c r="G26" i="49"/>
  <c r="G25" i="49"/>
  <c r="G24" i="49"/>
  <c r="G23" i="49"/>
  <c r="G22" i="49"/>
  <c r="G21" i="49"/>
  <c r="G20" i="49"/>
  <c r="G19" i="49"/>
  <c r="G18" i="49"/>
  <c r="G17" i="49"/>
  <c r="G16" i="49"/>
  <c r="G15" i="49"/>
  <c r="G14" i="49"/>
  <c r="G13" i="49"/>
  <c r="G12" i="49"/>
  <c r="G11" i="49"/>
  <c r="G10" i="49"/>
  <c r="G9" i="49"/>
  <c r="G8" i="49"/>
  <c r="G7" i="49"/>
  <c r="G6" i="49"/>
  <c r="G60" i="49" s="1"/>
  <c r="V60" i="48"/>
  <c r="U60" i="48"/>
  <c r="S60" i="48"/>
  <c r="R60" i="48"/>
  <c r="P60" i="48"/>
  <c r="O60" i="48"/>
  <c r="M60" i="48"/>
  <c r="L60" i="48"/>
  <c r="F60" i="48"/>
  <c r="E60" i="48"/>
  <c r="D60" i="48"/>
  <c r="C60" i="48"/>
  <c r="B60" i="48"/>
  <c r="G58" i="48"/>
  <c r="G57" i="48"/>
  <c r="G56" i="48"/>
  <c r="G55" i="48"/>
  <c r="G54" i="48"/>
  <c r="G53" i="48"/>
  <c r="G52" i="48"/>
  <c r="G51" i="48"/>
  <c r="G50" i="48"/>
  <c r="G49" i="48"/>
  <c r="G48" i="48"/>
  <c r="G47" i="48"/>
  <c r="G46" i="48"/>
  <c r="G45" i="48"/>
  <c r="G44" i="48"/>
  <c r="G43" i="48"/>
  <c r="G42" i="48"/>
  <c r="G41" i="48"/>
  <c r="G40" i="48"/>
  <c r="G39" i="48"/>
  <c r="G38" i="48"/>
  <c r="G37" i="48"/>
  <c r="G36" i="48"/>
  <c r="G35" i="48"/>
  <c r="G34" i="48"/>
  <c r="G33" i="48"/>
  <c r="G32" i="48"/>
  <c r="G31" i="48"/>
  <c r="G30" i="48"/>
  <c r="G29" i="48"/>
  <c r="G28" i="48"/>
  <c r="G27" i="48"/>
  <c r="J26" i="48"/>
  <c r="G26" i="48"/>
  <c r="G25" i="48"/>
  <c r="G24" i="48"/>
  <c r="G23" i="48"/>
  <c r="G22" i="48"/>
  <c r="G21" i="48"/>
  <c r="G20" i="48"/>
  <c r="G19" i="48"/>
  <c r="G18" i="48"/>
  <c r="G17" i="48"/>
  <c r="G16" i="48"/>
  <c r="G15" i="48"/>
  <c r="G14" i="48"/>
  <c r="G13" i="48"/>
  <c r="G12" i="48"/>
  <c r="G11" i="48"/>
  <c r="G10" i="48"/>
  <c r="G9" i="48"/>
  <c r="G8" i="48"/>
  <c r="G7" i="48"/>
  <c r="J27" i="48" s="1"/>
  <c r="G6" i="48"/>
  <c r="G60" i="48" s="1"/>
  <c r="V60" i="47"/>
  <c r="U60" i="47"/>
  <c r="S60" i="47"/>
  <c r="R60" i="47"/>
  <c r="P60" i="47"/>
  <c r="O60" i="47"/>
  <c r="M60" i="47"/>
  <c r="L60" i="47"/>
  <c r="F60" i="47"/>
  <c r="E60" i="47"/>
  <c r="D60" i="47"/>
  <c r="C60" i="47"/>
  <c r="B60" i="47"/>
  <c r="G58" i="47"/>
  <c r="G57" i="47"/>
  <c r="G56" i="47"/>
  <c r="G55" i="47"/>
  <c r="G54" i="47"/>
  <c r="G53" i="47"/>
  <c r="G52" i="47"/>
  <c r="G51" i="47"/>
  <c r="G50" i="47"/>
  <c r="G49" i="47"/>
  <c r="G48" i="47"/>
  <c r="G47" i="47"/>
  <c r="G46" i="47"/>
  <c r="G45" i="47"/>
  <c r="G44" i="47"/>
  <c r="G43" i="47"/>
  <c r="G42" i="47"/>
  <c r="G41" i="47"/>
  <c r="G40" i="47"/>
  <c r="G39" i="47"/>
  <c r="G38" i="47"/>
  <c r="G37" i="47"/>
  <c r="G36" i="47"/>
  <c r="G35" i="47"/>
  <c r="G34" i="47"/>
  <c r="G33" i="47"/>
  <c r="G32" i="47"/>
  <c r="G31" i="47"/>
  <c r="G30" i="47"/>
  <c r="G29" i="47"/>
  <c r="G28" i="47"/>
  <c r="G27" i="47"/>
  <c r="J26" i="47"/>
  <c r="G26" i="47"/>
  <c r="G25" i="47"/>
  <c r="G24" i="47"/>
  <c r="G23" i="47"/>
  <c r="G22" i="47"/>
  <c r="G21" i="47"/>
  <c r="G20" i="47"/>
  <c r="G19" i="47"/>
  <c r="G18" i="47"/>
  <c r="G17" i="47"/>
  <c r="G16" i="47"/>
  <c r="G15" i="47"/>
  <c r="G14" i="47"/>
  <c r="G13" i="47"/>
  <c r="G12" i="47"/>
  <c r="G11" i="47"/>
  <c r="G10" i="47"/>
  <c r="G9" i="47"/>
  <c r="G8" i="47"/>
  <c r="G7" i="47"/>
  <c r="G6" i="47"/>
  <c r="V60" i="46"/>
  <c r="U60" i="46"/>
  <c r="S60" i="46"/>
  <c r="R60" i="46"/>
  <c r="P60" i="46"/>
  <c r="O60" i="46"/>
  <c r="M60" i="46"/>
  <c r="L60" i="46"/>
  <c r="F60" i="46"/>
  <c r="E60" i="46"/>
  <c r="D60" i="46"/>
  <c r="C60" i="46"/>
  <c r="B60" i="46"/>
  <c r="G58" i="46"/>
  <c r="G57" i="46"/>
  <c r="G56" i="46"/>
  <c r="G55" i="46"/>
  <c r="G54" i="46"/>
  <c r="G53" i="46"/>
  <c r="G52" i="46"/>
  <c r="G51" i="46"/>
  <c r="G50" i="46"/>
  <c r="G49" i="46"/>
  <c r="G48" i="46"/>
  <c r="G47" i="46"/>
  <c r="G46" i="46"/>
  <c r="G45" i="46"/>
  <c r="G44" i="46"/>
  <c r="G43" i="46"/>
  <c r="G42" i="46"/>
  <c r="G41" i="46"/>
  <c r="G40" i="46"/>
  <c r="G39" i="46"/>
  <c r="G38" i="46"/>
  <c r="G37" i="46"/>
  <c r="G36" i="46"/>
  <c r="G35" i="46"/>
  <c r="G34" i="46"/>
  <c r="G33" i="46"/>
  <c r="G32" i="46"/>
  <c r="G31" i="46"/>
  <c r="G30" i="46"/>
  <c r="G29" i="46"/>
  <c r="G28" i="46"/>
  <c r="G27" i="46"/>
  <c r="J26" i="46"/>
  <c r="G26" i="46"/>
  <c r="G25" i="46"/>
  <c r="G24" i="46"/>
  <c r="G23" i="46"/>
  <c r="G22" i="46"/>
  <c r="G21" i="46"/>
  <c r="G20" i="46"/>
  <c r="G19" i="46"/>
  <c r="G18" i="46"/>
  <c r="G17" i="46"/>
  <c r="G16" i="46"/>
  <c r="G15" i="46"/>
  <c r="G14" i="46"/>
  <c r="G13" i="46"/>
  <c r="G12" i="46"/>
  <c r="G11" i="46"/>
  <c r="G10" i="46"/>
  <c r="G9" i="46"/>
  <c r="G60" i="46" s="1"/>
  <c r="G8" i="46"/>
  <c r="G7" i="46"/>
  <c r="G6" i="46"/>
  <c r="V60" i="45"/>
  <c r="U60" i="45"/>
  <c r="S60" i="45"/>
  <c r="R60" i="45"/>
  <c r="P60" i="45"/>
  <c r="O60" i="45"/>
  <c r="M60" i="45"/>
  <c r="L60" i="45"/>
  <c r="F60" i="45"/>
  <c r="E60" i="45"/>
  <c r="D60" i="45"/>
  <c r="C60" i="45"/>
  <c r="B60" i="45"/>
  <c r="G58" i="45"/>
  <c r="G57" i="45"/>
  <c r="G56" i="45"/>
  <c r="G55" i="45"/>
  <c r="G54" i="45"/>
  <c r="G53" i="45"/>
  <c r="G52" i="45"/>
  <c r="G51" i="45"/>
  <c r="G50" i="45"/>
  <c r="G49" i="45"/>
  <c r="G48" i="45"/>
  <c r="G47" i="45"/>
  <c r="G46" i="45"/>
  <c r="G45" i="45"/>
  <c r="G44" i="45"/>
  <c r="G43" i="45"/>
  <c r="G42" i="45"/>
  <c r="G41" i="45"/>
  <c r="G40" i="45"/>
  <c r="G39" i="45"/>
  <c r="G38" i="45"/>
  <c r="G37" i="45"/>
  <c r="G36" i="45"/>
  <c r="G35" i="45"/>
  <c r="G34" i="45"/>
  <c r="G33" i="45"/>
  <c r="G32" i="45"/>
  <c r="G31" i="45"/>
  <c r="G30" i="45"/>
  <c r="G29" i="45"/>
  <c r="G28" i="45"/>
  <c r="G27" i="45"/>
  <c r="J26" i="45"/>
  <c r="G26" i="45"/>
  <c r="G25" i="45"/>
  <c r="G24" i="45"/>
  <c r="G23" i="45"/>
  <c r="G22" i="45"/>
  <c r="G21" i="45"/>
  <c r="G20" i="45"/>
  <c r="G19" i="45"/>
  <c r="G18" i="45"/>
  <c r="G17" i="45"/>
  <c r="G16" i="45"/>
  <c r="G15" i="45"/>
  <c r="G14" i="45"/>
  <c r="G13" i="45"/>
  <c r="G12" i="45"/>
  <c r="G11" i="45"/>
  <c r="G10" i="45"/>
  <c r="G9" i="45"/>
  <c r="G8" i="45"/>
  <c r="G7" i="45"/>
  <c r="G6" i="45"/>
  <c r="V60" i="44"/>
  <c r="U60" i="44"/>
  <c r="S60" i="44"/>
  <c r="R60" i="44"/>
  <c r="P60" i="44"/>
  <c r="O60" i="44"/>
  <c r="M60" i="44"/>
  <c r="L60" i="44"/>
  <c r="F60" i="44"/>
  <c r="E60" i="44"/>
  <c r="D60" i="44"/>
  <c r="C60" i="44"/>
  <c r="B60" i="44"/>
  <c r="G58" i="44"/>
  <c r="G57" i="44"/>
  <c r="G56" i="44"/>
  <c r="G55" i="44"/>
  <c r="G54" i="44"/>
  <c r="G53" i="44"/>
  <c r="G52" i="44"/>
  <c r="G51" i="44"/>
  <c r="G50" i="44"/>
  <c r="G49" i="44"/>
  <c r="G48" i="44"/>
  <c r="G47" i="44"/>
  <c r="G46" i="44"/>
  <c r="G45" i="44"/>
  <c r="G44" i="44"/>
  <c r="G43" i="44"/>
  <c r="G42" i="44"/>
  <c r="G41" i="44"/>
  <c r="G40" i="44"/>
  <c r="G39" i="44"/>
  <c r="G38" i="44"/>
  <c r="G37" i="44"/>
  <c r="G36" i="44"/>
  <c r="G35" i="44"/>
  <c r="G34" i="44"/>
  <c r="G33" i="44"/>
  <c r="G32" i="44"/>
  <c r="G31" i="44"/>
  <c r="G30" i="44"/>
  <c r="G29" i="44"/>
  <c r="G28" i="44"/>
  <c r="G27" i="44"/>
  <c r="J26" i="44"/>
  <c r="G26" i="44"/>
  <c r="G25" i="44"/>
  <c r="G24" i="44"/>
  <c r="G23" i="44"/>
  <c r="G22" i="44"/>
  <c r="G21" i="44"/>
  <c r="G20" i="44"/>
  <c r="G19" i="44"/>
  <c r="G18" i="44"/>
  <c r="G17" i="44"/>
  <c r="G16" i="44"/>
  <c r="G15" i="44"/>
  <c r="G14" i="44"/>
  <c r="G13" i="44"/>
  <c r="G12" i="44"/>
  <c r="G11" i="44"/>
  <c r="G10" i="44"/>
  <c r="G9" i="44"/>
  <c r="G8" i="44"/>
  <c r="G7" i="44"/>
  <c r="G6" i="44"/>
  <c r="V60" i="43"/>
  <c r="U60" i="43"/>
  <c r="S60" i="43"/>
  <c r="R60" i="43"/>
  <c r="P60" i="43"/>
  <c r="O60" i="43"/>
  <c r="M60" i="43"/>
  <c r="L60" i="43"/>
  <c r="F60" i="43"/>
  <c r="E60" i="43"/>
  <c r="D60" i="43"/>
  <c r="C60" i="43"/>
  <c r="B60" i="43"/>
  <c r="G58" i="43"/>
  <c r="G57" i="43"/>
  <c r="G56" i="43"/>
  <c r="G55" i="43"/>
  <c r="G54" i="43"/>
  <c r="G53" i="43"/>
  <c r="G52" i="43"/>
  <c r="G51" i="43"/>
  <c r="G50" i="43"/>
  <c r="G49" i="43"/>
  <c r="G48" i="43"/>
  <c r="G47" i="43"/>
  <c r="G46" i="43"/>
  <c r="G45" i="43"/>
  <c r="G44" i="43"/>
  <c r="G43" i="43"/>
  <c r="G42" i="43"/>
  <c r="G41" i="43"/>
  <c r="G40" i="43"/>
  <c r="G39" i="43"/>
  <c r="G38" i="43"/>
  <c r="G37" i="43"/>
  <c r="G36" i="43"/>
  <c r="G35" i="43"/>
  <c r="G34" i="43"/>
  <c r="G33" i="43"/>
  <c r="G32" i="43"/>
  <c r="G31" i="43"/>
  <c r="G30" i="43"/>
  <c r="G29" i="43"/>
  <c r="G28" i="43"/>
  <c r="G27" i="43"/>
  <c r="J26" i="43"/>
  <c r="G26" i="43"/>
  <c r="G25" i="43"/>
  <c r="G24" i="43"/>
  <c r="G23" i="43"/>
  <c r="G22" i="43"/>
  <c r="G21" i="43"/>
  <c r="G20" i="43"/>
  <c r="G19" i="43"/>
  <c r="G18" i="43"/>
  <c r="G17" i="43"/>
  <c r="G16" i="43"/>
  <c r="G15" i="43"/>
  <c r="G14" i="43"/>
  <c r="G13" i="43"/>
  <c r="G12" i="43"/>
  <c r="G11" i="43"/>
  <c r="G10" i="43"/>
  <c r="G9" i="43"/>
  <c r="G8" i="43"/>
  <c r="G7" i="43"/>
  <c r="G6" i="43"/>
  <c r="V60" i="42"/>
  <c r="U60" i="42"/>
  <c r="S60" i="42"/>
  <c r="R60" i="42"/>
  <c r="P60" i="42"/>
  <c r="O60" i="42"/>
  <c r="M60" i="42"/>
  <c r="L60" i="42"/>
  <c r="F60" i="42"/>
  <c r="E60" i="42"/>
  <c r="D60" i="42"/>
  <c r="C60" i="42"/>
  <c r="B60" i="42"/>
  <c r="G58" i="42"/>
  <c r="G57" i="42"/>
  <c r="G56" i="42"/>
  <c r="G55" i="42"/>
  <c r="G54" i="42"/>
  <c r="G53" i="42"/>
  <c r="G52" i="42"/>
  <c r="G51" i="42"/>
  <c r="G50" i="42"/>
  <c r="G49" i="42"/>
  <c r="G48" i="42"/>
  <c r="G47" i="42"/>
  <c r="G46" i="42"/>
  <c r="G45" i="42"/>
  <c r="G44" i="42"/>
  <c r="G43" i="42"/>
  <c r="G42" i="42"/>
  <c r="G41" i="42"/>
  <c r="G40" i="42"/>
  <c r="G39" i="42"/>
  <c r="G38" i="42"/>
  <c r="G37" i="42"/>
  <c r="G36" i="42"/>
  <c r="G35" i="42"/>
  <c r="G34" i="42"/>
  <c r="G33" i="42"/>
  <c r="G32" i="42"/>
  <c r="G31" i="42"/>
  <c r="G30" i="42"/>
  <c r="G29" i="42"/>
  <c r="G28" i="42"/>
  <c r="G60" i="42" s="1"/>
  <c r="G27" i="42"/>
  <c r="J26" i="42"/>
  <c r="G26" i="42"/>
  <c r="G25" i="42"/>
  <c r="G24" i="42"/>
  <c r="G23" i="42"/>
  <c r="G22" i="42"/>
  <c r="G21" i="42"/>
  <c r="G20" i="42"/>
  <c r="G19" i="42"/>
  <c r="G18" i="42"/>
  <c r="G17" i="42"/>
  <c r="G16" i="42"/>
  <c r="G15" i="42"/>
  <c r="G14" i="42"/>
  <c r="G13" i="42"/>
  <c r="G12" i="42"/>
  <c r="G11" i="42"/>
  <c r="G10" i="42"/>
  <c r="G9" i="42"/>
  <c r="G8" i="42"/>
  <c r="G7" i="42"/>
  <c r="G6" i="42"/>
  <c r="V60" i="41"/>
  <c r="U60" i="41"/>
  <c r="S60" i="41"/>
  <c r="R60" i="41"/>
  <c r="P60" i="41"/>
  <c r="O60" i="41"/>
  <c r="M60" i="41"/>
  <c r="L60" i="41"/>
  <c r="F60" i="41"/>
  <c r="E60" i="41"/>
  <c r="D60" i="41"/>
  <c r="C60" i="41"/>
  <c r="B60" i="41"/>
  <c r="G58" i="41"/>
  <c r="G57" i="41"/>
  <c r="G56" i="41"/>
  <c r="G55" i="41"/>
  <c r="G54" i="41"/>
  <c r="G53" i="41"/>
  <c r="G52" i="41"/>
  <c r="G51" i="41"/>
  <c r="G50" i="41"/>
  <c r="G49" i="41"/>
  <c r="G48" i="41"/>
  <c r="G47" i="41"/>
  <c r="G46" i="41"/>
  <c r="G45" i="41"/>
  <c r="G44" i="41"/>
  <c r="G43" i="41"/>
  <c r="G42" i="41"/>
  <c r="G41" i="41"/>
  <c r="G40" i="41"/>
  <c r="G39" i="41"/>
  <c r="G38" i="41"/>
  <c r="G37" i="41"/>
  <c r="G36" i="41"/>
  <c r="G35" i="41"/>
  <c r="G34" i="41"/>
  <c r="G33" i="41"/>
  <c r="G32" i="41"/>
  <c r="G31" i="41"/>
  <c r="G30" i="41"/>
  <c r="G29" i="41"/>
  <c r="G28" i="41"/>
  <c r="G27" i="41"/>
  <c r="J26" i="41"/>
  <c r="G26" i="41"/>
  <c r="G25" i="41"/>
  <c r="G24" i="41"/>
  <c r="G23" i="41"/>
  <c r="G22" i="41"/>
  <c r="G21" i="41"/>
  <c r="G20" i="41"/>
  <c r="G19" i="41"/>
  <c r="G18" i="41"/>
  <c r="G17" i="41"/>
  <c r="G16" i="41"/>
  <c r="G15" i="41"/>
  <c r="G14" i="41"/>
  <c r="G13" i="41"/>
  <c r="G12" i="41"/>
  <c r="G11" i="41"/>
  <c r="G10" i="41"/>
  <c r="G9" i="41"/>
  <c r="G8" i="41"/>
  <c r="J27" i="41" s="1"/>
  <c r="G7" i="41"/>
  <c r="G6" i="41"/>
  <c r="G60" i="41" s="1"/>
  <c r="V60" i="40"/>
  <c r="U60" i="40"/>
  <c r="S60" i="40"/>
  <c r="R60" i="40"/>
  <c r="P60" i="40"/>
  <c r="O60" i="40"/>
  <c r="M60" i="40"/>
  <c r="L60" i="40"/>
  <c r="F60" i="40"/>
  <c r="E60" i="40"/>
  <c r="D60" i="40"/>
  <c r="C60" i="40"/>
  <c r="B60" i="40"/>
  <c r="G58" i="40"/>
  <c r="G57" i="40"/>
  <c r="G56" i="40"/>
  <c r="G55" i="40"/>
  <c r="G54" i="40"/>
  <c r="G53" i="40"/>
  <c r="G52" i="40"/>
  <c r="G51" i="40"/>
  <c r="G50" i="40"/>
  <c r="G49" i="40"/>
  <c r="G48" i="40"/>
  <c r="G47" i="40"/>
  <c r="G46" i="40"/>
  <c r="G45" i="40"/>
  <c r="G44" i="40"/>
  <c r="G43" i="40"/>
  <c r="G42" i="40"/>
  <c r="G41" i="40"/>
  <c r="G40" i="40"/>
  <c r="G39" i="40"/>
  <c r="G38" i="40"/>
  <c r="G37" i="40"/>
  <c r="G36" i="40"/>
  <c r="G35" i="40"/>
  <c r="G34" i="40"/>
  <c r="G33" i="40"/>
  <c r="G32" i="40"/>
  <c r="G31" i="40"/>
  <c r="G30" i="40"/>
  <c r="G29" i="40"/>
  <c r="G28" i="40"/>
  <c r="G27" i="40"/>
  <c r="J26" i="40"/>
  <c r="G26" i="40"/>
  <c r="G25" i="40"/>
  <c r="G24" i="40"/>
  <c r="G23" i="40"/>
  <c r="G22" i="40"/>
  <c r="G21" i="40"/>
  <c r="G20" i="40"/>
  <c r="G19" i="40"/>
  <c r="G18" i="40"/>
  <c r="G17" i="40"/>
  <c r="G16" i="40"/>
  <c r="G15" i="40"/>
  <c r="G14" i="40"/>
  <c r="G13" i="40"/>
  <c r="G12" i="40"/>
  <c r="J27" i="40" s="1"/>
  <c r="G11" i="40"/>
  <c r="G10" i="40"/>
  <c r="G9" i="40"/>
  <c r="G8" i="40"/>
  <c r="G7" i="40"/>
  <c r="G6" i="40"/>
  <c r="V60" i="39"/>
  <c r="U60" i="39"/>
  <c r="S60" i="39"/>
  <c r="R60" i="39"/>
  <c r="P60" i="39"/>
  <c r="O60" i="39"/>
  <c r="M60" i="39"/>
  <c r="L60" i="39"/>
  <c r="F60" i="39"/>
  <c r="E60" i="39"/>
  <c r="D60" i="39"/>
  <c r="C60" i="39"/>
  <c r="B60"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J26" i="39"/>
  <c r="G26" i="39"/>
  <c r="G25" i="39"/>
  <c r="G24" i="39"/>
  <c r="G23" i="39"/>
  <c r="G22" i="39"/>
  <c r="G21" i="39"/>
  <c r="G20" i="39"/>
  <c r="G19" i="39"/>
  <c r="G18" i="39"/>
  <c r="G17" i="39"/>
  <c r="G16" i="39"/>
  <c r="G15" i="39"/>
  <c r="G14" i="39"/>
  <c r="G13" i="39"/>
  <c r="G12" i="39"/>
  <c r="G11" i="39"/>
  <c r="G10" i="39"/>
  <c r="G9" i="39"/>
  <c r="G8" i="39"/>
  <c r="G7" i="39"/>
  <c r="G6" i="39"/>
  <c r="G60" i="39" s="1"/>
  <c r="V60" i="38"/>
  <c r="U60" i="38"/>
  <c r="S60" i="38"/>
  <c r="R60" i="38"/>
  <c r="P60" i="38"/>
  <c r="O60" i="38"/>
  <c r="M60" i="38"/>
  <c r="L60" i="38"/>
  <c r="F60" i="38"/>
  <c r="E60" i="38"/>
  <c r="D60" i="38"/>
  <c r="C60" i="38"/>
  <c r="B60" i="38"/>
  <c r="G58" i="38"/>
  <c r="G57" i="38"/>
  <c r="G56" i="38"/>
  <c r="G55" i="38"/>
  <c r="G54" i="38"/>
  <c r="G53" i="38"/>
  <c r="G52" i="38"/>
  <c r="G51" i="38"/>
  <c r="G50" i="38"/>
  <c r="G49" i="38"/>
  <c r="G48" i="38"/>
  <c r="G47" i="38"/>
  <c r="G46" i="38"/>
  <c r="G45" i="38"/>
  <c r="G44" i="38"/>
  <c r="G43" i="38"/>
  <c r="G42" i="38"/>
  <c r="G41" i="38"/>
  <c r="G40" i="38"/>
  <c r="G39" i="38"/>
  <c r="G38" i="38"/>
  <c r="G37" i="38"/>
  <c r="G36" i="38"/>
  <c r="G35" i="38"/>
  <c r="G34" i="38"/>
  <c r="G33" i="38"/>
  <c r="G32" i="38"/>
  <c r="G31" i="38"/>
  <c r="G30" i="38"/>
  <c r="G29" i="38"/>
  <c r="G28" i="38"/>
  <c r="G27" i="38"/>
  <c r="J26" i="38"/>
  <c r="G26" i="38"/>
  <c r="G25" i="38"/>
  <c r="G24" i="38"/>
  <c r="G23" i="38"/>
  <c r="G22" i="38"/>
  <c r="G21" i="38"/>
  <c r="G20" i="38"/>
  <c r="G19" i="38"/>
  <c r="G18" i="38"/>
  <c r="G17" i="38"/>
  <c r="G16" i="38"/>
  <c r="G15" i="38"/>
  <c r="G14" i="38"/>
  <c r="G13" i="38"/>
  <c r="G12" i="38"/>
  <c r="G11" i="38"/>
  <c r="G10" i="38"/>
  <c r="G9" i="38"/>
  <c r="G8" i="38"/>
  <c r="G7" i="38"/>
  <c r="G60" i="38" s="1"/>
  <c r="G6" i="38"/>
  <c r="V60" i="37"/>
  <c r="U60" i="37"/>
  <c r="S60" i="37"/>
  <c r="R60" i="37"/>
  <c r="P60" i="37"/>
  <c r="O60" i="37"/>
  <c r="M60" i="37"/>
  <c r="L60" i="37"/>
  <c r="F60" i="37"/>
  <c r="E60" i="37"/>
  <c r="D60" i="37"/>
  <c r="C60" i="37"/>
  <c r="B60" i="37"/>
  <c r="G58" i="37"/>
  <c r="G57" i="37"/>
  <c r="G56" i="37"/>
  <c r="G55" i="37"/>
  <c r="G54" i="37"/>
  <c r="G53" i="37"/>
  <c r="G52" i="37"/>
  <c r="G51" i="37"/>
  <c r="G50" i="37"/>
  <c r="G49" i="37"/>
  <c r="G48" i="37"/>
  <c r="G47" i="37"/>
  <c r="G46" i="37"/>
  <c r="G45" i="37"/>
  <c r="G44" i="37"/>
  <c r="G43" i="37"/>
  <c r="G42" i="37"/>
  <c r="G41" i="37"/>
  <c r="G40" i="37"/>
  <c r="G39" i="37"/>
  <c r="G38" i="37"/>
  <c r="G37" i="37"/>
  <c r="G36" i="37"/>
  <c r="G35" i="37"/>
  <c r="G34" i="37"/>
  <c r="G33" i="37"/>
  <c r="G32" i="37"/>
  <c r="G31" i="37"/>
  <c r="G30" i="37"/>
  <c r="G29" i="37"/>
  <c r="G28" i="37"/>
  <c r="G27" i="37"/>
  <c r="J26" i="37"/>
  <c r="G26" i="37"/>
  <c r="G25" i="37"/>
  <c r="G24" i="37"/>
  <c r="G23" i="37"/>
  <c r="G22" i="37"/>
  <c r="G21" i="37"/>
  <c r="G20" i="37"/>
  <c r="G19" i="37"/>
  <c r="G18" i="37"/>
  <c r="G17" i="37"/>
  <c r="G16" i="37"/>
  <c r="G15" i="37"/>
  <c r="G14" i="37"/>
  <c r="G13" i="37"/>
  <c r="G12" i="37"/>
  <c r="G11" i="37"/>
  <c r="G10" i="37"/>
  <c r="G9" i="37"/>
  <c r="G8" i="37"/>
  <c r="G7" i="37"/>
  <c r="G6" i="37"/>
  <c r="G60" i="37" s="1"/>
  <c r="V60" i="36"/>
  <c r="U60" i="36"/>
  <c r="S60" i="36"/>
  <c r="R60" i="36"/>
  <c r="P60" i="36"/>
  <c r="O60" i="36"/>
  <c r="M60" i="36"/>
  <c r="L60" i="36"/>
  <c r="F60" i="36"/>
  <c r="E60" i="36"/>
  <c r="D60" i="36"/>
  <c r="C60" i="36"/>
  <c r="B60" i="36"/>
  <c r="G58" i="36"/>
  <c r="G57" i="36"/>
  <c r="G56" i="36"/>
  <c r="G55" i="36"/>
  <c r="G54" i="36"/>
  <c r="G53" i="36"/>
  <c r="G52" i="36"/>
  <c r="G51" i="36"/>
  <c r="G50" i="36"/>
  <c r="G49" i="36"/>
  <c r="G48" i="36"/>
  <c r="G47" i="36"/>
  <c r="G46" i="36"/>
  <c r="G45" i="36"/>
  <c r="G44" i="36"/>
  <c r="G43" i="36"/>
  <c r="G42" i="36"/>
  <c r="G41" i="36"/>
  <c r="G40" i="36"/>
  <c r="G39" i="36"/>
  <c r="G38" i="36"/>
  <c r="G37" i="36"/>
  <c r="G36" i="36"/>
  <c r="G35" i="36"/>
  <c r="G34" i="36"/>
  <c r="G33" i="36"/>
  <c r="G32" i="36"/>
  <c r="G31" i="36"/>
  <c r="G30" i="36"/>
  <c r="G29" i="36"/>
  <c r="G28" i="36"/>
  <c r="G27" i="36"/>
  <c r="J26" i="36"/>
  <c r="G26" i="36"/>
  <c r="G25" i="36"/>
  <c r="G24" i="36"/>
  <c r="G23" i="36"/>
  <c r="G22" i="36"/>
  <c r="G21" i="36"/>
  <c r="G20" i="36"/>
  <c r="G19" i="36"/>
  <c r="G18" i="36"/>
  <c r="G17" i="36"/>
  <c r="G16" i="36"/>
  <c r="G15" i="36"/>
  <c r="G14" i="36"/>
  <c r="G13" i="36"/>
  <c r="G12" i="36"/>
  <c r="G11" i="36"/>
  <c r="G10" i="36"/>
  <c r="G9" i="36"/>
  <c r="G8" i="36"/>
  <c r="G7" i="36"/>
  <c r="J27" i="36" s="1"/>
  <c r="G6" i="36"/>
  <c r="G60" i="36" s="1"/>
  <c r="V60" i="35"/>
  <c r="U60" i="35"/>
  <c r="S60" i="35"/>
  <c r="R60" i="35"/>
  <c r="P60" i="35"/>
  <c r="O60" i="35"/>
  <c r="M60" i="35"/>
  <c r="L60" i="35"/>
  <c r="F60" i="35"/>
  <c r="E60" i="35"/>
  <c r="D60" i="35"/>
  <c r="C60" i="35"/>
  <c r="B60" i="35"/>
  <c r="G58" i="35"/>
  <c r="G57" i="35"/>
  <c r="G56" i="35"/>
  <c r="G55" i="35"/>
  <c r="G54" i="35"/>
  <c r="G53" i="35"/>
  <c r="G52" i="35"/>
  <c r="G51" i="35"/>
  <c r="G50" i="35"/>
  <c r="G49" i="35"/>
  <c r="G48" i="35"/>
  <c r="G47" i="35"/>
  <c r="G46" i="35"/>
  <c r="G45" i="35"/>
  <c r="G44" i="35"/>
  <c r="G43" i="35"/>
  <c r="G42" i="35"/>
  <c r="G41" i="35"/>
  <c r="G40" i="35"/>
  <c r="G39" i="35"/>
  <c r="G38" i="35"/>
  <c r="G37" i="35"/>
  <c r="G36" i="35"/>
  <c r="G35" i="35"/>
  <c r="G34" i="35"/>
  <c r="G33" i="35"/>
  <c r="G32" i="35"/>
  <c r="G31" i="35"/>
  <c r="G30" i="35"/>
  <c r="G29" i="35"/>
  <c r="G28" i="35"/>
  <c r="G27" i="35"/>
  <c r="J26" i="35"/>
  <c r="G26" i="35"/>
  <c r="G25" i="35"/>
  <c r="G24" i="35"/>
  <c r="G23" i="35"/>
  <c r="G22" i="35"/>
  <c r="G21" i="35"/>
  <c r="G20" i="35"/>
  <c r="G19" i="35"/>
  <c r="G18" i="35"/>
  <c r="G17" i="35"/>
  <c r="G16" i="35"/>
  <c r="G15" i="35"/>
  <c r="G14" i="35"/>
  <c r="G13" i="35"/>
  <c r="G12" i="35"/>
  <c r="G11" i="35"/>
  <c r="G10" i="35"/>
  <c r="G9" i="35"/>
  <c r="G8" i="35"/>
  <c r="G7" i="35"/>
  <c r="G6" i="35"/>
  <c r="V60" i="34"/>
  <c r="U60" i="34"/>
  <c r="S60" i="34"/>
  <c r="R60" i="34"/>
  <c r="P60" i="34"/>
  <c r="O60" i="34"/>
  <c r="M60" i="34"/>
  <c r="L60" i="34"/>
  <c r="F60" i="34"/>
  <c r="E60" i="34"/>
  <c r="D60" i="34"/>
  <c r="C60" i="34"/>
  <c r="B60" i="34"/>
  <c r="G58" i="34"/>
  <c r="G57" i="34"/>
  <c r="G56" i="34"/>
  <c r="G55" i="34"/>
  <c r="G54" i="34"/>
  <c r="G53" i="34"/>
  <c r="G52" i="34"/>
  <c r="G51" i="34"/>
  <c r="G50" i="34"/>
  <c r="G49" i="34"/>
  <c r="G48" i="34"/>
  <c r="G47" i="34"/>
  <c r="G46" i="34"/>
  <c r="G45" i="34"/>
  <c r="G44" i="34"/>
  <c r="G43" i="34"/>
  <c r="G42" i="34"/>
  <c r="G41" i="34"/>
  <c r="G40" i="34"/>
  <c r="G39" i="34"/>
  <c r="G38" i="34"/>
  <c r="G37" i="34"/>
  <c r="G36" i="34"/>
  <c r="G35" i="34"/>
  <c r="G34" i="34"/>
  <c r="G33" i="34"/>
  <c r="G32" i="34"/>
  <c r="G31" i="34"/>
  <c r="G30" i="34"/>
  <c r="G29" i="34"/>
  <c r="G28" i="34"/>
  <c r="G27" i="34"/>
  <c r="J26" i="34"/>
  <c r="G26" i="34"/>
  <c r="G25" i="34"/>
  <c r="G24" i="34"/>
  <c r="G23" i="34"/>
  <c r="G22" i="34"/>
  <c r="G21" i="34"/>
  <c r="G20" i="34"/>
  <c r="G19" i="34"/>
  <c r="G18" i="34"/>
  <c r="G17" i="34"/>
  <c r="G16" i="34"/>
  <c r="G15" i="34"/>
  <c r="G14" i="34"/>
  <c r="G13" i="34"/>
  <c r="G12" i="34"/>
  <c r="G11" i="34"/>
  <c r="G10" i="34"/>
  <c r="G9" i="34"/>
  <c r="G60" i="34" s="1"/>
  <c r="G8" i="34"/>
  <c r="G7" i="34"/>
  <c r="G6" i="34"/>
  <c r="V60" i="33"/>
  <c r="U60" i="33"/>
  <c r="S60" i="33"/>
  <c r="R60" i="33"/>
  <c r="P60" i="33"/>
  <c r="O60" i="33"/>
  <c r="M60" i="33"/>
  <c r="L60" i="33"/>
  <c r="F60" i="33"/>
  <c r="E60" i="33"/>
  <c r="D60" i="33"/>
  <c r="C60" i="33"/>
  <c r="B60"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J26" i="33"/>
  <c r="G26" i="33"/>
  <c r="G25" i="33"/>
  <c r="G24" i="33"/>
  <c r="G23" i="33"/>
  <c r="G22" i="33"/>
  <c r="G21" i="33"/>
  <c r="G20" i="33"/>
  <c r="G19" i="33"/>
  <c r="G18" i="33"/>
  <c r="G17" i="33"/>
  <c r="G16" i="33"/>
  <c r="G15" i="33"/>
  <c r="G14" i="33"/>
  <c r="G13" i="33"/>
  <c r="G12" i="33"/>
  <c r="G11" i="33"/>
  <c r="G10" i="33"/>
  <c r="G9" i="33"/>
  <c r="G8" i="33"/>
  <c r="G7" i="33"/>
  <c r="G6" i="33"/>
  <c r="J27" i="33" s="1"/>
  <c r="V60" i="32"/>
  <c r="U60" i="32"/>
  <c r="S60" i="32"/>
  <c r="R60" i="32"/>
  <c r="P60" i="32"/>
  <c r="O60" i="32"/>
  <c r="M60" i="32"/>
  <c r="L60" i="32"/>
  <c r="F60" i="32"/>
  <c r="E60" i="32"/>
  <c r="D60" i="32"/>
  <c r="C60" i="32"/>
  <c r="B60" i="32"/>
  <c r="G58" i="32"/>
  <c r="G57" i="32"/>
  <c r="G56" i="32"/>
  <c r="G55" i="32"/>
  <c r="G54" i="32"/>
  <c r="G53" i="32"/>
  <c r="G52" i="32"/>
  <c r="G51" i="32"/>
  <c r="G50" i="32"/>
  <c r="G49" i="32"/>
  <c r="G48" i="32"/>
  <c r="G47" i="32"/>
  <c r="G46" i="32"/>
  <c r="G45" i="32"/>
  <c r="G44" i="32"/>
  <c r="G43" i="32"/>
  <c r="G42" i="32"/>
  <c r="G41" i="32"/>
  <c r="G40" i="32"/>
  <c r="G39" i="32"/>
  <c r="G38" i="32"/>
  <c r="G37" i="32"/>
  <c r="G36" i="32"/>
  <c r="G35" i="32"/>
  <c r="G34" i="32"/>
  <c r="G33" i="32"/>
  <c r="G32" i="32"/>
  <c r="G31" i="32"/>
  <c r="G30" i="32"/>
  <c r="G29" i="32"/>
  <c r="G28" i="32"/>
  <c r="G27" i="32"/>
  <c r="J26" i="32"/>
  <c r="G26" i="32"/>
  <c r="G25" i="32"/>
  <c r="G24" i="32"/>
  <c r="G23" i="32"/>
  <c r="G22" i="32"/>
  <c r="G21" i="32"/>
  <c r="G20" i="32"/>
  <c r="G19" i="32"/>
  <c r="G18" i="32"/>
  <c r="G17" i="32"/>
  <c r="G16" i="32"/>
  <c r="G15" i="32"/>
  <c r="G14" i="32"/>
  <c r="J27" i="32" s="1"/>
  <c r="G13" i="32"/>
  <c r="G12" i="32"/>
  <c r="G11" i="32"/>
  <c r="G10" i="32"/>
  <c r="G9" i="32"/>
  <c r="G8" i="32"/>
  <c r="G7" i="32"/>
  <c r="G6" i="32"/>
  <c r="V60" i="31"/>
  <c r="U60" i="31"/>
  <c r="S60" i="31"/>
  <c r="R60" i="31"/>
  <c r="P60" i="31"/>
  <c r="O60" i="31"/>
  <c r="M60" i="31"/>
  <c r="L60" i="31"/>
  <c r="F60" i="31"/>
  <c r="E60" i="31"/>
  <c r="D60" i="31"/>
  <c r="C60" i="31"/>
  <c r="B60"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J26" i="31"/>
  <c r="G26" i="31"/>
  <c r="G25" i="31"/>
  <c r="G24" i="31"/>
  <c r="G23" i="31"/>
  <c r="G22" i="31"/>
  <c r="G21" i="31"/>
  <c r="G20" i="31"/>
  <c r="G19" i="31"/>
  <c r="G18" i="31"/>
  <c r="G17" i="31"/>
  <c r="G16" i="31"/>
  <c r="G15" i="31"/>
  <c r="G14" i="31"/>
  <c r="G13" i="31"/>
  <c r="G12" i="31"/>
  <c r="G11" i="31"/>
  <c r="G10" i="31"/>
  <c r="G9" i="31"/>
  <c r="G8" i="31"/>
  <c r="G7" i="31"/>
  <c r="G6" i="31"/>
  <c r="V60" i="30"/>
  <c r="U60" i="30"/>
  <c r="S60" i="30"/>
  <c r="R60" i="30"/>
  <c r="P60" i="30"/>
  <c r="O60" i="30"/>
  <c r="M60" i="30"/>
  <c r="L60" i="30"/>
  <c r="F60" i="30"/>
  <c r="E60" i="30"/>
  <c r="D60" i="30"/>
  <c r="C60" i="30"/>
  <c r="B60" i="30"/>
  <c r="G58" i="30"/>
  <c r="G57" i="30"/>
  <c r="G56" i="30"/>
  <c r="G55" i="30"/>
  <c r="G54" i="30"/>
  <c r="G53" i="30"/>
  <c r="G52" i="30"/>
  <c r="G60" i="30" s="1"/>
  <c r="G51" i="30"/>
  <c r="G50" i="30"/>
  <c r="G49" i="30"/>
  <c r="G48" i="30"/>
  <c r="G47" i="30"/>
  <c r="G46" i="30"/>
  <c r="G45" i="30"/>
  <c r="G44" i="30"/>
  <c r="G43" i="30"/>
  <c r="G42" i="30"/>
  <c r="G41" i="30"/>
  <c r="G40" i="30"/>
  <c r="G39" i="30"/>
  <c r="G38" i="30"/>
  <c r="G37" i="30"/>
  <c r="G36" i="30"/>
  <c r="G35" i="30"/>
  <c r="G34" i="30"/>
  <c r="G33" i="30"/>
  <c r="G32" i="30"/>
  <c r="G31" i="30"/>
  <c r="G30" i="30"/>
  <c r="G29" i="30"/>
  <c r="G28" i="30"/>
  <c r="G27" i="30"/>
  <c r="J26" i="30"/>
  <c r="G26" i="30"/>
  <c r="G25" i="30"/>
  <c r="G24" i="30"/>
  <c r="G23" i="30"/>
  <c r="G22" i="30"/>
  <c r="G21" i="30"/>
  <c r="G20" i="30"/>
  <c r="G19" i="30"/>
  <c r="G18" i="30"/>
  <c r="G17" i="30"/>
  <c r="G16" i="30"/>
  <c r="G15" i="30"/>
  <c r="G14" i="30"/>
  <c r="G13" i="30"/>
  <c r="G12" i="30"/>
  <c r="G11" i="30"/>
  <c r="G10" i="30"/>
  <c r="G9" i="30"/>
  <c r="G8" i="30"/>
  <c r="G7" i="30"/>
  <c r="G6" i="30"/>
  <c r="V60" i="29"/>
  <c r="U60" i="29"/>
  <c r="S60" i="29"/>
  <c r="R60" i="29"/>
  <c r="P60" i="29"/>
  <c r="O60" i="29"/>
  <c r="M60" i="29"/>
  <c r="L60" i="29"/>
  <c r="F60" i="29"/>
  <c r="E60" i="29"/>
  <c r="D60" i="29"/>
  <c r="C60" i="29"/>
  <c r="B60" i="29"/>
  <c r="G58" i="29"/>
  <c r="G57" i="29"/>
  <c r="G56" i="29"/>
  <c r="G55" i="29"/>
  <c r="G54" i="29"/>
  <c r="G53" i="29"/>
  <c r="G52" i="29"/>
  <c r="G51" i="29"/>
  <c r="G50" i="29"/>
  <c r="G49" i="29"/>
  <c r="G48" i="29"/>
  <c r="G47" i="29"/>
  <c r="G46" i="29"/>
  <c r="G45" i="29"/>
  <c r="G44" i="29"/>
  <c r="G43" i="29"/>
  <c r="G42" i="29"/>
  <c r="G41" i="29"/>
  <c r="G40" i="29"/>
  <c r="G39" i="29"/>
  <c r="G38" i="29"/>
  <c r="G37" i="29"/>
  <c r="G36" i="29"/>
  <c r="G35" i="29"/>
  <c r="G34" i="29"/>
  <c r="G33" i="29"/>
  <c r="G32" i="29"/>
  <c r="G31" i="29"/>
  <c r="G30" i="29"/>
  <c r="G29" i="29"/>
  <c r="G28" i="29"/>
  <c r="G27" i="29"/>
  <c r="J26" i="29"/>
  <c r="G26" i="29"/>
  <c r="G25" i="29"/>
  <c r="G24" i="29"/>
  <c r="G23" i="29"/>
  <c r="G22" i="29"/>
  <c r="G21" i="29"/>
  <c r="G20" i="29"/>
  <c r="G19" i="29"/>
  <c r="G18" i="29"/>
  <c r="G17" i="29"/>
  <c r="G16" i="29"/>
  <c r="G15" i="29"/>
  <c r="G14" i="29"/>
  <c r="G13" i="29"/>
  <c r="G12" i="29"/>
  <c r="G11" i="29"/>
  <c r="G10" i="29"/>
  <c r="G9" i="29"/>
  <c r="G8" i="29"/>
  <c r="J27" i="29" s="1"/>
  <c r="G7" i="29"/>
  <c r="G6" i="29"/>
  <c r="G60" i="29" s="1"/>
  <c r="V60" i="28"/>
  <c r="U60" i="28"/>
  <c r="S60" i="28"/>
  <c r="R60" i="28"/>
  <c r="P60" i="28"/>
  <c r="O60" i="28"/>
  <c r="M60" i="28"/>
  <c r="L60" i="28"/>
  <c r="F60" i="28"/>
  <c r="E60" i="28"/>
  <c r="D60" i="28"/>
  <c r="C60" i="28"/>
  <c r="B60" i="28"/>
  <c r="G58" i="28"/>
  <c r="G57" i="28"/>
  <c r="G56" i="28"/>
  <c r="G55" i="28"/>
  <c r="G54" i="28"/>
  <c r="G53" i="28"/>
  <c r="G52" i="28"/>
  <c r="G51" i="28"/>
  <c r="G50" i="28"/>
  <c r="G49" i="28"/>
  <c r="G48" i="28"/>
  <c r="G47" i="28"/>
  <c r="G46" i="28"/>
  <c r="G45" i="28"/>
  <c r="G44" i="28"/>
  <c r="G43" i="28"/>
  <c r="G42" i="28"/>
  <c r="G41" i="28"/>
  <c r="G40" i="28"/>
  <c r="G39" i="28"/>
  <c r="G38" i="28"/>
  <c r="G37" i="28"/>
  <c r="G36" i="28"/>
  <c r="G35" i="28"/>
  <c r="G34" i="28"/>
  <c r="G33" i="28"/>
  <c r="G32" i="28"/>
  <c r="G31" i="28"/>
  <c r="G30" i="28"/>
  <c r="G29" i="28"/>
  <c r="G28" i="28"/>
  <c r="G27" i="28"/>
  <c r="J26" i="28"/>
  <c r="G26" i="28"/>
  <c r="G25" i="28"/>
  <c r="G24" i="28"/>
  <c r="G23" i="28"/>
  <c r="G22" i="28"/>
  <c r="G21" i="28"/>
  <c r="G20" i="28"/>
  <c r="G19" i="28"/>
  <c r="G18" i="28"/>
  <c r="G17" i="28"/>
  <c r="G16" i="28"/>
  <c r="G15" i="28"/>
  <c r="G14" i="28"/>
  <c r="G13" i="28"/>
  <c r="G12" i="28"/>
  <c r="J27" i="28" s="1"/>
  <c r="G11" i="28"/>
  <c r="G10" i="28"/>
  <c r="G9" i="28"/>
  <c r="G8" i="28"/>
  <c r="G7" i="28"/>
  <c r="G6" i="28"/>
  <c r="V60" i="27"/>
  <c r="U60" i="27"/>
  <c r="S60" i="27"/>
  <c r="R60" i="27"/>
  <c r="P60" i="27"/>
  <c r="O60" i="27"/>
  <c r="M60" i="27"/>
  <c r="L60" i="27"/>
  <c r="F60" i="27"/>
  <c r="E60" i="27"/>
  <c r="D60" i="27"/>
  <c r="C60" i="27"/>
  <c r="B60"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J26" i="27"/>
  <c r="G26" i="27"/>
  <c r="G25" i="27"/>
  <c r="G24" i="27"/>
  <c r="G23" i="27"/>
  <c r="G22" i="27"/>
  <c r="G21" i="27"/>
  <c r="G20" i="27"/>
  <c r="G19" i="27"/>
  <c r="G18" i="27"/>
  <c r="G17" i="27"/>
  <c r="G16" i="27"/>
  <c r="G15" i="27"/>
  <c r="G14" i="27"/>
  <c r="G13" i="27"/>
  <c r="G12" i="27"/>
  <c r="G11" i="27"/>
  <c r="G10" i="27"/>
  <c r="G9" i="27"/>
  <c r="G8" i="27"/>
  <c r="G7" i="27"/>
  <c r="G6" i="27"/>
  <c r="G60" i="27" s="1"/>
  <c r="V60" i="26"/>
  <c r="U60" i="26"/>
  <c r="S60" i="26"/>
  <c r="R60" i="26"/>
  <c r="P60" i="26"/>
  <c r="O60" i="26"/>
  <c r="M60" i="26"/>
  <c r="L60" i="26"/>
  <c r="F60" i="26"/>
  <c r="E60" i="26"/>
  <c r="D60" i="26"/>
  <c r="C60" i="26"/>
  <c r="B60" i="26"/>
  <c r="G58" i="26"/>
  <c r="G57" i="26"/>
  <c r="G56" i="26"/>
  <c r="G55" i="26"/>
  <c r="G54" i="26"/>
  <c r="G53" i="26"/>
  <c r="G52" i="26"/>
  <c r="G51" i="26"/>
  <c r="G50" i="26"/>
  <c r="G49" i="26"/>
  <c r="G48" i="26"/>
  <c r="G47" i="26"/>
  <c r="G46" i="26"/>
  <c r="G45" i="26"/>
  <c r="G44" i="26"/>
  <c r="G43" i="26"/>
  <c r="G42" i="26"/>
  <c r="G41" i="26"/>
  <c r="G40" i="26"/>
  <c r="G39" i="26"/>
  <c r="G38" i="26"/>
  <c r="G37" i="26"/>
  <c r="G36" i="26"/>
  <c r="G35" i="26"/>
  <c r="G34" i="26"/>
  <c r="G33" i="26"/>
  <c r="G32" i="26"/>
  <c r="G31" i="26"/>
  <c r="G30" i="26"/>
  <c r="G29" i="26"/>
  <c r="G28" i="26"/>
  <c r="G27" i="26"/>
  <c r="J26" i="26"/>
  <c r="G26" i="26"/>
  <c r="G25" i="26"/>
  <c r="G24" i="26"/>
  <c r="G23" i="26"/>
  <c r="G22" i="26"/>
  <c r="G21" i="26"/>
  <c r="G20" i="26"/>
  <c r="G19" i="26"/>
  <c r="G18" i="26"/>
  <c r="G17" i="26"/>
  <c r="G16" i="26"/>
  <c r="G15" i="26"/>
  <c r="G14" i="26"/>
  <c r="G13" i="26"/>
  <c r="G12" i="26"/>
  <c r="G11" i="26"/>
  <c r="G10" i="26"/>
  <c r="G9" i="26"/>
  <c r="G8" i="26"/>
  <c r="G7" i="26"/>
  <c r="G60" i="26" s="1"/>
  <c r="G6" i="26"/>
  <c r="V60" i="25"/>
  <c r="U60" i="25"/>
  <c r="S60" i="25"/>
  <c r="R60" i="25"/>
  <c r="P60" i="25"/>
  <c r="O60" i="25"/>
  <c r="M60" i="25"/>
  <c r="L60" i="25"/>
  <c r="F60" i="25"/>
  <c r="E60" i="25"/>
  <c r="D60" i="25"/>
  <c r="C60" i="25"/>
  <c r="B60" i="25"/>
  <c r="G58" i="25"/>
  <c r="G57" i="25"/>
  <c r="G56" i="25"/>
  <c r="G55" i="25"/>
  <c r="G54" i="25"/>
  <c r="G53" i="25"/>
  <c r="G52" i="25"/>
  <c r="G51" i="25"/>
  <c r="G50" i="25"/>
  <c r="G49" i="25"/>
  <c r="G48" i="25"/>
  <c r="G47" i="25"/>
  <c r="G46" i="25"/>
  <c r="G45" i="25"/>
  <c r="G44" i="25"/>
  <c r="G43" i="25"/>
  <c r="G42" i="25"/>
  <c r="G41" i="25"/>
  <c r="G40" i="25"/>
  <c r="G39" i="25"/>
  <c r="G38" i="25"/>
  <c r="G37" i="25"/>
  <c r="G36" i="25"/>
  <c r="G35" i="25"/>
  <c r="G34" i="25"/>
  <c r="G33" i="25"/>
  <c r="G32" i="25"/>
  <c r="G31" i="25"/>
  <c r="G30" i="25"/>
  <c r="G29" i="25"/>
  <c r="G28" i="25"/>
  <c r="G27" i="25"/>
  <c r="J26" i="25"/>
  <c r="G26" i="25"/>
  <c r="G25" i="25"/>
  <c r="G24" i="25"/>
  <c r="G23" i="25"/>
  <c r="G22" i="25"/>
  <c r="G21" i="25"/>
  <c r="G20" i="25"/>
  <c r="G19" i="25"/>
  <c r="G18" i="25"/>
  <c r="G17" i="25"/>
  <c r="G16" i="25"/>
  <c r="G15" i="25"/>
  <c r="G14" i="25"/>
  <c r="G13" i="25"/>
  <c r="G12" i="25"/>
  <c r="G11" i="25"/>
  <c r="G10" i="25"/>
  <c r="G9" i="25"/>
  <c r="G8" i="25"/>
  <c r="G7" i="25"/>
  <c r="G6" i="25"/>
  <c r="G60" i="25" s="1"/>
  <c r="V60" i="24"/>
  <c r="U60" i="24"/>
  <c r="S60" i="24"/>
  <c r="R60" i="24"/>
  <c r="P60" i="24"/>
  <c r="O60" i="24"/>
  <c r="M60" i="24"/>
  <c r="L60" i="24"/>
  <c r="F60" i="24"/>
  <c r="E60" i="24"/>
  <c r="D60" i="24"/>
  <c r="C60" i="24"/>
  <c r="B60" i="24"/>
  <c r="G58" i="24"/>
  <c r="G57" i="24"/>
  <c r="G56" i="24"/>
  <c r="G55" i="24"/>
  <c r="G54" i="24"/>
  <c r="G53" i="24"/>
  <c r="G52" i="24"/>
  <c r="G51" i="24"/>
  <c r="G50" i="24"/>
  <c r="G49" i="24"/>
  <c r="G48" i="24"/>
  <c r="G47" i="24"/>
  <c r="G46" i="24"/>
  <c r="G45" i="24"/>
  <c r="G44" i="24"/>
  <c r="G43" i="24"/>
  <c r="G42" i="24"/>
  <c r="G41" i="24"/>
  <c r="G40" i="24"/>
  <c r="G39" i="24"/>
  <c r="G38" i="24"/>
  <c r="G37" i="24"/>
  <c r="G36" i="24"/>
  <c r="G35" i="24"/>
  <c r="G34" i="24"/>
  <c r="G33" i="24"/>
  <c r="G32" i="24"/>
  <c r="G31" i="24"/>
  <c r="G30" i="24"/>
  <c r="G29" i="24"/>
  <c r="G28" i="24"/>
  <c r="G27" i="24"/>
  <c r="J26" i="24"/>
  <c r="G26" i="24"/>
  <c r="G25" i="24"/>
  <c r="G24" i="24"/>
  <c r="G23" i="24"/>
  <c r="G22" i="24"/>
  <c r="G21" i="24"/>
  <c r="G20" i="24"/>
  <c r="G19" i="24"/>
  <c r="G18" i="24"/>
  <c r="G17" i="24"/>
  <c r="G16" i="24"/>
  <c r="G15" i="24"/>
  <c r="G14" i="24"/>
  <c r="G13" i="24"/>
  <c r="G12" i="24"/>
  <c r="G11" i="24"/>
  <c r="G10" i="24"/>
  <c r="G9" i="24"/>
  <c r="G8" i="24"/>
  <c r="G7" i="24"/>
  <c r="J27" i="24" s="1"/>
  <c r="G6" i="24"/>
  <c r="G60" i="24" s="1"/>
  <c r="V60" i="23"/>
  <c r="U60" i="23"/>
  <c r="S60" i="23"/>
  <c r="R60" i="23"/>
  <c r="P60" i="23"/>
  <c r="O60" i="23"/>
  <c r="M60" i="23"/>
  <c r="L60" i="23"/>
  <c r="F60" i="23"/>
  <c r="E60" i="23"/>
  <c r="D60" i="23"/>
  <c r="C60" i="23"/>
  <c r="B60" i="23"/>
  <c r="G58" i="23"/>
  <c r="G57" i="23"/>
  <c r="G56" i="23"/>
  <c r="G55" i="23"/>
  <c r="G54" i="23"/>
  <c r="G53" i="23"/>
  <c r="G52" i="23"/>
  <c r="G51" i="23"/>
  <c r="G50" i="23"/>
  <c r="G49" i="23"/>
  <c r="G48" i="23"/>
  <c r="G47" i="23"/>
  <c r="G46" i="23"/>
  <c r="G45" i="23"/>
  <c r="G44" i="23"/>
  <c r="G43" i="23"/>
  <c r="G42" i="23"/>
  <c r="G41" i="23"/>
  <c r="G40" i="23"/>
  <c r="G39" i="23"/>
  <c r="G38" i="23"/>
  <c r="G37" i="23"/>
  <c r="G36" i="23"/>
  <c r="G35" i="23"/>
  <c r="G34" i="23"/>
  <c r="G33" i="23"/>
  <c r="G32" i="23"/>
  <c r="G31" i="23"/>
  <c r="G30" i="23"/>
  <c r="G29" i="23"/>
  <c r="G28" i="23"/>
  <c r="G27" i="23"/>
  <c r="J26" i="23"/>
  <c r="G26" i="23"/>
  <c r="G25" i="23"/>
  <c r="G24" i="23"/>
  <c r="G23" i="23"/>
  <c r="G22" i="23"/>
  <c r="G21" i="23"/>
  <c r="G20" i="23"/>
  <c r="G19" i="23"/>
  <c r="G18" i="23"/>
  <c r="G17" i="23"/>
  <c r="G16" i="23"/>
  <c r="G15" i="23"/>
  <c r="G14" i="23"/>
  <c r="G13" i="23"/>
  <c r="G12" i="23"/>
  <c r="G11" i="23"/>
  <c r="G10" i="23"/>
  <c r="G9" i="23"/>
  <c r="G8" i="23"/>
  <c r="G7" i="23"/>
  <c r="G6" i="23"/>
  <c r="V60" i="22"/>
  <c r="U60" i="22"/>
  <c r="S60" i="22"/>
  <c r="R60" i="22"/>
  <c r="P60" i="22"/>
  <c r="O60" i="22"/>
  <c r="M60" i="22"/>
  <c r="L60" i="22"/>
  <c r="F60" i="22"/>
  <c r="E60" i="22"/>
  <c r="D60" i="22"/>
  <c r="C60" i="22"/>
  <c r="B60"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J26" i="22"/>
  <c r="G26" i="22"/>
  <c r="G25" i="22"/>
  <c r="G24" i="22"/>
  <c r="G23" i="22"/>
  <c r="G22" i="22"/>
  <c r="G21" i="22"/>
  <c r="G20" i="22"/>
  <c r="G19" i="22"/>
  <c r="G18" i="22"/>
  <c r="G17" i="22"/>
  <c r="G16" i="22"/>
  <c r="G15" i="22"/>
  <c r="G14" i="22"/>
  <c r="G13" i="22"/>
  <c r="G12" i="22"/>
  <c r="G11" i="22"/>
  <c r="G10" i="22"/>
  <c r="G9" i="22"/>
  <c r="G60" i="22" s="1"/>
  <c r="G8" i="22"/>
  <c r="G7" i="22"/>
  <c r="G6" i="22"/>
  <c r="V60" i="21"/>
  <c r="U60" i="21"/>
  <c r="S60" i="21"/>
  <c r="R60" i="21"/>
  <c r="P60" i="21"/>
  <c r="O60" i="21"/>
  <c r="M60" i="21"/>
  <c r="L60" i="21"/>
  <c r="F60" i="21"/>
  <c r="E60" i="21"/>
  <c r="D60" i="21"/>
  <c r="C60" i="21"/>
  <c r="B60" i="21"/>
  <c r="G58" i="21"/>
  <c r="G57" i="21"/>
  <c r="G56" i="21"/>
  <c r="G55" i="21"/>
  <c r="G54" i="21"/>
  <c r="G53" i="21"/>
  <c r="G52" i="21"/>
  <c r="G51" i="21"/>
  <c r="G50" i="21"/>
  <c r="G49" i="21"/>
  <c r="G48" i="21"/>
  <c r="G47" i="21"/>
  <c r="G46" i="21"/>
  <c r="G45" i="21"/>
  <c r="G44" i="21"/>
  <c r="G43" i="21"/>
  <c r="G42" i="21"/>
  <c r="G41" i="21"/>
  <c r="G40" i="21"/>
  <c r="G39" i="21"/>
  <c r="G38" i="21"/>
  <c r="G37" i="21"/>
  <c r="G36" i="21"/>
  <c r="G35" i="21"/>
  <c r="G34" i="21"/>
  <c r="G33" i="21"/>
  <c r="G32" i="21"/>
  <c r="G31" i="21"/>
  <c r="G30" i="21"/>
  <c r="G29" i="21"/>
  <c r="G28" i="21"/>
  <c r="G27" i="21"/>
  <c r="J26" i="21"/>
  <c r="G26" i="21"/>
  <c r="G25" i="21"/>
  <c r="G24" i="21"/>
  <c r="G23" i="21"/>
  <c r="G22" i="21"/>
  <c r="G21" i="21"/>
  <c r="G20" i="21"/>
  <c r="G19" i="21"/>
  <c r="G18" i="21"/>
  <c r="G17" i="21"/>
  <c r="G16" i="21"/>
  <c r="G15" i="21"/>
  <c r="G14" i="21"/>
  <c r="G13" i="21"/>
  <c r="G12" i="21"/>
  <c r="G11" i="21"/>
  <c r="G10" i="21"/>
  <c r="G9" i="21"/>
  <c r="G8" i="21"/>
  <c r="G7" i="21"/>
  <c r="G6" i="21"/>
  <c r="J27" i="21" s="1"/>
  <c r="V60" i="20"/>
  <c r="U60" i="20"/>
  <c r="S60" i="20"/>
  <c r="R60" i="20"/>
  <c r="P60" i="20"/>
  <c r="O60" i="20"/>
  <c r="M60" i="20"/>
  <c r="L60" i="20"/>
  <c r="F60" i="20"/>
  <c r="E60" i="20"/>
  <c r="D60" i="20"/>
  <c r="C60" i="20"/>
  <c r="B60" i="20"/>
  <c r="G58" i="20"/>
  <c r="G57" i="20"/>
  <c r="G56" i="20"/>
  <c r="G55" i="20"/>
  <c r="G54" i="20"/>
  <c r="G53" i="20"/>
  <c r="G52" i="20"/>
  <c r="G51" i="20"/>
  <c r="H51" i="104" s="1"/>
  <c r="G50" i="20"/>
  <c r="G49" i="20"/>
  <c r="G48" i="20"/>
  <c r="H48" i="104" s="1"/>
  <c r="G47" i="20"/>
  <c r="G46" i="20"/>
  <c r="G45" i="20"/>
  <c r="G44" i="20"/>
  <c r="G43" i="20"/>
  <c r="G42" i="20"/>
  <c r="G41" i="20"/>
  <c r="G40" i="20"/>
  <c r="G39" i="20"/>
  <c r="H39" i="104" s="1"/>
  <c r="I39" i="104" s="1"/>
  <c r="G38" i="20"/>
  <c r="G37" i="20"/>
  <c r="G36" i="20"/>
  <c r="H36" i="104" s="1"/>
  <c r="G35" i="20"/>
  <c r="G34" i="20"/>
  <c r="G33" i="20"/>
  <c r="G32" i="20"/>
  <c r="G31" i="20"/>
  <c r="G30" i="20"/>
  <c r="G29" i="20"/>
  <c r="G28" i="20"/>
  <c r="G27" i="20"/>
  <c r="J26" i="20"/>
  <c r="G26" i="20"/>
  <c r="H26" i="104" s="1"/>
  <c r="G25" i="20"/>
  <c r="G24" i="20"/>
  <c r="G23" i="20"/>
  <c r="G22" i="20"/>
  <c r="G21" i="20"/>
  <c r="G20" i="20"/>
  <c r="G19" i="20"/>
  <c r="G18" i="20"/>
  <c r="G17" i="20"/>
  <c r="H17" i="104" s="1"/>
  <c r="G16" i="20"/>
  <c r="G15" i="20"/>
  <c r="G14" i="20"/>
  <c r="H14" i="104" s="1"/>
  <c r="G13" i="20"/>
  <c r="J27" i="20" s="1"/>
  <c r="G12" i="20"/>
  <c r="G11" i="20"/>
  <c r="G10" i="20"/>
  <c r="G9" i="20"/>
  <c r="G8" i="20"/>
  <c r="G7" i="20"/>
  <c r="G6" i="20"/>
  <c r="V60" i="19"/>
  <c r="U60" i="19"/>
  <c r="S60" i="19"/>
  <c r="R60" i="19"/>
  <c r="P60" i="19"/>
  <c r="O60" i="19"/>
  <c r="M60" i="19"/>
  <c r="L60" i="19"/>
  <c r="F60" i="19"/>
  <c r="E60" i="19"/>
  <c r="D60" i="19"/>
  <c r="C60" i="19"/>
  <c r="B60" i="19"/>
  <c r="G58" i="19"/>
  <c r="G57" i="19"/>
  <c r="G56" i="19"/>
  <c r="G55" i="19"/>
  <c r="G54" i="19"/>
  <c r="G53" i="19"/>
  <c r="G52" i="19"/>
  <c r="G51" i="19"/>
  <c r="G50" i="19"/>
  <c r="G49" i="19"/>
  <c r="G48" i="19"/>
  <c r="G47" i="19"/>
  <c r="G46" i="19"/>
  <c r="G45" i="19"/>
  <c r="G44" i="19"/>
  <c r="G43" i="19"/>
  <c r="G42" i="19"/>
  <c r="G41" i="19"/>
  <c r="G40" i="19"/>
  <c r="G39" i="19"/>
  <c r="G38" i="19"/>
  <c r="G37" i="19"/>
  <c r="G36" i="19"/>
  <c r="G35" i="19"/>
  <c r="G34" i="19"/>
  <c r="G33" i="19"/>
  <c r="G32" i="19"/>
  <c r="G31" i="19"/>
  <c r="G30" i="19"/>
  <c r="G29" i="19"/>
  <c r="G28" i="19"/>
  <c r="G27" i="19"/>
  <c r="J26" i="19"/>
  <c r="G26" i="19"/>
  <c r="G25" i="19"/>
  <c r="G24" i="19"/>
  <c r="G23" i="19"/>
  <c r="G22" i="19"/>
  <c r="G21" i="19"/>
  <c r="G20" i="19"/>
  <c r="G19" i="19"/>
  <c r="G18" i="19"/>
  <c r="G17" i="19"/>
  <c r="G16" i="19"/>
  <c r="G15" i="19"/>
  <c r="G14" i="19"/>
  <c r="G13" i="19"/>
  <c r="G12" i="19"/>
  <c r="G11" i="19"/>
  <c r="G10" i="19"/>
  <c r="G9" i="19"/>
  <c r="J27" i="19" s="1"/>
  <c r="G8" i="19"/>
  <c r="G7" i="19"/>
  <c r="G6" i="19"/>
  <c r="V60" i="18"/>
  <c r="U60" i="18"/>
  <c r="S60" i="18"/>
  <c r="R60" i="18"/>
  <c r="P60" i="18"/>
  <c r="O60" i="18"/>
  <c r="M60" i="18"/>
  <c r="L60" i="18"/>
  <c r="G60" i="18"/>
  <c r="F60" i="18"/>
  <c r="E60" i="18"/>
  <c r="D60" i="18"/>
  <c r="C60" i="18"/>
  <c r="B60" i="18"/>
  <c r="G58" i="18"/>
  <c r="G57" i="18"/>
  <c r="G56" i="18"/>
  <c r="G55" i="18"/>
  <c r="G54" i="18"/>
  <c r="G53" i="18"/>
  <c r="G52" i="18"/>
  <c r="G51" i="18"/>
  <c r="G50" i="18"/>
  <c r="G49" i="18"/>
  <c r="G48" i="18"/>
  <c r="G47" i="18"/>
  <c r="G46" i="18"/>
  <c r="G45" i="18"/>
  <c r="G44" i="18"/>
  <c r="G43" i="18"/>
  <c r="G42" i="18"/>
  <c r="G41" i="18"/>
  <c r="G40" i="18"/>
  <c r="G39" i="18"/>
  <c r="G38" i="18"/>
  <c r="G37" i="18"/>
  <c r="G36" i="18"/>
  <c r="G35" i="18"/>
  <c r="G34" i="18"/>
  <c r="G33" i="18"/>
  <c r="G32" i="18"/>
  <c r="G31" i="18"/>
  <c r="G30" i="18"/>
  <c r="G29" i="18"/>
  <c r="G28" i="18"/>
  <c r="G27" i="18"/>
  <c r="J26" i="18"/>
  <c r="G26" i="18"/>
  <c r="G25" i="18"/>
  <c r="G24" i="18"/>
  <c r="G23" i="18"/>
  <c r="G22" i="18"/>
  <c r="G21" i="18"/>
  <c r="G20" i="18"/>
  <c r="G19" i="18"/>
  <c r="G18" i="18"/>
  <c r="G17" i="18"/>
  <c r="G16" i="18"/>
  <c r="G15" i="18"/>
  <c r="G14" i="18"/>
  <c r="G13" i="18"/>
  <c r="G12" i="18"/>
  <c r="G11" i="18"/>
  <c r="G10" i="18"/>
  <c r="G9" i="18"/>
  <c r="G8" i="18"/>
  <c r="G7" i="18"/>
  <c r="G6" i="18"/>
  <c r="V60" i="17"/>
  <c r="U60" i="17"/>
  <c r="S60" i="17"/>
  <c r="R60" i="17"/>
  <c r="P60" i="17"/>
  <c r="O60" i="17"/>
  <c r="M60" i="17"/>
  <c r="L60" i="17"/>
  <c r="F60" i="17"/>
  <c r="E60" i="17"/>
  <c r="D60" i="17"/>
  <c r="C60" i="17"/>
  <c r="B60" i="17"/>
  <c r="G58" i="17"/>
  <c r="G57" i="17"/>
  <c r="G56" i="17"/>
  <c r="G55" i="17"/>
  <c r="G54" i="17"/>
  <c r="G53" i="17"/>
  <c r="G52" i="17"/>
  <c r="G51" i="17"/>
  <c r="G50" i="17"/>
  <c r="G49" i="17"/>
  <c r="G48" i="17"/>
  <c r="G47" i="17"/>
  <c r="G46" i="17"/>
  <c r="G45" i="17"/>
  <c r="G44" i="17"/>
  <c r="G43" i="17"/>
  <c r="G42" i="17"/>
  <c r="G41" i="17"/>
  <c r="G40" i="17"/>
  <c r="G39" i="17"/>
  <c r="G38" i="17"/>
  <c r="G37" i="17"/>
  <c r="G36" i="17"/>
  <c r="G35" i="17"/>
  <c r="G34" i="17"/>
  <c r="G33" i="17"/>
  <c r="G32" i="17"/>
  <c r="G31" i="17"/>
  <c r="G30" i="17"/>
  <c r="G29" i="17"/>
  <c r="G28" i="17"/>
  <c r="G27" i="17"/>
  <c r="J26" i="17"/>
  <c r="G26" i="17"/>
  <c r="G25" i="17"/>
  <c r="G24" i="17"/>
  <c r="G23" i="17"/>
  <c r="G22" i="17"/>
  <c r="G21" i="17"/>
  <c r="G20" i="17"/>
  <c r="G19" i="17"/>
  <c r="G18" i="17"/>
  <c r="G17" i="17"/>
  <c r="G16" i="17"/>
  <c r="G15" i="17"/>
  <c r="G14" i="17"/>
  <c r="G13" i="17"/>
  <c r="G12" i="17"/>
  <c r="G11" i="17"/>
  <c r="G10" i="17"/>
  <c r="G9" i="17"/>
  <c r="G8" i="17"/>
  <c r="J27" i="17" s="1"/>
  <c r="G7" i="17"/>
  <c r="G6" i="17"/>
  <c r="G60" i="17" s="1"/>
  <c r="V60" i="16"/>
  <c r="U60" i="16"/>
  <c r="S60" i="16"/>
  <c r="R60" i="16"/>
  <c r="P60" i="16"/>
  <c r="O60" i="16"/>
  <c r="M60" i="16"/>
  <c r="L60" i="16"/>
  <c r="F60" i="16"/>
  <c r="E60" i="16"/>
  <c r="D60" i="16"/>
  <c r="C60" i="16"/>
  <c r="B60" i="16"/>
  <c r="G58" i="16"/>
  <c r="G57" i="16"/>
  <c r="G56" i="16"/>
  <c r="G55" i="16"/>
  <c r="G54" i="16"/>
  <c r="G53" i="16"/>
  <c r="G52" i="16"/>
  <c r="G51" i="16"/>
  <c r="G50" i="16"/>
  <c r="G49" i="16"/>
  <c r="G48" i="16"/>
  <c r="G47" i="16"/>
  <c r="G46" i="16"/>
  <c r="G45" i="16"/>
  <c r="G44" i="16"/>
  <c r="G43" i="16"/>
  <c r="G42" i="16"/>
  <c r="G41" i="16"/>
  <c r="G40" i="16"/>
  <c r="G39" i="16"/>
  <c r="G38" i="16"/>
  <c r="G37" i="16"/>
  <c r="G36" i="16"/>
  <c r="G35" i="16"/>
  <c r="G34" i="16"/>
  <c r="G33" i="16"/>
  <c r="G32" i="16"/>
  <c r="G31" i="16"/>
  <c r="G30" i="16"/>
  <c r="G29" i="16"/>
  <c r="G28" i="16"/>
  <c r="G27" i="16"/>
  <c r="J26" i="16"/>
  <c r="G26" i="16"/>
  <c r="G25" i="16"/>
  <c r="G24" i="16"/>
  <c r="G23" i="16"/>
  <c r="G22" i="16"/>
  <c r="G21" i="16"/>
  <c r="G20" i="16"/>
  <c r="G19" i="16"/>
  <c r="G18" i="16"/>
  <c r="G17" i="16"/>
  <c r="G16" i="16"/>
  <c r="G15" i="16"/>
  <c r="G14" i="16"/>
  <c r="G13" i="16"/>
  <c r="G12" i="16"/>
  <c r="J27" i="16" s="1"/>
  <c r="G11" i="16"/>
  <c r="G10" i="16"/>
  <c r="G9" i="16"/>
  <c r="G8" i="16"/>
  <c r="G7" i="16"/>
  <c r="G6" i="16"/>
  <c r="V60" i="15"/>
  <c r="U60" i="15"/>
  <c r="S60" i="15"/>
  <c r="R60" i="15"/>
  <c r="P60" i="15"/>
  <c r="O60" i="15"/>
  <c r="M60" i="15"/>
  <c r="L60" i="15"/>
  <c r="F60" i="15"/>
  <c r="E60" i="15"/>
  <c r="D60" i="15"/>
  <c r="C60" i="15"/>
  <c r="B60"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J26" i="15"/>
  <c r="G26" i="15"/>
  <c r="G25" i="15"/>
  <c r="G24" i="15"/>
  <c r="G23" i="15"/>
  <c r="G22" i="15"/>
  <c r="G21" i="15"/>
  <c r="G20" i="15"/>
  <c r="G19" i="15"/>
  <c r="G18" i="15"/>
  <c r="G17" i="15"/>
  <c r="G16" i="15"/>
  <c r="G15" i="15"/>
  <c r="G14" i="15"/>
  <c r="G13" i="15"/>
  <c r="G12" i="15"/>
  <c r="G11" i="15"/>
  <c r="G10" i="15"/>
  <c r="G9" i="15"/>
  <c r="G8" i="15"/>
  <c r="G7" i="15"/>
  <c r="G6" i="15"/>
  <c r="G60" i="15" s="1"/>
  <c r="V60" i="14"/>
  <c r="U60" i="14"/>
  <c r="S60" i="14"/>
  <c r="R60" i="14"/>
  <c r="P60" i="14"/>
  <c r="O60" i="14"/>
  <c r="M60" i="14"/>
  <c r="L60" i="14"/>
  <c r="F60" i="14"/>
  <c r="E60" i="14"/>
  <c r="D60" i="14"/>
  <c r="C60" i="14"/>
  <c r="B60" i="14"/>
  <c r="G58" i="14"/>
  <c r="G57" i="14"/>
  <c r="G56" i="14"/>
  <c r="G55" i="14"/>
  <c r="G54" i="14"/>
  <c r="G53" i="14"/>
  <c r="G52" i="14"/>
  <c r="G51" i="14"/>
  <c r="G50" i="14"/>
  <c r="G49" i="14"/>
  <c r="G48" i="14"/>
  <c r="G47" i="14"/>
  <c r="G46" i="14"/>
  <c r="G45" i="14"/>
  <c r="G44" i="14"/>
  <c r="G43" i="14"/>
  <c r="G42" i="14"/>
  <c r="G41" i="14"/>
  <c r="G40" i="14"/>
  <c r="G39" i="14"/>
  <c r="G38" i="14"/>
  <c r="G37" i="14"/>
  <c r="G36" i="14"/>
  <c r="G35" i="14"/>
  <c r="G34" i="14"/>
  <c r="G33" i="14"/>
  <c r="G32" i="14"/>
  <c r="G31" i="14"/>
  <c r="G30" i="14"/>
  <c r="G29" i="14"/>
  <c r="G28" i="14"/>
  <c r="G27" i="14"/>
  <c r="J26" i="14"/>
  <c r="G26" i="14"/>
  <c r="G25" i="14"/>
  <c r="G24" i="14"/>
  <c r="G23" i="14"/>
  <c r="G22" i="14"/>
  <c r="G21" i="14"/>
  <c r="G20" i="14"/>
  <c r="G19" i="14"/>
  <c r="G18" i="14"/>
  <c r="G17" i="14"/>
  <c r="G16" i="14"/>
  <c r="G15" i="14"/>
  <c r="G14" i="14"/>
  <c r="G13" i="14"/>
  <c r="G12" i="14"/>
  <c r="G11" i="14"/>
  <c r="G10" i="14"/>
  <c r="G9" i="14"/>
  <c r="G8" i="14"/>
  <c r="G7" i="14"/>
  <c r="G6" i="14"/>
  <c r="G60" i="14" s="1"/>
  <c r="V60" i="13"/>
  <c r="U60" i="13"/>
  <c r="S60" i="13"/>
  <c r="R60" i="13"/>
  <c r="P60" i="13"/>
  <c r="O60" i="13"/>
  <c r="M60" i="13"/>
  <c r="L60" i="13"/>
  <c r="F60" i="13"/>
  <c r="E60" i="13"/>
  <c r="D60" i="13"/>
  <c r="C60" i="13"/>
  <c r="B60" i="13"/>
  <c r="G58" i="13"/>
  <c r="G57" i="13"/>
  <c r="G56" i="13"/>
  <c r="G55" i="13"/>
  <c r="G54" i="13"/>
  <c r="G53" i="13"/>
  <c r="G52" i="13"/>
  <c r="G51" i="13"/>
  <c r="G50" i="13"/>
  <c r="G49" i="13"/>
  <c r="G48" i="13"/>
  <c r="G47" i="13"/>
  <c r="G46" i="13"/>
  <c r="G45" i="13"/>
  <c r="G44" i="13"/>
  <c r="G43" i="13"/>
  <c r="G42" i="13"/>
  <c r="G41" i="13"/>
  <c r="G40" i="13"/>
  <c r="G39" i="13"/>
  <c r="G38" i="13"/>
  <c r="G37" i="13"/>
  <c r="G36" i="13"/>
  <c r="G35" i="13"/>
  <c r="G34" i="13"/>
  <c r="G33" i="13"/>
  <c r="G32" i="13"/>
  <c r="G31" i="13"/>
  <c r="G30" i="13"/>
  <c r="G29" i="13"/>
  <c r="G28" i="13"/>
  <c r="G27" i="13"/>
  <c r="J26" i="13"/>
  <c r="G26" i="13"/>
  <c r="G25" i="13"/>
  <c r="G24" i="13"/>
  <c r="G23" i="13"/>
  <c r="G22" i="13"/>
  <c r="G21" i="13"/>
  <c r="G20" i="13"/>
  <c r="G19" i="13"/>
  <c r="G18" i="13"/>
  <c r="G17" i="13"/>
  <c r="G16" i="13"/>
  <c r="G15" i="13"/>
  <c r="G14" i="13"/>
  <c r="G13" i="13"/>
  <c r="G12" i="13"/>
  <c r="G11" i="13"/>
  <c r="G10" i="13"/>
  <c r="J27" i="13" s="1"/>
  <c r="G9" i="13"/>
  <c r="G8" i="13"/>
  <c r="G7" i="13"/>
  <c r="G6" i="13"/>
  <c r="G60" i="13" s="1"/>
  <c r="V60" i="12"/>
  <c r="U60" i="12"/>
  <c r="S60" i="12"/>
  <c r="R60" i="12"/>
  <c r="P60" i="12"/>
  <c r="O60" i="12"/>
  <c r="M60" i="12"/>
  <c r="L60" i="12"/>
  <c r="F60" i="12"/>
  <c r="E60" i="12"/>
  <c r="D60" i="12"/>
  <c r="C60" i="12"/>
  <c r="B60" i="12"/>
  <c r="G58" i="12"/>
  <c r="G57" i="12"/>
  <c r="G56" i="12"/>
  <c r="G55" i="12"/>
  <c r="G54" i="12"/>
  <c r="G53" i="12"/>
  <c r="G52" i="12"/>
  <c r="G51" i="12"/>
  <c r="G50" i="12"/>
  <c r="G49" i="12"/>
  <c r="G48" i="12"/>
  <c r="G47" i="12"/>
  <c r="G46" i="12"/>
  <c r="G45" i="12"/>
  <c r="G44" i="12"/>
  <c r="G43" i="12"/>
  <c r="G42" i="12"/>
  <c r="G41" i="12"/>
  <c r="G40" i="12"/>
  <c r="G39" i="12"/>
  <c r="G38" i="12"/>
  <c r="G37" i="12"/>
  <c r="G36" i="12"/>
  <c r="G35" i="12"/>
  <c r="G34" i="12"/>
  <c r="G33" i="12"/>
  <c r="G32" i="12"/>
  <c r="G31" i="12"/>
  <c r="G30" i="12"/>
  <c r="G29" i="12"/>
  <c r="G28" i="12"/>
  <c r="G27" i="12"/>
  <c r="J26" i="12"/>
  <c r="G26" i="12"/>
  <c r="G25" i="12"/>
  <c r="G24" i="12"/>
  <c r="G23" i="12"/>
  <c r="G22" i="12"/>
  <c r="G21" i="12"/>
  <c r="G20" i="12"/>
  <c r="G19" i="12"/>
  <c r="G18" i="12"/>
  <c r="G17" i="12"/>
  <c r="G16" i="12"/>
  <c r="G15" i="12"/>
  <c r="G14" i="12"/>
  <c r="G13" i="12"/>
  <c r="G12" i="12"/>
  <c r="G11" i="12"/>
  <c r="G10" i="12"/>
  <c r="G9" i="12"/>
  <c r="G8" i="12"/>
  <c r="G7" i="12"/>
  <c r="J27" i="12" s="1"/>
  <c r="G6" i="12"/>
  <c r="G60" i="12" s="1"/>
  <c r="V60" i="11"/>
  <c r="U60" i="11"/>
  <c r="S60" i="11"/>
  <c r="R60" i="11"/>
  <c r="P60" i="11"/>
  <c r="O60" i="11"/>
  <c r="M60" i="11"/>
  <c r="L60" i="11"/>
  <c r="F60" i="11"/>
  <c r="E60" i="11"/>
  <c r="D60" i="11"/>
  <c r="C60" i="11"/>
  <c r="B60" i="11"/>
  <c r="G58" i="11"/>
  <c r="G57" i="11"/>
  <c r="G56" i="11"/>
  <c r="G55" i="11"/>
  <c r="G54" i="11"/>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J26" i="11"/>
  <c r="G26" i="11"/>
  <c r="G25" i="11"/>
  <c r="G24" i="11"/>
  <c r="G23" i="11"/>
  <c r="G22" i="11"/>
  <c r="G21" i="11"/>
  <c r="G20" i="11"/>
  <c r="G19" i="11"/>
  <c r="G18" i="11"/>
  <c r="G17" i="11"/>
  <c r="G16" i="11"/>
  <c r="G15" i="11"/>
  <c r="G14" i="11"/>
  <c r="G13" i="11"/>
  <c r="G12" i="11"/>
  <c r="G11" i="11"/>
  <c r="G10" i="11"/>
  <c r="G9" i="11"/>
  <c r="G8" i="11"/>
  <c r="G7" i="11"/>
  <c r="G6" i="11"/>
  <c r="V60" i="10"/>
  <c r="U60" i="10"/>
  <c r="S60" i="10"/>
  <c r="R60" i="10"/>
  <c r="P60" i="10"/>
  <c r="O60" i="10"/>
  <c r="M60" i="10"/>
  <c r="L60" i="10"/>
  <c r="F60" i="10"/>
  <c r="E60" i="10"/>
  <c r="D60" i="10"/>
  <c r="C60" i="10"/>
  <c r="B60" i="10"/>
  <c r="G58" i="10"/>
  <c r="G57" i="10"/>
  <c r="G56" i="10"/>
  <c r="G55" i="10"/>
  <c r="G54" i="10"/>
  <c r="G53" i="10"/>
  <c r="G52" i="10"/>
  <c r="G51" i="10"/>
  <c r="G50" i="10"/>
  <c r="G49" i="10"/>
  <c r="G48" i="10"/>
  <c r="G47" i="10"/>
  <c r="G46" i="10"/>
  <c r="G45" i="10"/>
  <c r="G44" i="10"/>
  <c r="G43" i="10"/>
  <c r="G42" i="10"/>
  <c r="G41" i="10"/>
  <c r="G40" i="10"/>
  <c r="G39" i="10"/>
  <c r="G38" i="10"/>
  <c r="G37" i="10"/>
  <c r="G36" i="10"/>
  <c r="G35" i="10"/>
  <c r="G34" i="10"/>
  <c r="G33" i="10"/>
  <c r="G32" i="10"/>
  <c r="G31" i="10"/>
  <c r="G30" i="10"/>
  <c r="G29" i="10"/>
  <c r="G28" i="10"/>
  <c r="G27" i="10"/>
  <c r="J26" i="10"/>
  <c r="G26" i="10"/>
  <c r="G25" i="10"/>
  <c r="G24" i="10"/>
  <c r="G23" i="10"/>
  <c r="G22" i="10"/>
  <c r="G21" i="10"/>
  <c r="G20" i="10"/>
  <c r="G19" i="10"/>
  <c r="G18" i="10"/>
  <c r="G17" i="10"/>
  <c r="G16" i="10"/>
  <c r="G15" i="10"/>
  <c r="G14" i="10"/>
  <c r="G13" i="10"/>
  <c r="G12" i="10"/>
  <c r="G11" i="10"/>
  <c r="G10" i="10"/>
  <c r="G9" i="10"/>
  <c r="G8" i="10"/>
  <c r="G60" i="10" s="1"/>
  <c r="G7" i="10"/>
  <c r="G6" i="10"/>
  <c r="V60" i="9"/>
  <c r="U60" i="9"/>
  <c r="S60" i="9"/>
  <c r="R60" i="9"/>
  <c r="P60" i="9"/>
  <c r="O60" i="9"/>
  <c r="M60" i="9"/>
  <c r="L60" i="9"/>
  <c r="G60" i="9"/>
  <c r="F60" i="9"/>
  <c r="E60" i="9"/>
  <c r="D60" i="9"/>
  <c r="C60" i="9"/>
  <c r="B60"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J26" i="9"/>
  <c r="G26" i="9"/>
  <c r="G25" i="9"/>
  <c r="G24" i="9"/>
  <c r="G23" i="9"/>
  <c r="G22" i="9"/>
  <c r="G21" i="9"/>
  <c r="G20" i="9"/>
  <c r="G19" i="9"/>
  <c r="G18" i="9"/>
  <c r="G17" i="9"/>
  <c r="G16" i="9"/>
  <c r="G15" i="9"/>
  <c r="G14" i="9"/>
  <c r="G13" i="9"/>
  <c r="G12" i="9"/>
  <c r="G11" i="9"/>
  <c r="G10" i="9"/>
  <c r="G9" i="9"/>
  <c r="G8" i="9"/>
  <c r="G7" i="9"/>
  <c r="G6" i="9"/>
  <c r="J27" i="9" s="1"/>
  <c r="V60" i="8"/>
  <c r="U60" i="8"/>
  <c r="S60" i="8"/>
  <c r="R60" i="8"/>
  <c r="P60" i="8"/>
  <c r="O60" i="8"/>
  <c r="M60" i="8"/>
  <c r="L60" i="8"/>
  <c r="F60" i="8"/>
  <c r="E60" i="8"/>
  <c r="D60" i="8"/>
  <c r="C60" i="8"/>
  <c r="B60" i="8"/>
  <c r="G58" i="8"/>
  <c r="G57" i="8"/>
  <c r="G56" i="8"/>
  <c r="G55" i="8"/>
  <c r="G54" i="8"/>
  <c r="G53" i="8"/>
  <c r="G52" i="8"/>
  <c r="G51" i="8"/>
  <c r="G50" i="8"/>
  <c r="G49" i="8"/>
  <c r="H49" i="103" s="1"/>
  <c r="G48" i="8"/>
  <c r="H48" i="103" s="1"/>
  <c r="G47" i="8"/>
  <c r="G46" i="8"/>
  <c r="G45" i="8"/>
  <c r="G44" i="8"/>
  <c r="G43" i="8"/>
  <c r="G42" i="8"/>
  <c r="G41" i="8"/>
  <c r="G40" i="8"/>
  <c r="G39" i="8"/>
  <c r="G38" i="8"/>
  <c r="G37" i="8"/>
  <c r="H37" i="103" s="1"/>
  <c r="G36" i="8"/>
  <c r="H36" i="103" s="1"/>
  <c r="G35" i="8"/>
  <c r="G34" i="8"/>
  <c r="G33" i="8"/>
  <c r="G32" i="8"/>
  <c r="G31" i="8"/>
  <c r="G30" i="8"/>
  <c r="G29" i="8"/>
  <c r="G28" i="8"/>
  <c r="G27" i="8"/>
  <c r="J26" i="8"/>
  <c r="G26" i="8"/>
  <c r="H26" i="103" s="1"/>
  <c r="G25" i="8"/>
  <c r="G24" i="8"/>
  <c r="G23" i="8"/>
  <c r="G22" i="8"/>
  <c r="G21" i="8"/>
  <c r="G20" i="8"/>
  <c r="G19" i="8"/>
  <c r="G18" i="8"/>
  <c r="G17" i="8"/>
  <c r="G16" i="8"/>
  <c r="G15" i="8"/>
  <c r="H15" i="103" s="1"/>
  <c r="G14" i="8"/>
  <c r="H14" i="103" s="1"/>
  <c r="G13" i="8"/>
  <c r="J27" i="8" s="1"/>
  <c r="G12" i="8"/>
  <c r="G11" i="8"/>
  <c r="G10" i="8"/>
  <c r="G9" i="8"/>
  <c r="G8" i="8"/>
  <c r="G7" i="8"/>
  <c r="G6" i="8"/>
  <c r="V60" i="7"/>
  <c r="U60" i="7"/>
  <c r="S60" i="7"/>
  <c r="R60" i="7"/>
  <c r="P60" i="7"/>
  <c r="O60" i="7"/>
  <c r="M60" i="7"/>
  <c r="L60" i="7"/>
  <c r="F60" i="7"/>
  <c r="E60" i="7"/>
  <c r="D60" i="7"/>
  <c r="C60" i="7"/>
  <c r="B60" i="7"/>
  <c r="G58" i="7"/>
  <c r="G57" i="7"/>
  <c r="G56" i="7"/>
  <c r="G55" i="7"/>
  <c r="G54" i="7"/>
  <c r="G53" i="7"/>
  <c r="G52" i="7"/>
  <c r="G51" i="7"/>
  <c r="G50" i="7"/>
  <c r="G49" i="7"/>
  <c r="G48" i="7"/>
  <c r="G47" i="7"/>
  <c r="G46" i="7"/>
  <c r="G45" i="7"/>
  <c r="G44" i="7"/>
  <c r="G43" i="7"/>
  <c r="G42" i="7"/>
  <c r="G41" i="7"/>
  <c r="G40" i="7"/>
  <c r="G39" i="7"/>
  <c r="G38" i="7"/>
  <c r="G37" i="7"/>
  <c r="G36" i="7"/>
  <c r="G35" i="7"/>
  <c r="G34" i="7"/>
  <c r="G33" i="7"/>
  <c r="G32" i="7"/>
  <c r="G31" i="7"/>
  <c r="G30" i="7"/>
  <c r="G29" i="7"/>
  <c r="G28" i="7"/>
  <c r="G27" i="7"/>
  <c r="J26" i="7"/>
  <c r="G26" i="7"/>
  <c r="G25" i="7"/>
  <c r="G24" i="7"/>
  <c r="G23" i="7"/>
  <c r="G22" i="7"/>
  <c r="G21" i="7"/>
  <c r="G20" i="7"/>
  <c r="G19" i="7"/>
  <c r="G18" i="7"/>
  <c r="G17" i="7"/>
  <c r="G16" i="7"/>
  <c r="G15" i="7"/>
  <c r="G14" i="7"/>
  <c r="G13" i="7"/>
  <c r="G12" i="7"/>
  <c r="G11" i="7"/>
  <c r="G10" i="7"/>
  <c r="G9" i="7"/>
  <c r="G8" i="7"/>
  <c r="G7" i="7"/>
  <c r="G6" i="7"/>
  <c r="V60" i="6"/>
  <c r="U60" i="6"/>
  <c r="S60" i="6"/>
  <c r="R60" i="6"/>
  <c r="P60" i="6"/>
  <c r="O60" i="6"/>
  <c r="M60" i="6"/>
  <c r="L60" i="6"/>
  <c r="G60" i="6"/>
  <c r="F60" i="6"/>
  <c r="E60" i="6"/>
  <c r="D60" i="6"/>
  <c r="C60" i="6"/>
  <c r="B60"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J26" i="6"/>
  <c r="G26" i="6"/>
  <c r="G25" i="6"/>
  <c r="G24" i="6"/>
  <c r="G23" i="6"/>
  <c r="G22" i="6"/>
  <c r="G21" i="6"/>
  <c r="G20" i="6"/>
  <c r="G19" i="6"/>
  <c r="G18" i="6"/>
  <c r="G17" i="6"/>
  <c r="G16" i="6"/>
  <c r="G15" i="6"/>
  <c r="G14" i="6"/>
  <c r="G13" i="6"/>
  <c r="G12" i="6"/>
  <c r="G11" i="6"/>
  <c r="G10" i="6"/>
  <c r="G9" i="6"/>
  <c r="G8" i="6"/>
  <c r="G7" i="6"/>
  <c r="G6" i="6"/>
  <c r="V60" i="5"/>
  <c r="U60" i="5"/>
  <c r="S60" i="5"/>
  <c r="R60" i="5"/>
  <c r="P60" i="5"/>
  <c r="O60" i="5"/>
  <c r="M60" i="5"/>
  <c r="L60" i="5"/>
  <c r="F60" i="5"/>
  <c r="E60" i="5"/>
  <c r="D60" i="5"/>
  <c r="C60" i="5"/>
  <c r="B60"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J26" i="5"/>
  <c r="G26" i="5"/>
  <c r="G25" i="5"/>
  <c r="G24" i="5"/>
  <c r="G23" i="5"/>
  <c r="G22" i="5"/>
  <c r="G21" i="5"/>
  <c r="G20" i="5"/>
  <c r="G19" i="5"/>
  <c r="G18" i="5"/>
  <c r="G17" i="5"/>
  <c r="G16" i="5"/>
  <c r="G15" i="5"/>
  <c r="G14" i="5"/>
  <c r="G13" i="5"/>
  <c r="G12" i="5"/>
  <c r="G11" i="5"/>
  <c r="G10" i="5"/>
  <c r="G9" i="5"/>
  <c r="G8" i="5"/>
  <c r="J27" i="5" s="1"/>
  <c r="G7" i="5"/>
  <c r="G6" i="5"/>
  <c r="V60" i="4"/>
  <c r="U60" i="4"/>
  <c r="S60" i="4"/>
  <c r="R60" i="4"/>
  <c r="P60" i="4"/>
  <c r="O60" i="4"/>
  <c r="M60" i="4"/>
  <c r="L60" i="4"/>
  <c r="F60" i="4"/>
  <c r="E60" i="4"/>
  <c r="D60" i="4"/>
  <c r="C60" i="4"/>
  <c r="B60" i="4"/>
  <c r="G58" i="4"/>
  <c r="G57" i="4"/>
  <c r="G56" i="4"/>
  <c r="G55" i="4"/>
  <c r="G54" i="4"/>
  <c r="G53" i="4"/>
  <c r="G52" i="4"/>
  <c r="G51" i="4"/>
  <c r="G50" i="4"/>
  <c r="G49" i="4"/>
  <c r="G48" i="4"/>
  <c r="G47" i="4"/>
  <c r="G46" i="4"/>
  <c r="G45" i="4"/>
  <c r="G44" i="4"/>
  <c r="G43" i="4"/>
  <c r="G42" i="4"/>
  <c r="G41" i="4"/>
  <c r="G40" i="4"/>
  <c r="G39" i="4"/>
  <c r="G38" i="4"/>
  <c r="G37" i="4"/>
  <c r="G36" i="4"/>
  <c r="G35" i="4"/>
  <c r="G34" i="4"/>
  <c r="G33" i="4"/>
  <c r="G32" i="4"/>
  <c r="G31" i="4"/>
  <c r="G30" i="4"/>
  <c r="G29" i="4"/>
  <c r="G28" i="4"/>
  <c r="G27" i="4"/>
  <c r="J26" i="4"/>
  <c r="G26" i="4"/>
  <c r="G25" i="4"/>
  <c r="G24" i="4"/>
  <c r="G23" i="4"/>
  <c r="G22" i="4"/>
  <c r="G21" i="4"/>
  <c r="G20" i="4"/>
  <c r="G19" i="4"/>
  <c r="G18" i="4"/>
  <c r="G17" i="4"/>
  <c r="G16" i="4"/>
  <c r="G15" i="4"/>
  <c r="G14" i="4"/>
  <c r="G13" i="4"/>
  <c r="G12" i="4"/>
  <c r="J27" i="4" s="1"/>
  <c r="G11" i="4"/>
  <c r="G10" i="4"/>
  <c r="G9" i="4"/>
  <c r="G8" i="4"/>
  <c r="G7" i="4"/>
  <c r="G6" i="4"/>
  <c r="G60" i="4" s="1"/>
  <c r="V60" i="3"/>
  <c r="U60" i="3"/>
  <c r="S60" i="3"/>
  <c r="R60" i="3"/>
  <c r="P60" i="3"/>
  <c r="O60" i="3"/>
  <c r="M60" i="3"/>
  <c r="L60" i="3"/>
  <c r="F60" i="3"/>
  <c r="E60" i="3"/>
  <c r="D60" i="3"/>
  <c r="C60" i="3"/>
  <c r="B60" i="3"/>
  <c r="G58" i="3"/>
  <c r="G57" i="3"/>
  <c r="G56" i="3"/>
  <c r="G55" i="3"/>
  <c r="H55" i="106" s="1"/>
  <c r="G54" i="3"/>
  <c r="G53" i="3"/>
  <c r="G52" i="3"/>
  <c r="G51" i="3"/>
  <c r="G50" i="3"/>
  <c r="G49" i="3"/>
  <c r="G48" i="3"/>
  <c r="G47" i="3"/>
  <c r="G46" i="3"/>
  <c r="G45" i="3"/>
  <c r="G44" i="3"/>
  <c r="G43" i="3"/>
  <c r="H43" i="106" s="1"/>
  <c r="G42" i="3"/>
  <c r="G41" i="3"/>
  <c r="G40" i="3"/>
  <c r="G39" i="3"/>
  <c r="G38" i="3"/>
  <c r="G37" i="3"/>
  <c r="G36" i="3"/>
  <c r="G35" i="3"/>
  <c r="G34" i="3"/>
  <c r="G33" i="3"/>
  <c r="G32" i="3"/>
  <c r="G31" i="3"/>
  <c r="H31" i="106" s="1"/>
  <c r="G30" i="3"/>
  <c r="G29" i="3"/>
  <c r="G28" i="3"/>
  <c r="G27" i="3"/>
  <c r="J26" i="3"/>
  <c r="G26" i="3"/>
  <c r="H26" i="106" s="1"/>
  <c r="G25" i="3"/>
  <c r="G24" i="3"/>
  <c r="G23" i="3"/>
  <c r="G22" i="3"/>
  <c r="G21" i="3"/>
  <c r="G20" i="3"/>
  <c r="G19" i="3"/>
  <c r="G18" i="3"/>
  <c r="G17" i="3"/>
  <c r="G16" i="3"/>
  <c r="G15" i="3"/>
  <c r="G14" i="3"/>
  <c r="H14" i="106" s="1"/>
  <c r="G13" i="3"/>
  <c r="G12" i="3"/>
  <c r="G11" i="3"/>
  <c r="G10" i="3"/>
  <c r="G9" i="3"/>
  <c r="G8" i="3"/>
  <c r="G7" i="3"/>
  <c r="G6" i="3"/>
  <c r="V60" i="2"/>
  <c r="U60" i="2"/>
  <c r="S60" i="2"/>
  <c r="R60" i="2"/>
  <c r="P60" i="2"/>
  <c r="O60" i="2"/>
  <c r="M60" i="2"/>
  <c r="L60" i="2"/>
  <c r="F60" i="2"/>
  <c r="E60" i="2"/>
  <c r="D60" i="2"/>
  <c r="C60" i="2"/>
  <c r="B60" i="2"/>
  <c r="G58" i="2"/>
  <c r="G57" i="2"/>
  <c r="G56" i="2"/>
  <c r="G55" i="2"/>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J26" i="2"/>
  <c r="G26" i="2"/>
  <c r="G25" i="2"/>
  <c r="G24" i="2"/>
  <c r="G23" i="2"/>
  <c r="G22" i="2"/>
  <c r="G21" i="2"/>
  <c r="G20" i="2"/>
  <c r="G19" i="2"/>
  <c r="G18" i="2"/>
  <c r="G17" i="2"/>
  <c r="G16" i="2"/>
  <c r="G15" i="2"/>
  <c r="G14" i="2"/>
  <c r="G13" i="2"/>
  <c r="G12" i="2"/>
  <c r="G11" i="2"/>
  <c r="G10" i="2"/>
  <c r="G9" i="2"/>
  <c r="G8" i="2"/>
  <c r="G60" i="2" s="1"/>
  <c r="G7" i="2"/>
  <c r="G6" i="2"/>
  <c r="V60" i="1"/>
  <c r="U60" i="1"/>
  <c r="S60" i="1"/>
  <c r="R60" i="1"/>
  <c r="P60" i="1"/>
  <c r="O60" i="1"/>
  <c r="M60" i="1"/>
  <c r="L60" i="1"/>
  <c r="F60" i="1"/>
  <c r="E60" i="1"/>
  <c r="D60" i="1"/>
  <c r="C60" i="1"/>
  <c r="B60" i="1"/>
  <c r="G58" i="1"/>
  <c r="G57" i="1"/>
  <c r="G56" i="1"/>
  <c r="G55" i="1"/>
  <c r="G54" i="1"/>
  <c r="G53" i="1"/>
  <c r="G52" i="1"/>
  <c r="G51" i="1"/>
  <c r="H51" i="105" s="1"/>
  <c r="G50" i="1"/>
  <c r="G49" i="1"/>
  <c r="G48" i="1"/>
  <c r="G47" i="1"/>
  <c r="G46" i="1"/>
  <c r="G45" i="1"/>
  <c r="G44" i="1"/>
  <c r="G43" i="1"/>
  <c r="G42" i="1"/>
  <c r="G41" i="1"/>
  <c r="G40" i="1"/>
  <c r="G39" i="1"/>
  <c r="H39" i="105" s="1"/>
  <c r="G38" i="1"/>
  <c r="G37" i="1"/>
  <c r="G36" i="1"/>
  <c r="G35" i="1"/>
  <c r="G34" i="1"/>
  <c r="G33" i="1"/>
  <c r="G32" i="1"/>
  <c r="G31" i="1"/>
  <c r="G30" i="1"/>
  <c r="G29" i="1"/>
  <c r="G28" i="1"/>
  <c r="G27" i="1"/>
  <c r="J26" i="1"/>
  <c r="G26" i="1"/>
  <c r="G25" i="1"/>
  <c r="G24" i="1"/>
  <c r="G23" i="1"/>
  <c r="G22" i="1"/>
  <c r="G21" i="1"/>
  <c r="G20" i="1"/>
  <c r="G19" i="1"/>
  <c r="G18" i="1"/>
  <c r="G17" i="1"/>
  <c r="H17" i="105" s="1"/>
  <c r="G16" i="1"/>
  <c r="G15" i="1"/>
  <c r="G14" i="1"/>
  <c r="G13" i="1"/>
  <c r="G12" i="1"/>
  <c r="G11" i="1"/>
  <c r="G10" i="1"/>
  <c r="G9" i="1"/>
  <c r="G8" i="1"/>
  <c r="G7" i="1"/>
  <c r="G6" i="1"/>
  <c r="G60" i="1" s="1"/>
  <c r="G60" i="45" l="1"/>
  <c r="J27" i="45"/>
  <c r="M105" i="101"/>
  <c r="I1943" i="108"/>
  <c r="I1940" i="108"/>
  <c r="I1934" i="108"/>
  <c r="K1940" i="108"/>
  <c r="K1933" i="108"/>
  <c r="K47" i="108"/>
  <c r="K1934" i="108" s="1"/>
  <c r="Y1961" i="108"/>
  <c r="Y1967" i="108" s="1"/>
  <c r="Y1970" i="108" s="1"/>
  <c r="Y1969" i="108"/>
  <c r="I1941" i="108"/>
  <c r="K54" i="108"/>
  <c r="K1941" i="108" s="1"/>
  <c r="I1935" i="108"/>
  <c r="K48" i="108"/>
  <c r="K1935" i="108" s="1"/>
  <c r="K1936" i="108"/>
  <c r="K1930" i="108"/>
  <c r="I1931" i="108"/>
  <c r="K1943" i="108"/>
  <c r="I1938" i="108"/>
  <c r="I1944" i="108"/>
  <c r="K51" i="108"/>
  <c r="K1938" i="108" s="1"/>
  <c r="K57" i="108"/>
  <c r="K1944" i="108" s="1"/>
  <c r="I1936" i="108"/>
  <c r="I1933" i="108"/>
  <c r="K52" i="108"/>
  <c r="K1939" i="108" s="1"/>
  <c r="I2076" i="108"/>
  <c r="K2076" i="108" s="1"/>
  <c r="K44" i="108"/>
  <c r="K1931" i="108" s="1"/>
  <c r="I1942" i="108"/>
  <c r="I1937" i="108"/>
  <c r="K1942" i="108"/>
  <c r="E1967" i="108"/>
  <c r="E1970" i="108" s="1"/>
  <c r="F1993" i="108"/>
  <c r="I1932" i="108"/>
  <c r="K50" i="108"/>
  <c r="K1937" i="108" s="1"/>
  <c r="F1967" i="108"/>
  <c r="F1970" i="108" s="1"/>
  <c r="F1973" i="108"/>
  <c r="F2010" i="108" s="1"/>
  <c r="I1969" i="108"/>
  <c r="K1932" i="108"/>
  <c r="G1967" i="108"/>
  <c r="G1970" i="108" s="1"/>
  <c r="H1967" i="108"/>
  <c r="H1970" i="108" s="1"/>
  <c r="H1973" i="108"/>
  <c r="F1979" i="108"/>
  <c r="L1967" i="108"/>
  <c r="L1970" i="108" s="1"/>
  <c r="H1980" i="108"/>
  <c r="P1967" i="108"/>
  <c r="P1970" i="108" s="1"/>
  <c r="H1991" i="108"/>
  <c r="Q1967" i="108"/>
  <c r="Q1970" i="108" s="1"/>
  <c r="S1967" i="108"/>
  <c r="S1970" i="108" s="1"/>
  <c r="H1978" i="108"/>
  <c r="E2079" i="108"/>
  <c r="I2079" i="108" s="1"/>
  <c r="K2079" i="108" s="1"/>
  <c r="I1946" i="108"/>
  <c r="K1946" i="108" s="1"/>
  <c r="I2075" i="108"/>
  <c r="K2075" i="108" s="1"/>
  <c r="X1969" i="108"/>
  <c r="X1945" i="108"/>
  <c r="X1967" i="108" s="1"/>
  <c r="X1970" i="108" s="1"/>
  <c r="H1977" i="108"/>
  <c r="I1930" i="108"/>
  <c r="I2093" i="108"/>
  <c r="H2077" i="108"/>
  <c r="I2077" i="108" s="1"/>
  <c r="K2077" i="108" s="1"/>
  <c r="F2080" i="108"/>
  <c r="I2080" i="108" s="1"/>
  <c r="K2080" i="108" s="1"/>
  <c r="E2078" i="108"/>
  <c r="I2078" i="108" s="1"/>
  <c r="K2078" i="108" s="1"/>
  <c r="J60" i="107"/>
  <c r="P60" i="107"/>
  <c r="S60" i="107"/>
  <c r="U127" i="101"/>
  <c r="M46" i="101"/>
  <c r="L19" i="104" s="1"/>
  <c r="X127" i="101"/>
  <c r="M20" i="101"/>
  <c r="I29" i="101"/>
  <c r="R50" i="101"/>
  <c r="M58" i="101"/>
  <c r="O58" i="101" s="1"/>
  <c r="M106" i="101"/>
  <c r="L58" i="105" s="1"/>
  <c r="M63" i="101"/>
  <c r="O63" i="101" s="1"/>
  <c r="M111" i="101"/>
  <c r="AA127" i="101"/>
  <c r="M100" i="101"/>
  <c r="L52" i="105" s="1"/>
  <c r="M57" i="101"/>
  <c r="O57" i="101" s="1"/>
  <c r="M78" i="101"/>
  <c r="M94" i="101"/>
  <c r="L46" i="105" s="1"/>
  <c r="M73" i="101"/>
  <c r="O73" i="101" s="1"/>
  <c r="M40" i="101"/>
  <c r="L13" i="104" s="1"/>
  <c r="M68" i="101"/>
  <c r="L20" i="105" s="1"/>
  <c r="M61" i="101"/>
  <c r="L13" i="105" s="1"/>
  <c r="J127" i="101"/>
  <c r="AA29" i="101"/>
  <c r="M56" i="101"/>
  <c r="L8" i="105" s="1"/>
  <c r="M39" i="101"/>
  <c r="M97" i="101"/>
  <c r="M102" i="101"/>
  <c r="O102" i="101" s="1"/>
  <c r="M75" i="101"/>
  <c r="L27" i="105" s="1"/>
  <c r="M76" i="101"/>
  <c r="L28" i="105" s="1"/>
  <c r="Y29" i="101"/>
  <c r="M17" i="101"/>
  <c r="L10" i="103" s="1"/>
  <c r="U29" i="101"/>
  <c r="L50" i="101"/>
  <c r="M43" i="101"/>
  <c r="L16" i="104" s="1"/>
  <c r="M64" i="101"/>
  <c r="L16" i="105" s="1"/>
  <c r="M85" i="101"/>
  <c r="L37" i="105" s="1"/>
  <c r="M112" i="101"/>
  <c r="L64" i="105" s="1"/>
  <c r="M23" i="101"/>
  <c r="M34" i="101"/>
  <c r="L7" i="104" s="1"/>
  <c r="X29" i="101"/>
  <c r="M42" i="101"/>
  <c r="L15" i="104" s="1"/>
  <c r="AB29" i="101"/>
  <c r="M24" i="101"/>
  <c r="O24" i="101" s="1"/>
  <c r="M36" i="101"/>
  <c r="M48" i="101"/>
  <c r="L21" i="104" s="1"/>
  <c r="M71" i="101"/>
  <c r="O71" i="101" s="1"/>
  <c r="M88" i="101"/>
  <c r="O88" i="101" s="1"/>
  <c r="J114" i="101"/>
  <c r="M82" i="101"/>
  <c r="L34" i="105" s="1"/>
  <c r="M93" i="101"/>
  <c r="L45" i="105" s="1"/>
  <c r="M121" i="101"/>
  <c r="O121" i="101" s="1"/>
  <c r="M122" i="101"/>
  <c r="M15" i="101"/>
  <c r="L8" i="103" s="1"/>
  <c r="M18" i="101"/>
  <c r="M59" i="101"/>
  <c r="L11" i="105" s="1"/>
  <c r="M98" i="101"/>
  <c r="M87" i="101"/>
  <c r="M120" i="101"/>
  <c r="L8" i="106" s="1"/>
  <c r="M13" i="101"/>
  <c r="L6" i="103" s="1"/>
  <c r="M92" i="101"/>
  <c r="L44" i="105" s="1"/>
  <c r="M103" i="101"/>
  <c r="L55" i="105" s="1"/>
  <c r="I127" i="101"/>
  <c r="M22" i="101"/>
  <c r="L15" i="103" s="1"/>
  <c r="M65" i="101"/>
  <c r="L17" i="105" s="1"/>
  <c r="M108" i="101"/>
  <c r="L60" i="105" s="1"/>
  <c r="M109" i="101"/>
  <c r="L61" i="105" s="1"/>
  <c r="M125" i="101"/>
  <c r="L13" i="106" s="1"/>
  <c r="M45" i="101"/>
  <c r="O45" i="101" s="1"/>
  <c r="V29" i="101"/>
  <c r="M21" i="101"/>
  <c r="L14" i="103" s="1"/>
  <c r="J29" i="101"/>
  <c r="M33" i="101"/>
  <c r="K127" i="101"/>
  <c r="M124" i="101"/>
  <c r="O124" i="101" s="1"/>
  <c r="M62" i="101"/>
  <c r="O62" i="101" s="1"/>
  <c r="M79" i="101"/>
  <c r="O79" i="101" s="1"/>
  <c r="M118" i="101"/>
  <c r="L6" i="106" s="1"/>
  <c r="S29" i="101"/>
  <c r="M16" i="101"/>
  <c r="L9" i="103" s="1"/>
  <c r="X50" i="101"/>
  <c r="M84" i="101"/>
  <c r="L36" i="105" s="1"/>
  <c r="M91" i="101"/>
  <c r="L43" i="105" s="1"/>
  <c r="V127" i="101"/>
  <c r="M55" i="101"/>
  <c r="M67" i="101"/>
  <c r="O67" i="101" s="1"/>
  <c r="K29" i="101"/>
  <c r="K114" i="101"/>
  <c r="Y127" i="101"/>
  <c r="V114" i="101"/>
  <c r="M37" i="101"/>
  <c r="L10" i="104" s="1"/>
  <c r="M83" i="101"/>
  <c r="O34" i="101"/>
  <c r="L16" i="103"/>
  <c r="L13" i="103"/>
  <c r="O20" i="101"/>
  <c r="G60" i="33"/>
  <c r="L12" i="104"/>
  <c r="O39" i="101"/>
  <c r="J27" i="54"/>
  <c r="G60" i="80"/>
  <c r="J27" i="97"/>
  <c r="R129" i="101"/>
  <c r="H29" i="101"/>
  <c r="J27" i="3"/>
  <c r="H27" i="103"/>
  <c r="H38" i="103"/>
  <c r="H16" i="104"/>
  <c r="H27" i="104"/>
  <c r="H38" i="104"/>
  <c r="H50" i="104"/>
  <c r="I50" i="104" s="1"/>
  <c r="J27" i="75"/>
  <c r="J27" i="77"/>
  <c r="J27" i="94"/>
  <c r="S129" i="101"/>
  <c r="K50" i="101"/>
  <c r="L114" i="101"/>
  <c r="AB114" i="101"/>
  <c r="L15" i="105"/>
  <c r="J27" i="86"/>
  <c r="J27" i="6"/>
  <c r="J27" i="18"/>
  <c r="J27" i="66"/>
  <c r="H6" i="102"/>
  <c r="H61" i="102" s="1"/>
  <c r="J27" i="95"/>
  <c r="H21" i="106"/>
  <c r="H56" i="106"/>
  <c r="H17" i="103"/>
  <c r="H39" i="103"/>
  <c r="H51" i="103"/>
  <c r="I51" i="103" s="1"/>
  <c r="J27" i="44"/>
  <c r="J27" i="74"/>
  <c r="G60" i="88"/>
  <c r="G60" i="91"/>
  <c r="U129" i="101"/>
  <c r="U9" i="101"/>
  <c r="M27" i="101"/>
  <c r="M35" i="101"/>
  <c r="M54" i="101"/>
  <c r="I19" i="103"/>
  <c r="H44" i="106"/>
  <c r="I44" i="106" s="1"/>
  <c r="H15" i="105"/>
  <c r="H37" i="105"/>
  <c r="H49" i="105"/>
  <c r="I49" i="105" s="1"/>
  <c r="J27" i="2"/>
  <c r="H10" i="106"/>
  <c r="H22" i="106"/>
  <c r="I22" i="106" s="1"/>
  <c r="H33" i="106"/>
  <c r="H45" i="106"/>
  <c r="H57" i="106"/>
  <c r="G60" i="5"/>
  <c r="G60" i="32"/>
  <c r="G60" i="44"/>
  <c r="G60" i="56"/>
  <c r="G60" i="68"/>
  <c r="G60" i="71"/>
  <c r="J27" i="83"/>
  <c r="J27" i="85"/>
  <c r="V129" i="101"/>
  <c r="S50" i="101"/>
  <c r="M41" i="101"/>
  <c r="M47" i="101"/>
  <c r="O61" i="101"/>
  <c r="M74" i="101"/>
  <c r="I14" i="104"/>
  <c r="I51" i="104"/>
  <c r="H37" i="104"/>
  <c r="J27" i="42"/>
  <c r="H14" i="105"/>
  <c r="H26" i="105"/>
  <c r="H9" i="106"/>
  <c r="H32" i="106"/>
  <c r="H16" i="105"/>
  <c r="H27" i="105"/>
  <c r="H38" i="105"/>
  <c r="H50" i="105"/>
  <c r="H11" i="106"/>
  <c r="I11" i="106" s="1"/>
  <c r="H23" i="106"/>
  <c r="I23" i="106" s="1"/>
  <c r="H34" i="106"/>
  <c r="H46" i="106"/>
  <c r="H58" i="106"/>
  <c r="H7" i="103"/>
  <c r="I7" i="103" s="1"/>
  <c r="H19" i="103"/>
  <c r="H29" i="103"/>
  <c r="H41" i="103"/>
  <c r="H53" i="103"/>
  <c r="G60" i="11"/>
  <c r="J27" i="14"/>
  <c r="H7" i="104"/>
  <c r="I7" i="104" s="1"/>
  <c r="H19" i="104"/>
  <c r="I19" i="104" s="1"/>
  <c r="H29" i="104"/>
  <c r="I29" i="104" s="1"/>
  <c r="H41" i="104"/>
  <c r="I41" i="104" s="1"/>
  <c r="H53" i="104"/>
  <c r="G60" i="23"/>
  <c r="J27" i="26"/>
  <c r="G60" i="35"/>
  <c r="J27" i="38"/>
  <c r="G60" i="47"/>
  <c r="J27" i="50"/>
  <c r="G60" i="59"/>
  <c r="J27" i="62"/>
  <c r="J27" i="82"/>
  <c r="G60" i="96"/>
  <c r="G60" i="99"/>
  <c r="X129" i="101"/>
  <c r="X9" i="101"/>
  <c r="U50" i="101"/>
  <c r="H35" i="106"/>
  <c r="I35" i="106" s="1"/>
  <c r="G60" i="79"/>
  <c r="J27" i="91"/>
  <c r="Y129" i="101"/>
  <c r="Y9" i="101"/>
  <c r="L49" i="105"/>
  <c r="O97" i="101"/>
  <c r="I42" i="103"/>
  <c r="J27" i="30"/>
  <c r="H12" i="106"/>
  <c r="H36" i="106"/>
  <c r="H48" i="106"/>
  <c r="J27" i="25"/>
  <c r="J27" i="37"/>
  <c r="J27" i="49"/>
  <c r="J27" i="61"/>
  <c r="J27" i="71"/>
  <c r="J27" i="73"/>
  <c r="J27" i="90"/>
  <c r="AA129" i="101"/>
  <c r="AA9" i="101"/>
  <c r="M14" i="101"/>
  <c r="M19" i="101"/>
  <c r="M25" i="101"/>
  <c r="O46" i="101"/>
  <c r="I38" i="104"/>
  <c r="H47" i="106"/>
  <c r="J27" i="93"/>
  <c r="H18" i="105"/>
  <c r="H40" i="105"/>
  <c r="H13" i="106"/>
  <c r="H19" i="105"/>
  <c r="H29" i="105"/>
  <c r="I29" i="105" s="1"/>
  <c r="H41" i="105"/>
  <c r="H53" i="105"/>
  <c r="H37" i="106"/>
  <c r="H49" i="106"/>
  <c r="G60" i="16"/>
  <c r="G60" i="28"/>
  <c r="G60" i="40"/>
  <c r="G60" i="52"/>
  <c r="G60" i="64"/>
  <c r="J27" i="70"/>
  <c r="G60" i="84"/>
  <c r="G60" i="87"/>
  <c r="J27" i="99"/>
  <c r="H129" i="101"/>
  <c r="M7" i="101"/>
  <c r="H9" i="101"/>
  <c r="Y50" i="101"/>
  <c r="X114" i="101"/>
  <c r="L19" i="105"/>
  <c r="I23" i="102"/>
  <c r="H49" i="104"/>
  <c r="I49" i="104" s="1"/>
  <c r="H20" i="105"/>
  <c r="H30" i="105"/>
  <c r="H42" i="105"/>
  <c r="H54" i="105"/>
  <c r="H15" i="106"/>
  <c r="H38" i="106"/>
  <c r="I38" i="106" s="1"/>
  <c r="H50" i="106"/>
  <c r="I50" i="106" s="1"/>
  <c r="G60" i="7"/>
  <c r="J27" i="10"/>
  <c r="G60" i="19"/>
  <c r="J27" i="22"/>
  <c r="G60" i="31"/>
  <c r="J27" i="34"/>
  <c r="G60" i="43"/>
  <c r="J27" i="46"/>
  <c r="G60" i="55"/>
  <c r="J27" i="58"/>
  <c r="G60" i="67"/>
  <c r="J27" i="79"/>
  <c r="J27" i="81"/>
  <c r="J27" i="98"/>
  <c r="I129" i="101"/>
  <c r="I9" i="101"/>
  <c r="L29" i="101"/>
  <c r="AA50" i="101"/>
  <c r="Y114" i="101"/>
  <c r="M77" i="101"/>
  <c r="G60" i="76"/>
  <c r="V50" i="101"/>
  <c r="H6" i="105"/>
  <c r="H28" i="105"/>
  <c r="H52" i="105"/>
  <c r="H25" i="106"/>
  <c r="H7" i="105"/>
  <c r="H8" i="105"/>
  <c r="H9" i="105"/>
  <c r="H21" i="105"/>
  <c r="H31" i="105"/>
  <c r="H43" i="105"/>
  <c r="H55" i="105"/>
  <c r="H16" i="106"/>
  <c r="I16" i="106" s="1"/>
  <c r="H27" i="106"/>
  <c r="I27" i="106" s="1"/>
  <c r="H12" i="103"/>
  <c r="I12" i="103" s="1"/>
  <c r="H24" i="103"/>
  <c r="H34" i="103"/>
  <c r="H46" i="103"/>
  <c r="H58" i="103"/>
  <c r="H12" i="104"/>
  <c r="H24" i="104"/>
  <c r="H34" i="104"/>
  <c r="I34" i="104" s="1"/>
  <c r="H46" i="104"/>
  <c r="H58" i="104"/>
  <c r="J27" i="78"/>
  <c r="G60" i="92"/>
  <c r="G60" i="95"/>
  <c r="J129" i="101"/>
  <c r="J9" i="101"/>
  <c r="AB50" i="101"/>
  <c r="M38" i="101"/>
  <c r="M44" i="101"/>
  <c r="H114" i="101"/>
  <c r="AA114" i="101"/>
  <c r="L10" i="106"/>
  <c r="O122" i="101"/>
  <c r="G60" i="21"/>
  <c r="J27" i="69"/>
  <c r="H15" i="104"/>
  <c r="I15" i="104" s="1"/>
  <c r="J27" i="1"/>
  <c r="H24" i="106"/>
  <c r="I24" i="106" s="1"/>
  <c r="H10" i="105"/>
  <c r="H22" i="105"/>
  <c r="H32" i="105"/>
  <c r="H44" i="105"/>
  <c r="H56" i="105"/>
  <c r="J27" i="7"/>
  <c r="H25" i="103"/>
  <c r="H35" i="103"/>
  <c r="H47" i="103"/>
  <c r="H13" i="104"/>
  <c r="I13" i="104" s="1"/>
  <c r="H25" i="104"/>
  <c r="I25" i="104" s="1"/>
  <c r="H35" i="104"/>
  <c r="H47" i="104"/>
  <c r="G60" i="69"/>
  <c r="G60" i="72"/>
  <c r="G60" i="75"/>
  <c r="G60" i="86"/>
  <c r="J27" i="87"/>
  <c r="J27" i="89"/>
  <c r="J50" i="101"/>
  <c r="I114" i="101"/>
  <c r="M70" i="101"/>
  <c r="I27" i="103"/>
  <c r="H6" i="103"/>
  <c r="H18" i="103"/>
  <c r="H28" i="103"/>
  <c r="H40" i="103"/>
  <c r="I40" i="103" s="1"/>
  <c r="H52" i="103"/>
  <c r="I52" i="103" s="1"/>
  <c r="G60" i="8"/>
  <c r="H6" i="104"/>
  <c r="H18" i="104"/>
  <c r="H28" i="104"/>
  <c r="I28" i="104" s="1"/>
  <c r="H40" i="104"/>
  <c r="I40" i="104" s="1"/>
  <c r="H52" i="104"/>
  <c r="I52" i="104" s="1"/>
  <c r="G60" i="20"/>
  <c r="K129" i="101"/>
  <c r="AB129" i="101"/>
  <c r="H50" i="101"/>
  <c r="R127" i="101"/>
  <c r="L127" i="101"/>
  <c r="B14" i="107"/>
  <c r="G14" i="102"/>
  <c r="I14" i="102" s="1"/>
  <c r="G36" i="102"/>
  <c r="I36" i="102" s="1"/>
  <c r="G46" i="102"/>
  <c r="I46" i="102" s="1"/>
  <c r="E61" i="103"/>
  <c r="I26" i="103"/>
  <c r="L129" i="101"/>
  <c r="V9" i="101"/>
  <c r="R114" i="101"/>
  <c r="M99" i="101"/>
  <c r="M104" i="101"/>
  <c r="M110" i="101"/>
  <c r="S127" i="101"/>
  <c r="M119" i="101"/>
  <c r="G20" i="102"/>
  <c r="I20" i="102" s="1"/>
  <c r="B37" i="107"/>
  <c r="G37" i="107" s="1"/>
  <c r="G37" i="102"/>
  <c r="I37" i="102" s="1"/>
  <c r="C53" i="107"/>
  <c r="G53" i="102"/>
  <c r="I53" i="102" s="1"/>
  <c r="G39" i="103"/>
  <c r="I39" i="103" s="1"/>
  <c r="G46" i="103"/>
  <c r="I46" i="103" s="1"/>
  <c r="C61" i="104"/>
  <c r="I10" i="104"/>
  <c r="I48" i="104"/>
  <c r="B61" i="105"/>
  <c r="G6" i="105"/>
  <c r="I26" i="105"/>
  <c r="I37" i="105"/>
  <c r="H11" i="105"/>
  <c r="H57" i="105"/>
  <c r="H17" i="106"/>
  <c r="H8" i="103"/>
  <c r="H20" i="103"/>
  <c r="H30" i="103"/>
  <c r="I30" i="103" s="1"/>
  <c r="H42" i="103"/>
  <c r="H54" i="103"/>
  <c r="I54" i="103" s="1"/>
  <c r="J27" i="11"/>
  <c r="J27" i="15"/>
  <c r="H8" i="104"/>
  <c r="H20" i="104"/>
  <c r="H30" i="104"/>
  <c r="H42" i="104"/>
  <c r="H54" i="104"/>
  <c r="I54" i="104" s="1"/>
  <c r="J27" i="23"/>
  <c r="J27" i="27"/>
  <c r="J27" i="31"/>
  <c r="J27" i="35"/>
  <c r="J27" i="39"/>
  <c r="J27" i="43"/>
  <c r="J27" i="47"/>
  <c r="J27" i="51"/>
  <c r="J27" i="55"/>
  <c r="J27" i="59"/>
  <c r="J27" i="63"/>
  <c r="J27" i="67"/>
  <c r="R29" i="101"/>
  <c r="M26" i="101"/>
  <c r="S114" i="101"/>
  <c r="M60" i="101"/>
  <c r="M72" i="101"/>
  <c r="M80" i="101"/>
  <c r="M89" i="101"/>
  <c r="L57" i="105"/>
  <c r="O105" i="101"/>
  <c r="H127" i="101"/>
  <c r="G18" i="102"/>
  <c r="I18" i="102" s="1"/>
  <c r="G28" i="102"/>
  <c r="I28" i="102" s="1"/>
  <c r="B35" i="107"/>
  <c r="G35" i="102"/>
  <c r="I35" i="102" s="1"/>
  <c r="B45" i="107"/>
  <c r="G45" i="107" s="1"/>
  <c r="G45" i="102"/>
  <c r="I45" i="102" s="1"/>
  <c r="C61" i="105"/>
  <c r="I17" i="105"/>
  <c r="H33" i="105"/>
  <c r="H45" i="105"/>
  <c r="I45" i="105" s="1"/>
  <c r="H39" i="106"/>
  <c r="I39" i="106" s="1"/>
  <c r="H12" i="105"/>
  <c r="H58" i="105"/>
  <c r="I58" i="105" s="1"/>
  <c r="H18" i="106"/>
  <c r="H40" i="106"/>
  <c r="H55" i="103"/>
  <c r="H9" i="104"/>
  <c r="H21" i="104"/>
  <c r="H31" i="104"/>
  <c r="H43" i="104"/>
  <c r="H55" i="104"/>
  <c r="U114" i="101"/>
  <c r="F12" i="107"/>
  <c r="B19" i="107"/>
  <c r="G19" i="107" s="1"/>
  <c r="G19" i="102"/>
  <c r="I19" i="102" s="1"/>
  <c r="I21" i="102"/>
  <c r="B47" i="107"/>
  <c r="G47" i="102"/>
  <c r="I47" i="102" s="1"/>
  <c r="D51" i="107"/>
  <c r="I15" i="103"/>
  <c r="E61" i="104"/>
  <c r="G6" i="104"/>
  <c r="I42" i="105"/>
  <c r="H23" i="105"/>
  <c r="H51" i="106"/>
  <c r="I51" i="106" s="1"/>
  <c r="H24" i="105"/>
  <c r="H34" i="105"/>
  <c r="H46" i="105"/>
  <c r="H6" i="106"/>
  <c r="H28" i="106"/>
  <c r="H52" i="106"/>
  <c r="G60" i="3"/>
  <c r="H9" i="103"/>
  <c r="H21" i="103"/>
  <c r="H31" i="103"/>
  <c r="I31" i="103" s="1"/>
  <c r="H43" i="103"/>
  <c r="I43" i="103" s="1"/>
  <c r="H13" i="105"/>
  <c r="H25" i="105"/>
  <c r="H35" i="105"/>
  <c r="I35" i="105" s="1"/>
  <c r="H47" i="105"/>
  <c r="H7" i="106"/>
  <c r="H19" i="106"/>
  <c r="H29" i="106"/>
  <c r="I29" i="106" s="1"/>
  <c r="H41" i="106"/>
  <c r="H53" i="106"/>
  <c r="I53" i="106" s="1"/>
  <c r="H10" i="103"/>
  <c r="H22" i="103"/>
  <c r="I22" i="103" s="1"/>
  <c r="H32" i="103"/>
  <c r="H44" i="103"/>
  <c r="H56" i="103"/>
  <c r="H10" i="104"/>
  <c r="H22" i="104"/>
  <c r="H32" i="104"/>
  <c r="H44" i="104"/>
  <c r="H56" i="104"/>
  <c r="K9" i="101"/>
  <c r="I50" i="101"/>
  <c r="M81" i="101"/>
  <c r="M90" i="101"/>
  <c r="M95" i="101"/>
  <c r="G12" i="102"/>
  <c r="I12" i="102" s="1"/>
  <c r="B17" i="107"/>
  <c r="G17" i="102"/>
  <c r="I17" i="102" s="1"/>
  <c r="B27" i="107"/>
  <c r="G27" i="102"/>
  <c r="I27" i="102" s="1"/>
  <c r="G41" i="102"/>
  <c r="I41" i="102" s="1"/>
  <c r="F53" i="107"/>
  <c r="G29" i="103"/>
  <c r="I29" i="103" s="1"/>
  <c r="F61" i="104"/>
  <c r="I42" i="104"/>
  <c r="H36" i="105"/>
  <c r="H48" i="105"/>
  <c r="I48" i="105" s="1"/>
  <c r="H8" i="106"/>
  <c r="H20" i="106"/>
  <c r="I20" i="106" s="1"/>
  <c r="H30" i="106"/>
  <c r="H42" i="106"/>
  <c r="H54" i="106"/>
  <c r="H11" i="103"/>
  <c r="I11" i="103" s="1"/>
  <c r="H23" i="103"/>
  <c r="I23" i="103" s="1"/>
  <c r="H33" i="103"/>
  <c r="I33" i="103" s="1"/>
  <c r="H45" i="103"/>
  <c r="I45" i="103" s="1"/>
  <c r="H57" i="103"/>
  <c r="I57" i="103" s="1"/>
  <c r="H11" i="104"/>
  <c r="I11" i="104" s="1"/>
  <c r="H23" i="104"/>
  <c r="I23" i="104" s="1"/>
  <c r="H33" i="104"/>
  <c r="I33" i="104" s="1"/>
  <c r="H45" i="104"/>
  <c r="H57" i="104"/>
  <c r="I57" i="104" s="1"/>
  <c r="M69" i="101"/>
  <c r="G15" i="107"/>
  <c r="F23" i="107"/>
  <c r="E25" i="107"/>
  <c r="C27" i="107"/>
  <c r="B29" i="107"/>
  <c r="G29" i="102"/>
  <c r="I29" i="102" s="1"/>
  <c r="G43" i="102"/>
  <c r="I43" i="102" s="1"/>
  <c r="F51" i="107"/>
  <c r="G51" i="107" s="1"/>
  <c r="I24" i="103"/>
  <c r="I48" i="103"/>
  <c r="M86" i="101"/>
  <c r="M96" i="101"/>
  <c r="M101" i="101"/>
  <c r="B11" i="107"/>
  <c r="G11" i="102"/>
  <c r="I11" i="102" s="1"/>
  <c r="B40" i="107"/>
  <c r="G40" i="107" s="1"/>
  <c r="G40" i="102"/>
  <c r="I40" i="102" s="1"/>
  <c r="I51" i="102"/>
  <c r="G18" i="103"/>
  <c r="I18" i="103" s="1"/>
  <c r="I55" i="103"/>
  <c r="I46" i="104"/>
  <c r="M107" i="101"/>
  <c r="AB127" i="101"/>
  <c r="M123" i="101"/>
  <c r="G9" i="102"/>
  <c r="I9" i="102" s="1"/>
  <c r="G25" i="102"/>
  <c r="I25" i="102" s="1"/>
  <c r="B42" i="107"/>
  <c r="G42" i="107" s="1"/>
  <c r="G42" i="102"/>
  <c r="I42" i="102" s="1"/>
  <c r="B52" i="107"/>
  <c r="G52" i="107" s="1"/>
  <c r="G52" i="102"/>
  <c r="I52" i="102" s="1"/>
  <c r="I20" i="103"/>
  <c r="I34" i="103"/>
  <c r="I22" i="104"/>
  <c r="I54" i="105"/>
  <c r="I13" i="106"/>
  <c r="I32" i="106"/>
  <c r="M66" i="101"/>
  <c r="L30" i="105"/>
  <c r="B22" i="107"/>
  <c r="G22" i="107" s="1"/>
  <c r="G22" i="102"/>
  <c r="I22" i="102" s="1"/>
  <c r="I33" i="102"/>
  <c r="B48" i="107"/>
  <c r="G48" i="107" s="1"/>
  <c r="G48" i="102"/>
  <c r="I48" i="102" s="1"/>
  <c r="B50" i="107"/>
  <c r="G50" i="102"/>
  <c r="I50" i="102" s="1"/>
  <c r="I14" i="103"/>
  <c r="I16" i="104"/>
  <c r="I31" i="104"/>
  <c r="I12" i="105"/>
  <c r="O85" i="101"/>
  <c r="B8" i="107"/>
  <c r="G8" i="102"/>
  <c r="I8" i="102" s="1"/>
  <c r="B24" i="107"/>
  <c r="G24" i="102"/>
  <c r="I24" i="102" s="1"/>
  <c r="B34" i="107"/>
  <c r="G34" i="102"/>
  <c r="I34" i="102" s="1"/>
  <c r="G56" i="102"/>
  <c r="I56" i="102" s="1"/>
  <c r="I16" i="103"/>
  <c r="I58" i="103"/>
  <c r="I18" i="104"/>
  <c r="I43" i="104"/>
  <c r="I56" i="104"/>
  <c r="I34" i="105"/>
  <c r="O112" i="101"/>
  <c r="F6" i="107"/>
  <c r="F61" i="102"/>
  <c r="G15" i="102"/>
  <c r="I15" i="102" s="1"/>
  <c r="B30" i="107"/>
  <c r="G30" i="107" s="1"/>
  <c r="G30" i="102"/>
  <c r="I30" i="102" s="1"/>
  <c r="B32" i="107"/>
  <c r="G32" i="102"/>
  <c r="I32" i="102" s="1"/>
  <c r="I54" i="102"/>
  <c r="C61" i="103"/>
  <c r="G6" i="103"/>
  <c r="I14" i="105"/>
  <c r="I47" i="106"/>
  <c r="O98" i="101"/>
  <c r="G6" i="102"/>
  <c r="B16" i="107"/>
  <c r="G16" i="107" s="1"/>
  <c r="G16" i="102"/>
  <c r="I16" i="102" s="1"/>
  <c r="G38" i="102"/>
  <c r="I38" i="102" s="1"/>
  <c r="B55" i="107"/>
  <c r="G55" i="107" s="1"/>
  <c r="G55" i="102"/>
  <c r="I55" i="102" s="1"/>
  <c r="D61" i="103"/>
  <c r="I8" i="103"/>
  <c r="I10" i="103"/>
  <c r="I36" i="103"/>
  <c r="I30" i="104"/>
  <c r="I36" i="104"/>
  <c r="I45" i="106"/>
  <c r="I54" i="106"/>
  <c r="I56" i="106"/>
  <c r="F8" i="107"/>
  <c r="E27" i="107"/>
  <c r="G58" i="102"/>
  <c r="I58" i="102" s="1"/>
  <c r="F61" i="103"/>
  <c r="G17" i="103"/>
  <c r="I17" i="103" s="1"/>
  <c r="G35" i="104"/>
  <c r="I35" i="104" s="1"/>
  <c r="G16" i="105"/>
  <c r="I16" i="105" s="1"/>
  <c r="G22" i="105"/>
  <c r="I22" i="105" s="1"/>
  <c r="G28" i="105"/>
  <c r="I50" i="105"/>
  <c r="G9" i="106"/>
  <c r="I9" i="106" s="1"/>
  <c r="D61" i="106"/>
  <c r="I52" i="106"/>
  <c r="B13" i="107"/>
  <c r="B26" i="107"/>
  <c r="D34" i="107"/>
  <c r="G57" i="107"/>
  <c r="G38" i="103"/>
  <c r="I38" i="103" s="1"/>
  <c r="G50" i="103"/>
  <c r="I50" i="103" s="1"/>
  <c r="I8" i="104"/>
  <c r="I20" i="104"/>
  <c r="I37" i="104"/>
  <c r="I44" i="104"/>
  <c r="I18" i="105"/>
  <c r="I24" i="105"/>
  <c r="I30" i="105"/>
  <c r="I36" i="105"/>
  <c r="G46" i="105"/>
  <c r="I46" i="105" s="1"/>
  <c r="I7" i="106"/>
  <c r="I18" i="106"/>
  <c r="I43" i="106"/>
  <c r="C10" i="107"/>
  <c r="C13" i="107"/>
  <c r="C21" i="107"/>
  <c r="C26" i="107"/>
  <c r="G28" i="103"/>
  <c r="I28" i="103" s="1"/>
  <c r="G58" i="104"/>
  <c r="I58" i="104" s="1"/>
  <c r="I38" i="105"/>
  <c r="B6" i="107"/>
  <c r="D13" i="107"/>
  <c r="D21" i="107"/>
  <c r="F24" i="107"/>
  <c r="G28" i="107"/>
  <c r="D39" i="107"/>
  <c r="G39" i="107" s="1"/>
  <c r="B61" i="102"/>
  <c r="I17" i="104"/>
  <c r="I24" i="104"/>
  <c r="I45" i="104"/>
  <c r="I47" i="104"/>
  <c r="C6" i="107"/>
  <c r="B9" i="107"/>
  <c r="G9" i="107" s="1"/>
  <c r="E10" i="107"/>
  <c r="C18" i="107"/>
  <c r="C23" i="107"/>
  <c r="C28" i="107"/>
  <c r="E31" i="107"/>
  <c r="G31" i="107" s="1"/>
  <c r="C41" i="107"/>
  <c r="E49" i="107"/>
  <c r="G49" i="107" s="1"/>
  <c r="C61" i="102"/>
  <c r="G13" i="103"/>
  <c r="I13" i="103" s="1"/>
  <c r="G25" i="103"/>
  <c r="I25" i="103" s="1"/>
  <c r="G35" i="103"/>
  <c r="I35" i="103" s="1"/>
  <c r="G47" i="103"/>
  <c r="I47" i="103" s="1"/>
  <c r="G32" i="104"/>
  <c r="I32" i="104" s="1"/>
  <c r="G13" i="105"/>
  <c r="I41" i="106"/>
  <c r="D6" i="107"/>
  <c r="D61" i="102"/>
  <c r="G7" i="102"/>
  <c r="I7" i="102" s="1"/>
  <c r="C9" i="107"/>
  <c r="F21" i="107"/>
  <c r="G33" i="107"/>
  <c r="F39" i="107"/>
  <c r="G43" i="107"/>
  <c r="D46" i="107"/>
  <c r="G46" i="107" s="1"/>
  <c r="I12" i="104"/>
  <c r="G53" i="104"/>
  <c r="I53" i="104" s="1"/>
  <c r="I7" i="105"/>
  <c r="I9" i="105"/>
  <c r="I51" i="105"/>
  <c r="I53" i="105"/>
  <c r="I55" i="105"/>
  <c r="I28" i="106"/>
  <c r="I37" i="106"/>
  <c r="B21" i="107"/>
  <c r="E6" i="107"/>
  <c r="E61" i="102"/>
  <c r="D9" i="107"/>
  <c r="G10" i="102"/>
  <c r="I10" i="102" s="1"/>
  <c r="B12" i="107"/>
  <c r="G13" i="102"/>
  <c r="I13" i="102" s="1"/>
  <c r="E18" i="107"/>
  <c r="C25" i="107"/>
  <c r="G25" i="107" s="1"/>
  <c r="G26" i="102"/>
  <c r="I26" i="102" s="1"/>
  <c r="G31" i="102"/>
  <c r="I31" i="102" s="1"/>
  <c r="E36" i="107"/>
  <c r="G36" i="107" s="1"/>
  <c r="G39" i="102"/>
  <c r="I39" i="102" s="1"/>
  <c r="C43" i="107"/>
  <c r="G44" i="102"/>
  <c r="I44" i="102" s="1"/>
  <c r="G49" i="102"/>
  <c r="I49" i="102" s="1"/>
  <c r="C56" i="107"/>
  <c r="G56" i="107" s="1"/>
  <c r="G57" i="102"/>
  <c r="I57" i="102" s="1"/>
  <c r="G37" i="103"/>
  <c r="I37" i="103" s="1"/>
  <c r="G49" i="103"/>
  <c r="I49" i="103" s="1"/>
  <c r="G55" i="104"/>
  <c r="I55" i="104" s="1"/>
  <c r="I15" i="105"/>
  <c r="G25" i="105"/>
  <c r="I25" i="105" s="1"/>
  <c r="B53" i="107"/>
  <c r="F54" i="107"/>
  <c r="G54" i="107" s="1"/>
  <c r="G58" i="107"/>
  <c r="G32" i="103"/>
  <c r="G44" i="103"/>
  <c r="G56" i="103"/>
  <c r="I56" i="103" s="1"/>
  <c r="G9" i="104"/>
  <c r="I9" i="104" s="1"/>
  <c r="G21" i="104"/>
  <c r="I21" i="104" s="1"/>
  <c r="G19" i="105"/>
  <c r="I19" i="105" s="1"/>
  <c r="I21" i="105"/>
  <c r="I27" i="105"/>
  <c r="G33" i="105"/>
  <c r="G39" i="105"/>
  <c r="I39" i="105" s="1"/>
  <c r="R60" i="107"/>
  <c r="G9" i="103"/>
  <c r="I9" i="103" s="1"/>
  <c r="G21" i="103"/>
  <c r="B61" i="104"/>
  <c r="I26" i="104"/>
  <c r="G41" i="105"/>
  <c r="I43" i="105"/>
  <c r="I57" i="105"/>
  <c r="I33" i="106"/>
  <c r="I58" i="106"/>
  <c r="I26" i="106"/>
  <c r="G41" i="103"/>
  <c r="I41" i="103" s="1"/>
  <c r="G53" i="103"/>
  <c r="I53" i="103" s="1"/>
  <c r="D61" i="104"/>
  <c r="G27" i="104"/>
  <c r="I27" i="104" s="1"/>
  <c r="G10" i="105"/>
  <c r="I10" i="105" s="1"/>
  <c r="G31" i="106"/>
  <c r="I31" i="106" s="1"/>
  <c r="I48" i="106"/>
  <c r="D61" i="105"/>
  <c r="B61" i="106"/>
  <c r="G46" i="106"/>
  <c r="E61" i="105"/>
  <c r="G32" i="105"/>
  <c r="I32" i="105" s="1"/>
  <c r="G40" i="105"/>
  <c r="I40" i="105" s="1"/>
  <c r="G52" i="105"/>
  <c r="I52" i="105" s="1"/>
  <c r="C61" i="106"/>
  <c r="G25" i="106"/>
  <c r="I25" i="106" s="1"/>
  <c r="I42" i="106"/>
  <c r="F61" i="105"/>
  <c r="G47" i="105"/>
  <c r="I47" i="105" s="1"/>
  <c r="I56" i="105"/>
  <c r="I21" i="106"/>
  <c r="G40" i="106"/>
  <c r="I40" i="106" s="1"/>
  <c r="I57" i="106"/>
  <c r="I60" i="107"/>
  <c r="D17" i="107"/>
  <c r="D23" i="107"/>
  <c r="D29" i="107"/>
  <c r="D32" i="107"/>
  <c r="D35" i="107"/>
  <c r="D38" i="107"/>
  <c r="G38" i="107" s="1"/>
  <c r="D41" i="107"/>
  <c r="G41" i="107" s="1"/>
  <c r="D44" i="107"/>
  <c r="G44" i="107" s="1"/>
  <c r="D47" i="107"/>
  <c r="D50" i="107"/>
  <c r="D53" i="107"/>
  <c r="D56" i="107"/>
  <c r="G8" i="105"/>
  <c r="I8" i="105" s="1"/>
  <c r="G11" i="105"/>
  <c r="I11" i="105" s="1"/>
  <c r="G20" i="105"/>
  <c r="I20" i="105" s="1"/>
  <c r="G23" i="105"/>
  <c r="E61" i="106"/>
  <c r="I12" i="106"/>
  <c r="I14" i="106"/>
  <c r="G17" i="106"/>
  <c r="I17" i="106" s="1"/>
  <c r="G19" i="106"/>
  <c r="I19" i="106" s="1"/>
  <c r="I36" i="106"/>
  <c r="G55" i="106"/>
  <c r="I55" i="106" s="1"/>
  <c r="D7" i="107"/>
  <c r="G7" i="107" s="1"/>
  <c r="B10" i="107"/>
  <c r="E11" i="107"/>
  <c r="E14" i="107"/>
  <c r="E17" i="107"/>
  <c r="E20" i="107"/>
  <c r="G20" i="107" s="1"/>
  <c r="E23" i="107"/>
  <c r="E26" i="107"/>
  <c r="E29" i="107"/>
  <c r="E32" i="107"/>
  <c r="E35" i="107"/>
  <c r="E38" i="107"/>
  <c r="E41" i="107"/>
  <c r="E44" i="107"/>
  <c r="E47" i="107"/>
  <c r="E50" i="107"/>
  <c r="E53" i="107"/>
  <c r="E56" i="107"/>
  <c r="I8" i="106"/>
  <c r="I10" i="106"/>
  <c r="G15" i="106"/>
  <c r="I15" i="106" s="1"/>
  <c r="G34" i="106"/>
  <c r="L60" i="107"/>
  <c r="G31" i="105"/>
  <c r="I31" i="105" s="1"/>
  <c r="G44" i="105"/>
  <c r="I44" i="105" s="1"/>
  <c r="I6" i="106"/>
  <c r="L16" i="106"/>
  <c r="I30" i="106"/>
  <c r="G49" i="106"/>
  <c r="I49" i="106" s="1"/>
  <c r="G26" i="107" l="1"/>
  <c r="G13" i="107"/>
  <c r="G23" i="107"/>
  <c r="G18" i="107"/>
  <c r="G29" i="107"/>
  <c r="G14" i="107"/>
  <c r="O40" i="101"/>
  <c r="O68" i="101"/>
  <c r="O64" i="101"/>
  <c r="K1967" i="108"/>
  <c r="H2010" i="108"/>
  <c r="H2013" i="108" s="1"/>
  <c r="I1967" i="108"/>
  <c r="I1970" i="108" s="1"/>
  <c r="K1969" i="108"/>
  <c r="O109" i="101"/>
  <c r="O84" i="101"/>
  <c r="O125" i="101"/>
  <c r="O93" i="101"/>
  <c r="L9" i="106"/>
  <c r="O82" i="101"/>
  <c r="O120" i="101"/>
  <c r="L23" i="105"/>
  <c r="O17" i="101"/>
  <c r="L25" i="105"/>
  <c r="L14" i="105"/>
  <c r="O59" i="101"/>
  <c r="O106" i="101"/>
  <c r="O100" i="101"/>
  <c r="L9" i="105"/>
  <c r="O43" i="101"/>
  <c r="L50" i="105"/>
  <c r="L18" i="104"/>
  <c r="O21" i="101"/>
  <c r="L54" i="105"/>
  <c r="O94" i="101"/>
  <c r="O56" i="101"/>
  <c r="O55" i="101"/>
  <c r="O36" i="101"/>
  <c r="L9" i="104"/>
  <c r="O75" i="101"/>
  <c r="O87" i="101"/>
  <c r="L39" i="105"/>
  <c r="O78" i="101"/>
  <c r="L7" i="105"/>
  <c r="O111" i="101"/>
  <c r="L63" i="105"/>
  <c r="O33" i="101"/>
  <c r="O37" i="101"/>
  <c r="L10" i="105"/>
  <c r="O15" i="101"/>
  <c r="M50" i="101"/>
  <c r="O23" i="101"/>
  <c r="L6" i="104"/>
  <c r="O42" i="101"/>
  <c r="O76" i="101"/>
  <c r="O18" i="101"/>
  <c r="L11" i="103"/>
  <c r="O16" i="101"/>
  <c r="L40" i="105"/>
  <c r="L17" i="103"/>
  <c r="O91" i="101"/>
  <c r="L35" i="105"/>
  <c r="O83" i="101"/>
  <c r="L31" i="105"/>
  <c r="O103" i="101"/>
  <c r="O118" i="101"/>
  <c r="O48" i="101"/>
  <c r="O22" i="101"/>
  <c r="L12" i="106"/>
  <c r="O108" i="101"/>
  <c r="O13" i="101"/>
  <c r="O92" i="101"/>
  <c r="O65" i="101"/>
  <c r="M29" i="101"/>
  <c r="I23" i="105"/>
  <c r="L38" i="105"/>
  <c r="O86" i="101"/>
  <c r="L12" i="105"/>
  <c r="O60" i="101"/>
  <c r="L62" i="105"/>
  <c r="O110" i="101"/>
  <c r="L32" i="105"/>
  <c r="O80" i="101"/>
  <c r="L22" i="105"/>
  <c r="O70" i="101"/>
  <c r="G12" i="107"/>
  <c r="L19" i="103"/>
  <c r="O26" i="101"/>
  <c r="L51" i="105"/>
  <c r="O99" i="101"/>
  <c r="L17" i="104"/>
  <c r="O44" i="101"/>
  <c r="L18" i="105"/>
  <c r="O66" i="101"/>
  <c r="H61" i="105"/>
  <c r="G61" i="106"/>
  <c r="G10" i="107"/>
  <c r="I44" i="103"/>
  <c r="H61" i="104"/>
  <c r="L11" i="104"/>
  <c r="O38" i="101"/>
  <c r="L7" i="106"/>
  <c r="O119" i="101"/>
  <c r="I32" i="103"/>
  <c r="B60" i="107"/>
  <c r="G6" i="107"/>
  <c r="G50" i="107"/>
  <c r="L11" i="106"/>
  <c r="O123" i="101"/>
  <c r="L21" i="105"/>
  <c r="O69" i="101"/>
  <c r="O54" i="101"/>
  <c r="L6" i="105"/>
  <c r="M114" i="101"/>
  <c r="G32" i="107"/>
  <c r="L33" i="105"/>
  <c r="O81" i="101"/>
  <c r="L56" i="105"/>
  <c r="O104" i="101"/>
  <c r="I21" i="103"/>
  <c r="E60" i="107"/>
  <c r="D60" i="107"/>
  <c r="I28" i="105"/>
  <c r="L26" i="105"/>
  <c r="O74" i="101"/>
  <c r="L8" i="104"/>
  <c r="O35" i="101"/>
  <c r="G24" i="107"/>
  <c r="L48" i="105"/>
  <c r="O96" i="101"/>
  <c r="L24" i="105"/>
  <c r="O72" i="101"/>
  <c r="L42" i="105"/>
  <c r="O90" i="101"/>
  <c r="I41" i="105"/>
  <c r="G8" i="107"/>
  <c r="L24" i="104"/>
  <c r="I6" i="104"/>
  <c r="I61" i="104" s="1"/>
  <c r="G61" i="104"/>
  <c r="I46" i="106"/>
  <c r="G21" i="107"/>
  <c r="F60" i="107"/>
  <c r="M127" i="101"/>
  <c r="H61" i="106"/>
  <c r="G47" i="107"/>
  <c r="L29" i="105"/>
  <c r="O77" i="101"/>
  <c r="L18" i="103"/>
  <c r="O25" i="101"/>
  <c r="L20" i="103"/>
  <c r="O27" i="101"/>
  <c r="O95" i="101"/>
  <c r="L47" i="105"/>
  <c r="G27" i="107"/>
  <c r="O19" i="101"/>
  <c r="L12" i="103"/>
  <c r="L20" i="104"/>
  <c r="O47" i="101"/>
  <c r="I34" i="106"/>
  <c r="I61" i="106" s="1"/>
  <c r="G53" i="107"/>
  <c r="I33" i="105"/>
  <c r="I13" i="105"/>
  <c r="G61" i="102"/>
  <c r="L9" i="102"/>
  <c r="I6" i="102"/>
  <c r="I61" i="102" s="1"/>
  <c r="L7" i="103"/>
  <c r="O14" i="101"/>
  <c r="L14" i="104"/>
  <c r="O41" i="101"/>
  <c r="L53" i="105"/>
  <c r="O101" i="101"/>
  <c r="C60" i="107"/>
  <c r="I6" i="103"/>
  <c r="G61" i="103"/>
  <c r="L23" i="103"/>
  <c r="G34" i="107"/>
  <c r="L59" i="105"/>
  <c r="O107" i="101"/>
  <c r="G11" i="107"/>
  <c r="G17" i="107"/>
  <c r="G35" i="107"/>
  <c r="L41" i="105"/>
  <c r="O89" i="101"/>
  <c r="G61" i="105"/>
  <c r="I6" i="105"/>
  <c r="L67" i="105"/>
  <c r="H61" i="103"/>
  <c r="M129" i="101"/>
  <c r="O7" i="101"/>
  <c r="L6" i="102"/>
  <c r="L8" i="102" s="1"/>
  <c r="M9" i="101"/>
  <c r="K1970" i="108" l="1"/>
  <c r="O29" i="101"/>
  <c r="L24" i="103"/>
  <c r="L15" i="106"/>
  <c r="O127" i="101"/>
  <c r="L68" i="105"/>
  <c r="O50" i="101"/>
  <c r="L22" i="103"/>
  <c r="L17" i="106"/>
  <c r="L23" i="104"/>
  <c r="I61" i="103"/>
  <c r="L10" i="102"/>
  <c r="L66" i="105"/>
  <c r="O114" i="101"/>
  <c r="G60" i="107"/>
  <c r="L25" i="104"/>
  <c r="O129" i="101"/>
  <c r="O9" i="101"/>
  <c r="I61" i="10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 Peterson</author>
    <author>ppeterson</author>
  </authors>
  <commentList>
    <comment ref="E91" authorId="0" shapeId="0" xr:uid="{E902F91D-8D39-4C6B-A651-7CE12FA2EEED}">
      <text>
        <r>
          <rPr>
            <b/>
            <sz val="8"/>
            <color indexed="81"/>
            <rFont val="Tahoma"/>
            <family val="2"/>
          </rPr>
          <t>Paul Peterson:</t>
        </r>
        <r>
          <rPr>
            <sz val="8"/>
            <color indexed="81"/>
            <rFont val="Tahoma"/>
            <family val="2"/>
          </rPr>
          <t xml:space="preserve">
corrected from ind prpt</t>
        </r>
      </text>
    </comment>
    <comment ref="G279" authorId="1" shapeId="0" xr:uid="{A5781817-DF92-4EDB-9E5D-401DADBBA3AA}">
      <text>
        <r>
          <rPr>
            <b/>
            <sz val="8"/>
            <color indexed="81"/>
            <rFont val="Tahoma"/>
            <family val="2"/>
          </rPr>
          <t>ppeterson:</t>
        </r>
        <r>
          <rPr>
            <sz val="8"/>
            <color indexed="81"/>
            <rFont val="Tahoma"/>
            <family val="2"/>
          </rPr>
          <t xml:space="preserve">
ME entered 323,205,801</t>
        </r>
      </text>
    </comment>
    <comment ref="G1201" authorId="0" shapeId="0" xr:uid="{F2DDD0B5-8851-42D0-8B2B-4C5C194C9CF7}">
      <text>
        <r>
          <rPr>
            <b/>
            <sz val="8"/>
            <color indexed="81"/>
            <rFont val="Tahoma"/>
            <family val="2"/>
          </rPr>
          <t>Paul Peterson:</t>
        </r>
        <r>
          <rPr>
            <sz val="8"/>
            <color indexed="81"/>
            <rFont val="Tahoma"/>
            <family val="2"/>
          </rPr>
          <t xml:space="preserve">
corrected from ind prpt</t>
        </r>
      </text>
    </comment>
    <comment ref="G1278" authorId="1" shapeId="0" xr:uid="{F4095CE7-B96A-4DF2-BA73-AD1AB22FE068}">
      <text>
        <r>
          <rPr>
            <b/>
            <sz val="8"/>
            <color indexed="81"/>
            <rFont val="Tahoma"/>
            <family val="2"/>
          </rPr>
          <t>ppeterson:</t>
        </r>
        <r>
          <rPr>
            <sz val="8"/>
            <color indexed="81"/>
            <rFont val="Tahoma"/>
            <family val="2"/>
          </rPr>
          <t xml:space="preserve">
Me entered 719,647,561</t>
        </r>
      </text>
    </comment>
    <comment ref="F1608" authorId="0" shapeId="0" xr:uid="{755521AB-757A-4072-958C-04C048931A12}">
      <text>
        <r>
          <rPr>
            <b/>
            <sz val="8"/>
            <color indexed="81"/>
            <rFont val="Tahoma"/>
            <family val="2"/>
          </rPr>
          <t>Paul Peterson:</t>
        </r>
        <r>
          <rPr>
            <sz val="8"/>
            <color indexed="81"/>
            <rFont val="Tahoma"/>
            <family val="2"/>
          </rPr>
          <t xml:space="preserve">
correected from idnd rprt</t>
        </r>
      </text>
    </comment>
    <comment ref="G1608" authorId="0" shapeId="0" xr:uid="{80710AF4-D3C4-4AF8-9242-67E439616FC2}">
      <text>
        <r>
          <rPr>
            <b/>
            <sz val="8"/>
            <color indexed="81"/>
            <rFont val="Tahoma"/>
            <family val="2"/>
          </rPr>
          <t>Paul Peterson:</t>
        </r>
        <r>
          <rPr>
            <sz val="8"/>
            <color indexed="81"/>
            <rFont val="Tahoma"/>
            <family val="2"/>
          </rPr>
          <t xml:space="preserve">
corrected from ind rprt</t>
        </r>
      </text>
    </comment>
  </commentList>
</comments>
</file>

<file path=xl/sharedStrings.xml><?xml version="1.0" encoding="utf-8"?>
<sst xmlns="http://schemas.openxmlformats.org/spreadsheetml/2006/main" count="16199" uniqueCount="846">
  <si>
    <t>Alabama Life Insurance Company</t>
  </si>
  <si>
    <r>
      <rPr>
        <b/>
        <sz val="11"/>
        <color rgb="FF000000"/>
        <rFont val="Calibri"/>
        <family val="2"/>
      </rPr>
      <t xml:space="preserve">Estimated Net Costs as of </t>
    </r>
    <r>
      <rPr>
        <b/>
        <sz val="11"/>
        <color rgb="FFFF0000"/>
        <rFont val="Calibri"/>
        <family val="2"/>
      </rPr>
      <t>September 30, 2024</t>
    </r>
  </si>
  <si>
    <r>
      <rPr>
        <b/>
        <sz val="11"/>
        <color rgb="FF000000"/>
        <rFont val="Calibri"/>
        <family val="2"/>
      </rPr>
      <t xml:space="preserve">Assessments Called (Billed) or Refunded as of </t>
    </r>
    <r>
      <rPr>
        <b/>
        <sz val="11"/>
        <color rgb="FFFF0000"/>
        <rFont val="Calibri"/>
        <family val="2"/>
      </rPr>
      <t>December 31, 2023</t>
    </r>
  </si>
  <si>
    <t>Life</t>
  </si>
  <si>
    <t>Allocated Annuity</t>
  </si>
  <si>
    <t>A&amp;H</t>
  </si>
  <si>
    <t>Unallocated Annuity</t>
  </si>
  <si>
    <t>LTC</t>
  </si>
  <si>
    <t>Total</t>
  </si>
  <si>
    <t>Assessments Called (i.e. Billed)</t>
  </si>
  <si>
    <t>Assessments Refunded</t>
  </si>
  <si>
    <t>Alabama</t>
  </si>
  <si>
    <t>Alaska</t>
  </si>
  <si>
    <t>Arizona</t>
  </si>
  <si>
    <t>Summary:</t>
  </si>
  <si>
    <t>Arkansas</t>
  </si>
  <si>
    <t>California</t>
  </si>
  <si>
    <t>GA Covered Obligations</t>
  </si>
  <si>
    <t>Colorado</t>
  </si>
  <si>
    <t>Connecticut</t>
  </si>
  <si>
    <t>Add:</t>
  </si>
  <si>
    <t>Delaware</t>
  </si>
  <si>
    <t xml:space="preserve">  GA claims incurred directly</t>
  </si>
  <si>
    <t>Dist. of Columbia</t>
  </si>
  <si>
    <t xml:space="preserve">  GA expenses incurred directly</t>
  </si>
  <si>
    <t>Florida</t>
  </si>
  <si>
    <t xml:space="preserve">  NOLHGA expenses</t>
  </si>
  <si>
    <t>Georgia</t>
  </si>
  <si>
    <t xml:space="preserve">  Remaining Inforce estimate</t>
  </si>
  <si>
    <t>Hawaii</t>
  </si>
  <si>
    <t>Idaho</t>
  </si>
  <si>
    <t>Less:</t>
  </si>
  <si>
    <t>Illinois</t>
  </si>
  <si>
    <t xml:space="preserve">  Estate/other distributions</t>
  </si>
  <si>
    <t>Indiana</t>
  </si>
  <si>
    <t xml:space="preserve">  Other adjustments</t>
  </si>
  <si>
    <t>Iowa</t>
  </si>
  <si>
    <t xml:space="preserve">  Ceding commissions/</t>
  </si>
  <si>
    <t>Kansas</t>
  </si>
  <si>
    <t xml:space="preserve">    policy enhancements</t>
  </si>
  <si>
    <t>Kentucky</t>
  </si>
  <si>
    <t xml:space="preserve">  Other recoveries (litigation,</t>
  </si>
  <si>
    <t>Louisiana</t>
  </si>
  <si>
    <t xml:space="preserve">    estate distributions, etc.)</t>
  </si>
  <si>
    <t>Maine</t>
  </si>
  <si>
    <t>Maryland</t>
  </si>
  <si>
    <t>Adjusted GA Costs</t>
  </si>
  <si>
    <t>Massachusetts</t>
  </si>
  <si>
    <t>Per State Breakdown</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</si>
  <si>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</si>
  <si>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</si>
  <si>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</si>
  <si>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</si>
  <si>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</si>
  <si>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</si>
  <si>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</si>
  <si>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</si>
  <si>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</si>
  <si>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</si>
  <si>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</si>
  <si>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</si>
  <si>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</si>
  <si>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</si>
  <si>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</si>
  <si>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</si>
  <si>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</si>
  <si>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Puerto Rico</t>
  </si>
  <si>
    <t>Rhode Island</t>
  </si>
  <si>
    <t>South Carolina</t>
  </si>
  <si>
    <t>South Dakota</t>
  </si>
  <si>
    <t>Tennessee</t>
  </si>
  <si>
    <t>Texas</t>
  </si>
  <si>
    <t>Utah</t>
  </si>
  <si>
    <t>Vermont</t>
  </si>
  <si>
    <t>Virginia</t>
  </si>
  <si>
    <t>Washington</t>
  </si>
  <si>
    <t>West Virginia</t>
  </si>
  <si>
    <t>Wisconsin</t>
  </si>
  <si>
    <t>Wyoming</t>
  </si>
  <si>
    <t>Other</t>
  </si>
  <si>
    <t>Assessment information is compiled annually from state guaranty associations.  This information is NOT audited or verified by NOLHGA.  NOLHGA cannot comment as to the completeness nor accuracy of the information shown herein.  Any such inquiries should be directed to each individual state guaranty association.</t>
  </si>
  <si>
    <t>American Chambers Life Insurance Company</t>
  </si>
  <si>
    <t>American Community Mutual Insurance Company</t>
  </si>
  <si>
    <t>American Educators Life Insurance Company</t>
  </si>
  <si>
    <t>American Integrity Insurance Company</t>
  </si>
  <si>
    <t>American Life Assurance Corporation</t>
  </si>
  <si>
    <t>American Medical and Life Insurance Company</t>
  </si>
  <si>
    <t>American Network Insurance Company</t>
  </si>
  <si>
    <t>American Standard Life &amp; Accident Insurance Company</t>
  </si>
  <si>
    <t>American Western Life Insurance Company</t>
  </si>
  <si>
    <t>AMS Life Insurance Company</t>
  </si>
  <si>
    <t>Andrew Jackson Life Insurance Company</t>
  </si>
  <si>
    <t>Bankers Commercial Life Insurance Company</t>
  </si>
  <si>
    <t>Bankers Life Insurance Company</t>
  </si>
  <si>
    <t>Benicorp Insurance Company</t>
  </si>
  <si>
    <t>Booker T Washington Insurance Company, Inc.</t>
  </si>
  <si>
    <t>Centennial Life Insurance Company</t>
  </si>
  <si>
    <t>Coastal States Life Insurance Company</t>
  </si>
  <si>
    <t>Colorado Bankers Life Insurance Company</t>
  </si>
  <si>
    <t>Colorado Health Insurance Cooperative Inc. d/b/a Colorado HealthOP</t>
  </si>
  <si>
    <t>Compass Cooperative Mutual Health Network, Inc. d/b/a Meritus Mutual Health Partners</t>
  </si>
  <si>
    <t>Confederation Life Insurance &amp; Annuity Co (CLIAC)</t>
  </si>
  <si>
    <t>Confederation Life Insurance Company (CLIC)</t>
  </si>
  <si>
    <t>Consolidated National Life Insurance Company</t>
  </si>
  <si>
    <t>Consumers Choice Health Insurance Company d/b/a Consumers’ Choice Health Plan</t>
  </si>
  <si>
    <t>Consumers Mutual Insurance of Michigan</t>
  </si>
  <si>
    <t>Consumers United Insurance Company</t>
  </si>
  <si>
    <t>CoOportunity Health</t>
  </si>
  <si>
    <t>Coordinated Health (dba InHealth Mutual)</t>
  </si>
  <si>
    <t>Corporate Life Insurance Company</t>
  </si>
  <si>
    <t>Diamond Benefits Life Insurance Company/Life Assurance Company of Pennsylvania</t>
  </si>
  <si>
    <t>EBL Life Insurance Company</t>
  </si>
  <si>
    <t>Executive Life Insurance Company</t>
  </si>
  <si>
    <t>Executive Life Insurance Company of New York</t>
  </si>
  <si>
    <t>Family Guaranty Life Insurance Company</t>
  </si>
  <si>
    <t>Farmers and Ranchers Life Insurance Company</t>
  </si>
  <si>
    <t>Fidelity Bankers Life Insurance Company</t>
  </si>
  <si>
    <t>Fidelity Mutual Life Insurance Company</t>
  </si>
  <si>
    <t>First Capital Life Insurance Company</t>
  </si>
  <si>
    <t>First National Life Insurance Company</t>
  </si>
  <si>
    <t>First National Life Insurance Company of America</t>
  </si>
  <si>
    <t>Franklin American Life Insurance Company</t>
  </si>
  <si>
    <t>Franklin Protective Life Insurance Company</t>
  </si>
  <si>
    <t>Freelancers CO-OP of NJ (dba Health Republic of NJ)</t>
  </si>
  <si>
    <t>Freestone Insurance Company</t>
  </si>
  <si>
    <t>George Washington Life Insurance Company</t>
  </si>
  <si>
    <t>Golden State Mutual Life Insurance Company</t>
  </si>
  <si>
    <t>Guarantee Security Life Insurance Company</t>
  </si>
  <si>
    <t>HealthyCT, Inc.</t>
  </si>
  <si>
    <t>Imerica Life and Health Insurance Company</t>
  </si>
  <si>
    <t>Inter-American Insurance Company of Illinois</t>
  </si>
  <si>
    <t>International Financial Services Life Insurance Company</t>
  </si>
  <si>
    <t>Investment Life Insurance Company of America</t>
  </si>
  <si>
    <t>Investors Equity Life Insurance Company of Hawaii, LTD</t>
  </si>
  <si>
    <t>Kentucky Central Life Insurance Company</t>
  </si>
  <si>
    <t>Land of Lincoln Health Mutual Health Insurance Company</t>
  </si>
  <si>
    <t>Legion Insurance Company</t>
  </si>
  <si>
    <t>Life &amp; Health Insurance Company of America</t>
  </si>
  <si>
    <t>Lincoln Memorial Life Insurance Company</t>
  </si>
  <si>
    <t>London Pacific Life &amp; Annuity Company</t>
  </si>
  <si>
    <t>Lumbermens Mutual Casualty Company</t>
  </si>
  <si>
    <t>Medical Savings Insurance Company</t>
  </si>
  <si>
    <t>Memorial Service Life Insurance Company</t>
  </si>
  <si>
    <t>Mid-Continent Life Insurance Company</t>
  </si>
  <si>
    <t>Midwest Life Insurance Company</t>
  </si>
  <si>
    <t>Monarch Life Insurance Company</t>
  </si>
  <si>
    <t>Mutual Benefit Life Insurance Company</t>
  </si>
  <si>
    <t>Mutual Security Life Insurance Company</t>
  </si>
  <si>
    <t>National Affiliated Investors Life Insurance Company</t>
  </si>
  <si>
    <t>National American Life Insurance Co of Pennsylvania</t>
  </si>
  <si>
    <t>National Heritage Life Insurance Company</t>
  </si>
  <si>
    <t>National States Insurance Company</t>
  </si>
  <si>
    <t>New Jersey Life Insurance Company</t>
  </si>
  <si>
    <t>North Carolina Mutual Life Insurance Company</t>
  </si>
  <si>
    <t>Northwestern National Insurance Company of Milwaukee Wisconsin</t>
  </si>
  <si>
    <t>Old Colony Life Insurance Company</t>
  </si>
  <si>
    <t>Old Faithful Life Insurance Company</t>
  </si>
  <si>
    <t>Pacific Standard Life Insurance Company</t>
  </si>
  <si>
    <t>Pavonia Life Insurance Company of Michigan</t>
  </si>
  <si>
    <t>Penn Treaty Network America Insurance Company</t>
  </si>
  <si>
    <t>Red Rock Insurance Company.</t>
  </si>
  <si>
    <t>Reliance Insurance Company</t>
  </si>
  <si>
    <t>SeeChange Health Insurance Company</t>
  </si>
  <si>
    <t>Senior American Insurance Company</t>
  </si>
  <si>
    <t>Settlers Life Insurance Company</t>
  </si>
  <si>
    <t>Shenandoah Life Insurance Company</t>
  </si>
  <si>
    <t>Southland National Insurance Corporation</t>
  </si>
  <si>
    <t>Standard Life Insurance Company of Indiana</t>
  </si>
  <si>
    <t>States General Life Insurance Company</t>
  </si>
  <si>
    <t>Statesman National Life Insurance Company</t>
  </si>
  <si>
    <t>Summit National Life Insurance Company</t>
  </si>
  <si>
    <t>Supreme Life Insurance Company of America</t>
  </si>
  <si>
    <t>Time Insurance Company</t>
  </si>
  <si>
    <t>Underwriters Life Insurance Company</t>
  </si>
  <si>
    <t>Unison International Life Insurance Company</t>
  </si>
  <si>
    <t>United Republic Life Insurance Company</t>
  </si>
  <si>
    <t>Universal Health Care Insurance Company, Inc.</t>
  </si>
  <si>
    <t>Universal Life Insurance Company</t>
  </si>
  <si>
    <t>Universe Life Insurance Company</t>
  </si>
  <si>
    <t>Villanova Insurance Company</t>
  </si>
  <si>
    <t>NAIC Code</t>
  </si>
  <si>
    <t>Domicile</t>
  </si>
  <si>
    <t>Rehabiliation Date</t>
  </si>
  <si>
    <t>Liquidation Date</t>
  </si>
  <si>
    <t>Closing Date</t>
  </si>
  <si>
    <t>Estate Closing Date</t>
  </si>
  <si>
    <t>Total Report 2024</t>
  </si>
  <si>
    <t>Total Report 2023</t>
  </si>
  <si>
    <t>Change</t>
  </si>
  <si>
    <t>Overview "Pre-Liquidation" Insolvencies</t>
  </si>
  <si>
    <t>Monarch Life Ins. Co.</t>
  </si>
  <si>
    <t xml:space="preserve">66265     </t>
  </si>
  <si>
    <t>MA</t>
  </si>
  <si>
    <t>6/9/1994</t>
  </si>
  <si>
    <t>Total "Pre-Liquidation"</t>
  </si>
  <si>
    <t>Overview "Open" Insolvencies</t>
  </si>
  <si>
    <t>American Network Ins. Co.</t>
  </si>
  <si>
    <t xml:space="preserve">81078     </t>
  </si>
  <si>
    <t>PA</t>
  </si>
  <si>
    <t>1/6/2009</t>
  </si>
  <si>
    <t>3/1/2017</t>
  </si>
  <si>
    <t>Bankers Life Ins. Co.</t>
  </si>
  <si>
    <t xml:space="preserve">81043     </t>
  </si>
  <si>
    <t>NC</t>
  </si>
  <si>
    <t>6/27/2019</t>
  </si>
  <si>
    <t>11/30/2024</t>
  </si>
  <si>
    <t>Booker T Washington Ins Co Inc</t>
  </si>
  <si>
    <t xml:space="preserve">61468     </t>
  </si>
  <si>
    <t>AL</t>
  </si>
  <si>
    <t>2/22/2006</t>
  </si>
  <si>
    <t>5/5/2010</t>
  </si>
  <si>
    <t>3/12/2015</t>
  </si>
  <si>
    <t>Colorado Bankers Life Ins.Co.</t>
  </si>
  <si>
    <t xml:space="preserve">84786     </t>
  </si>
  <si>
    <t>Executive Life Ins. Co.</t>
  </si>
  <si>
    <t xml:space="preserve">63010     </t>
  </si>
  <si>
    <t>CA</t>
  </si>
  <si>
    <t>4/11/1991</t>
  </si>
  <si>
    <t>12/6/1991</t>
  </si>
  <si>
    <t>9/3/1993</t>
  </si>
  <si>
    <t>8/15/2022</t>
  </si>
  <si>
    <t>DE</t>
  </si>
  <si>
    <t>Life &amp; Health Ins. Co. of America</t>
  </si>
  <si>
    <t xml:space="preserve">77887     </t>
  </si>
  <si>
    <t>7/2/2004</t>
  </si>
  <si>
    <t>4/1/2005</t>
  </si>
  <si>
    <t>11/27/2007</t>
  </si>
  <si>
    <t>Lincoln Memorial Life Ins. Co.</t>
  </si>
  <si>
    <t xml:space="preserve">69833     </t>
  </si>
  <si>
    <t>TX</t>
  </si>
  <si>
    <t>5/14/2008</t>
  </si>
  <si>
    <t>9/22/2008</t>
  </si>
  <si>
    <t>National States Ins. Co.</t>
  </si>
  <si>
    <t xml:space="preserve">60593     </t>
  </si>
  <si>
    <t>MO</t>
  </si>
  <si>
    <t>4/1/2010</t>
  </si>
  <si>
    <t>11/15/2010</t>
  </si>
  <si>
    <t>North Carolina Mutual Life</t>
  </si>
  <si>
    <t xml:space="preserve">67032     </t>
  </si>
  <si>
    <t>12/3/2018</t>
  </si>
  <si>
    <t>10/31/2022</t>
  </si>
  <si>
    <t>Penn Treaty Network</t>
  </si>
  <si>
    <t xml:space="preserve">63282     </t>
  </si>
  <si>
    <t>Red Rock Ins. Co.</t>
  </si>
  <si>
    <t xml:space="preserve">18538     </t>
  </si>
  <si>
    <t>OK</t>
  </si>
  <si>
    <t>5/19/2014</t>
  </si>
  <si>
    <t>8/21/2014</t>
  </si>
  <si>
    <t>Senior American Ins Co</t>
  </si>
  <si>
    <t xml:space="preserve">76759     </t>
  </si>
  <si>
    <t>2/28/2005</t>
  </si>
  <si>
    <t>9/3/2019</t>
  </si>
  <si>
    <t>Southland National Ins. Corp.</t>
  </si>
  <si>
    <t xml:space="preserve">79057     </t>
  </si>
  <si>
    <t>5/2/2023</t>
  </si>
  <si>
    <t>Time Ins Co</t>
  </si>
  <si>
    <t xml:space="preserve">69477     </t>
  </si>
  <si>
    <t>WI</t>
  </si>
  <si>
    <t>7/29/2020</t>
  </si>
  <si>
    <t>9/1/2022</t>
  </si>
  <si>
    <t>Universal Life Ins Co</t>
  </si>
  <si>
    <t xml:space="preserve">70157     </t>
  </si>
  <si>
    <t>4/24/2009</t>
  </si>
  <si>
    <t>Total "Open"</t>
  </si>
  <si>
    <t>Overview "Closed" Insolvencies</t>
  </si>
  <si>
    <t>Colorado Health Ins. Coop. Inc.</t>
  </si>
  <si>
    <t xml:space="preserve">15126     </t>
  </si>
  <si>
    <t>CO</t>
  </si>
  <si>
    <t>11/10/2015</t>
  </si>
  <si>
    <t>1/4/2016</t>
  </si>
  <si>
    <t>Meritus Mutual Health Partners</t>
  </si>
  <si>
    <t xml:space="preserve">15092     </t>
  </si>
  <si>
    <t>AZ</t>
  </si>
  <si>
    <t>10/30/2015</t>
  </si>
  <si>
    <t>8/10/2016</t>
  </si>
  <si>
    <t>Consumers Choice Health Plan</t>
  </si>
  <si>
    <t xml:space="preserve">15145     </t>
  </si>
  <si>
    <t>SC</t>
  </si>
  <si>
    <t>1/8/2016</t>
  </si>
  <si>
    <t>3/28/2016</t>
  </si>
  <si>
    <t xml:space="preserve">15093     </t>
  </si>
  <si>
    <t>IA</t>
  </si>
  <si>
    <t>12/23/2014</t>
  </si>
  <si>
    <t>2/28/2015</t>
  </si>
  <si>
    <t>Coordinated Health</t>
  </si>
  <si>
    <t xml:space="preserve">15314     </t>
  </si>
  <si>
    <t>OH</t>
  </si>
  <si>
    <t>5/26/2016</t>
  </si>
  <si>
    <t>Executive Life Ins. Co. of New York</t>
  </si>
  <si>
    <t xml:space="preserve">61913     </t>
  </si>
  <si>
    <t>NY</t>
  </si>
  <si>
    <t>4/23/1991</t>
  </si>
  <si>
    <t>8/8/2013</t>
  </si>
  <si>
    <t>First National Life Ins. Co. of America</t>
  </si>
  <si>
    <t xml:space="preserve">63525     </t>
  </si>
  <si>
    <t>MS</t>
  </si>
  <si>
    <t>5/10/1999</t>
  </si>
  <si>
    <t>6/29/1999</t>
  </si>
  <si>
    <t>12/9/1999</t>
  </si>
  <si>
    <t>Freelancers CO-OP of NJ</t>
  </si>
  <si>
    <t xml:space="preserve">15197     </t>
  </si>
  <si>
    <t>NJ</t>
  </si>
  <si>
    <t>10/19/2016</t>
  </si>
  <si>
    <t>2/3/2017</t>
  </si>
  <si>
    <t xml:space="preserve">15046     </t>
  </si>
  <si>
    <t>CT</t>
  </si>
  <si>
    <t>7/1/2016</t>
  </si>
  <si>
    <t>12/31/2016</t>
  </si>
  <si>
    <t>Land of Lincoln Health</t>
  </si>
  <si>
    <t xml:space="preserve">15102     </t>
  </si>
  <si>
    <t>IL</t>
  </si>
  <si>
    <t>7/14/2016</t>
  </si>
  <si>
    <t>9/29/2016</t>
  </si>
  <si>
    <t>Lumbermens Mutual</t>
  </si>
  <si>
    <t xml:space="preserve">22977     </t>
  </si>
  <si>
    <t>7/2/2012</t>
  </si>
  <si>
    <t>5/10/2013</t>
  </si>
  <si>
    <t>6/10/2013</t>
  </si>
  <si>
    <t>Memorial Service Life Ins. Co.</t>
  </si>
  <si>
    <t xml:space="preserve">74926     </t>
  </si>
  <si>
    <t>7/6/2011</t>
  </si>
  <si>
    <t>Northwestern National Ins Co of Milwaukee</t>
  </si>
  <si>
    <t xml:space="preserve">23914     </t>
  </si>
  <si>
    <t>2/22/2017</t>
  </si>
  <si>
    <t>5/2/2019</t>
  </si>
  <si>
    <t>Reliance Ins. Co.</t>
  </si>
  <si>
    <t xml:space="preserve">24457     </t>
  </si>
  <si>
    <t>5/29/2001</t>
  </si>
  <si>
    <t>10/3/2001</t>
  </si>
  <si>
    <t>9/1/2005</t>
  </si>
  <si>
    <t>Standard Life Ins Co of IN</t>
  </si>
  <si>
    <t xml:space="preserve">69051     </t>
  </si>
  <si>
    <t>IN</t>
  </si>
  <si>
    <t>12/18/2008</t>
  </si>
  <si>
    <t>7/26/2012</t>
  </si>
  <si>
    <t>Universal Health Care Ins. Co.</t>
  </si>
  <si>
    <t xml:space="preserve">12577     </t>
  </si>
  <si>
    <t>FL</t>
  </si>
  <si>
    <t>3/22/2013</t>
  </si>
  <si>
    <t>4/1/2013</t>
  </si>
  <si>
    <t>Total "Closed"</t>
  </si>
  <si>
    <t>Overview "Estate Closed" Insolvencies</t>
  </si>
  <si>
    <t>Alabama Life Ins. Co.</t>
  </si>
  <si>
    <t xml:space="preserve">98825     </t>
  </si>
  <si>
    <t>12/2/1993</t>
  </si>
  <si>
    <t>10/7/1994</t>
  </si>
  <si>
    <t>10/21/1994</t>
  </si>
  <si>
    <t>6/24/2002</t>
  </si>
  <si>
    <t>American Chambers Life Ins. Co.</t>
  </si>
  <si>
    <t xml:space="preserve">75914     </t>
  </si>
  <si>
    <t>3/13/2000</t>
  </si>
  <si>
    <t>5/8/2000</t>
  </si>
  <si>
    <t>claim runoff</t>
  </si>
  <si>
    <t>12/2/2013</t>
  </si>
  <si>
    <t>American Educators Life Ins. Co.</t>
  </si>
  <si>
    <t xml:space="preserve">60356     </t>
  </si>
  <si>
    <t>8/11/1994</t>
  </si>
  <si>
    <t>9/30/1994</t>
  </si>
  <si>
    <t>2/20/2002</t>
  </si>
  <si>
    <t>American Integrity Ins. Co.</t>
  </si>
  <si>
    <t xml:space="preserve">10197     </t>
  </si>
  <si>
    <t>6/25/1993</t>
  </si>
  <si>
    <t>6/1/1994</t>
  </si>
  <si>
    <t>10/7/2011</t>
  </si>
  <si>
    <t>American Life Assurance Corp.</t>
  </si>
  <si>
    <t xml:space="preserve">88161     </t>
  </si>
  <si>
    <t>2/25/1997</t>
  </si>
  <si>
    <t>5/30/1997</t>
  </si>
  <si>
    <t>3/13/1998</t>
  </si>
  <si>
    <t>6/15/2004</t>
  </si>
  <si>
    <t>American Medical and Life Ins. Co.</t>
  </si>
  <si>
    <t xml:space="preserve">81418     </t>
  </si>
  <si>
    <t>12/28/2016</t>
  </si>
  <si>
    <t>1/18/2024</t>
  </si>
  <si>
    <t>American Standard Life &amp; Accident Ins. Co.</t>
  </si>
  <si>
    <t xml:space="preserve">63452     </t>
  </si>
  <si>
    <t>2/22/1991</t>
  </si>
  <si>
    <t>9/22/1998</t>
  </si>
  <si>
    <t>5/28/2004</t>
  </si>
  <si>
    <t>American Western Life Ins. Co.</t>
  </si>
  <si>
    <t xml:space="preserve">60917     </t>
  </si>
  <si>
    <t>UT</t>
  </si>
  <si>
    <t>1/1/1997</t>
  </si>
  <si>
    <t>8/28/1997</t>
  </si>
  <si>
    <t>5/26/2011</t>
  </si>
  <si>
    <t>AMS Life Ins. Co.</t>
  </si>
  <si>
    <t xml:space="preserve">86142     </t>
  </si>
  <si>
    <t>3/27/1992</t>
  </si>
  <si>
    <t>9/3/1992</t>
  </si>
  <si>
    <t>mulitple</t>
  </si>
  <si>
    <t>12/28/2006</t>
  </si>
  <si>
    <t>Andrew Jackson Life Ins. Co.</t>
  </si>
  <si>
    <t xml:space="preserve">60968     </t>
  </si>
  <si>
    <t>2/10/1992</t>
  </si>
  <si>
    <t>3/26/1993</t>
  </si>
  <si>
    <t>8/27/1993</t>
  </si>
  <si>
    <t>11/7/2022</t>
  </si>
  <si>
    <t>Bankers Commercial Life Ins. Co.</t>
  </si>
  <si>
    <t xml:space="preserve">61220     </t>
  </si>
  <si>
    <t>5/15/2000</t>
  </si>
  <si>
    <t>6/19/2000</t>
  </si>
  <si>
    <t>11/8/2002</t>
  </si>
  <si>
    <t>4/7/2003</t>
  </si>
  <si>
    <t>Benicorp Ins. Co.</t>
  </si>
  <si>
    <t xml:space="preserve">69752     </t>
  </si>
  <si>
    <t>8/9/2007</t>
  </si>
  <si>
    <t>10/5/2007</t>
  </si>
  <si>
    <t>2/22/2021</t>
  </si>
  <si>
    <t>Centennial Life Ins. Co.</t>
  </si>
  <si>
    <t xml:space="preserve">61654     </t>
  </si>
  <si>
    <t>KS</t>
  </si>
  <si>
    <t>2/4/1998</t>
  </si>
  <si>
    <t>5/27/1998</t>
  </si>
  <si>
    <t>multiple closings</t>
  </si>
  <si>
    <t>6/12/2020</t>
  </si>
  <si>
    <t>Coastal States Life Ins. Co.</t>
  </si>
  <si>
    <t xml:space="preserve">61980     </t>
  </si>
  <si>
    <t>GA</t>
  </si>
  <si>
    <t>1/24/1996</t>
  </si>
  <si>
    <t>10/1/1996</t>
  </si>
  <si>
    <t>11/8/1996</t>
  </si>
  <si>
    <t>9/17/2004</t>
  </si>
  <si>
    <t>Confederation Life Ins. Co. (CLIC)</t>
  </si>
  <si>
    <t xml:space="preserve">80667     </t>
  </si>
  <si>
    <t>MI</t>
  </si>
  <si>
    <t>8/12/1994</t>
  </si>
  <si>
    <t>multiple</t>
  </si>
  <si>
    <t>11/19/2008</t>
  </si>
  <si>
    <t>Consolidated National Life Ins. Co.</t>
  </si>
  <si>
    <t xml:space="preserve">71382     </t>
  </si>
  <si>
    <t>7/12/1994</t>
  </si>
  <si>
    <t>11/29/1999</t>
  </si>
  <si>
    <t xml:space="preserve">15128     </t>
  </si>
  <si>
    <t>11/13/2015</t>
  </si>
  <si>
    <t>2/10/2016</t>
  </si>
  <si>
    <t>1/26/22</t>
  </si>
  <si>
    <t>Consumers United Ins. Co.</t>
  </si>
  <si>
    <t xml:space="preserve">62278     </t>
  </si>
  <si>
    <t>2/9/1993</t>
  </si>
  <si>
    <t>5/5/1994</t>
  </si>
  <si>
    <t>2/15/1995</t>
  </si>
  <si>
    <t>10/3/2013</t>
  </si>
  <si>
    <t>Corporate Life Ins. Co.</t>
  </si>
  <si>
    <t xml:space="preserve">74705     </t>
  </si>
  <si>
    <t>8/24/1988</t>
  </si>
  <si>
    <t>2/15/1994</t>
  </si>
  <si>
    <t>1/31/1996</t>
  </si>
  <si>
    <t>1/4/2007</t>
  </si>
  <si>
    <t>Diamond Benefits Life Ins. Co./LACOP</t>
  </si>
  <si>
    <t xml:space="preserve">74969     </t>
  </si>
  <si>
    <t>12/19/1988</t>
  </si>
  <si>
    <t>2/28/1992</t>
  </si>
  <si>
    <t>11/30/1992</t>
  </si>
  <si>
    <t>12/21/2007</t>
  </si>
  <si>
    <t>EBL Life Ins. Co.</t>
  </si>
  <si>
    <t xml:space="preserve">87033     </t>
  </si>
  <si>
    <t>4/7/1994</t>
  </si>
  <si>
    <t>11/30/1994</t>
  </si>
  <si>
    <t>8/15/2005</t>
  </si>
  <si>
    <t>Family Guaranty Life Ins. Co.</t>
  </si>
  <si>
    <t xml:space="preserve">75302     </t>
  </si>
  <si>
    <t>8/30/2018</t>
  </si>
  <si>
    <t>Farmers and Ranchers Life Ins. Co.</t>
  </si>
  <si>
    <t xml:space="preserve">63185     </t>
  </si>
  <si>
    <t>5/12/1999</t>
  </si>
  <si>
    <t>1/14/2000</t>
  </si>
  <si>
    <t>1/21/2000</t>
  </si>
  <si>
    <t>5/10/2021</t>
  </si>
  <si>
    <t>Fidelity Bankers Life Ins. Co.</t>
  </si>
  <si>
    <t xml:space="preserve">63266     </t>
  </si>
  <si>
    <t>VA</t>
  </si>
  <si>
    <t>5/13/1991</t>
  </si>
  <si>
    <t>9/29/1992</t>
  </si>
  <si>
    <t>6/12/1993</t>
  </si>
  <si>
    <t>9/26/2012</t>
  </si>
  <si>
    <t>First National Life Ins. Co.</t>
  </si>
  <si>
    <t xml:space="preserve">63517     </t>
  </si>
  <si>
    <t>10/4/1996</t>
  </si>
  <si>
    <t>8/5/1997</t>
  </si>
  <si>
    <t>12/17/2002</t>
  </si>
  <si>
    <t>Franklin American Life Ins. Co.</t>
  </si>
  <si>
    <t xml:space="preserve">68489     </t>
  </si>
  <si>
    <t>TN</t>
  </si>
  <si>
    <t>5/11/1999</t>
  </si>
  <si>
    <t>10/26/1999</t>
  </si>
  <si>
    <t>7/6/2000</t>
  </si>
  <si>
    <t>11/26/2013</t>
  </si>
  <si>
    <t>Franklin Protective Life Ins. Co.</t>
  </si>
  <si>
    <t xml:space="preserve">98655     </t>
  </si>
  <si>
    <t>8/9/2019</t>
  </si>
  <si>
    <t>George Washington Life Ins. Co.</t>
  </si>
  <si>
    <t xml:space="preserve">63770     </t>
  </si>
  <si>
    <t>WV</t>
  </si>
  <si>
    <t>9/5/1990</t>
  </si>
  <si>
    <t>6/3/1991</t>
  </si>
  <si>
    <t>1/21/2005</t>
  </si>
  <si>
    <t>Golden State Mutual Life Ins Co</t>
  </si>
  <si>
    <t xml:space="preserve">63924     </t>
  </si>
  <si>
    <t>6/24/2010</t>
  </si>
  <si>
    <t>1/28/2011</t>
  </si>
  <si>
    <t>10/17/2016</t>
  </si>
  <si>
    <t>Guarantee Security Life Ins. Co.</t>
  </si>
  <si>
    <t xml:space="preserve">84271     </t>
  </si>
  <si>
    <t>8/12/1991</t>
  </si>
  <si>
    <t>12/2/1992</t>
  </si>
  <si>
    <t>4/13/1993</t>
  </si>
  <si>
    <t>7/29/2005</t>
  </si>
  <si>
    <t>Imerica Life and Health Ins. Co.</t>
  </si>
  <si>
    <t xml:space="preserve">63533     </t>
  </si>
  <si>
    <t>AR</t>
  </si>
  <si>
    <t>11/18/2009</t>
  </si>
  <si>
    <t>5/3/2010</t>
  </si>
  <si>
    <t>8/2/2018</t>
  </si>
  <si>
    <t>Inter-American Ins. Co. of Illinois</t>
  </si>
  <si>
    <t xml:space="preserve">67210     </t>
  </si>
  <si>
    <t>10/25/1991</t>
  </si>
  <si>
    <t>12/23/1991</t>
  </si>
  <si>
    <t>9/16/2003</t>
  </si>
  <si>
    <t>International Financial Services Life Ins. Co.</t>
  </si>
  <si>
    <t xml:space="preserve">64084     </t>
  </si>
  <si>
    <t>11/30/1999</t>
  </si>
  <si>
    <t>12/29/2012</t>
  </si>
  <si>
    <t>Investment Life Ins. Co. of America</t>
  </si>
  <si>
    <t xml:space="preserve">76015     </t>
  </si>
  <si>
    <t>8/31/1992</t>
  </si>
  <si>
    <t>4/2/1993</t>
  </si>
  <si>
    <t>9/6/1994</t>
  </si>
  <si>
    <t>12/12/2005</t>
  </si>
  <si>
    <t>Investors Equity Life Ins. Co. of HI, LTD</t>
  </si>
  <si>
    <t xml:space="preserve">64874     </t>
  </si>
  <si>
    <t>HI</t>
  </si>
  <si>
    <t>6/24/1994</t>
  </si>
  <si>
    <t>12/29/1994</t>
  </si>
  <si>
    <t>2/5/1996</t>
  </si>
  <si>
    <t>5/12/2021</t>
  </si>
  <si>
    <t>Kentucky Central Life Ins. Co.</t>
  </si>
  <si>
    <t xml:space="preserve">65188     </t>
  </si>
  <si>
    <t>KY</t>
  </si>
  <si>
    <t>2/12/1993</t>
  </si>
  <si>
    <t>8/18/1994</t>
  </si>
  <si>
    <t>5/31/1995</t>
  </si>
  <si>
    <t>12/10/2007</t>
  </si>
  <si>
    <t>Legion Ins. Co.</t>
  </si>
  <si>
    <t xml:space="preserve">24422     </t>
  </si>
  <si>
    <t>3/28/2002</t>
  </si>
  <si>
    <t>7/28/2003</t>
  </si>
  <si>
    <t>10/1/2019</t>
  </si>
  <si>
    <t>London Pacific Life &amp; Annuity Co.</t>
  </si>
  <si>
    <t xml:space="preserve">68934     </t>
  </si>
  <si>
    <t>8/6/2002</t>
  </si>
  <si>
    <t>9/30/2004</t>
  </si>
  <si>
    <t>10/12/2004</t>
  </si>
  <si>
    <t>12/18/2012</t>
  </si>
  <si>
    <t>Medical Savings Ins. Co.</t>
  </si>
  <si>
    <t xml:space="preserve">74217A    </t>
  </si>
  <si>
    <t>12/1/2008</t>
  </si>
  <si>
    <t>2/26/2009</t>
  </si>
  <si>
    <t>10/7/2015</t>
  </si>
  <si>
    <t>Midwest Life Ins. Co.</t>
  </si>
  <si>
    <t xml:space="preserve">66060     </t>
  </si>
  <si>
    <t>LA</t>
  </si>
  <si>
    <t>6/26/1991</t>
  </si>
  <si>
    <t>8/26/1991</t>
  </si>
  <si>
    <t>6/1/1992</t>
  </si>
  <si>
    <t>6/24/2008</t>
  </si>
  <si>
    <t>Mutual Benefit Life Ins. Co.</t>
  </si>
  <si>
    <t xml:space="preserve">66362     </t>
  </si>
  <si>
    <t>7/16/1991</t>
  </si>
  <si>
    <t>11/3/1993</t>
  </si>
  <si>
    <t>4/30/1994</t>
  </si>
  <si>
    <t>6/30/1999</t>
  </si>
  <si>
    <t>Mutual Security Life Ins. Co.</t>
  </si>
  <si>
    <t xml:space="preserve">66400     </t>
  </si>
  <si>
    <t>10/5/1990</t>
  </si>
  <si>
    <t>National Affiliated Investors Life Ins. Co.</t>
  </si>
  <si>
    <t xml:space="preserve">69370     </t>
  </si>
  <si>
    <t>6/7/1999</t>
  </si>
  <si>
    <t>4/26/2000</t>
  </si>
  <si>
    <t>7/7/2000</t>
  </si>
  <si>
    <t>7/10/2006</t>
  </si>
  <si>
    <t>National American Life Ins. Co of PA</t>
  </si>
  <si>
    <t xml:space="preserve">69221     </t>
  </si>
  <si>
    <t>1/31/1995</t>
  </si>
  <si>
    <t>5/31/1996</t>
  </si>
  <si>
    <t>7/1/1996</t>
  </si>
  <si>
    <t>10/13/2004</t>
  </si>
  <si>
    <t>National Heritage Life Ins. Co.</t>
  </si>
  <si>
    <t xml:space="preserve">97284     </t>
  </si>
  <si>
    <t>5/25/1994</t>
  </si>
  <si>
    <t>11/21/1995</t>
  </si>
  <si>
    <t>7/2/1996</t>
  </si>
  <si>
    <t>New Jersey Life Ins. Co.</t>
  </si>
  <si>
    <t xml:space="preserve">66907     </t>
  </si>
  <si>
    <t>9/5/1991</t>
  </si>
  <si>
    <t>8/12/1993</t>
  </si>
  <si>
    <t>9/9/1993</t>
  </si>
  <si>
    <t>1/8/1999</t>
  </si>
  <si>
    <t>Old Colony Life Ins. Co.</t>
  </si>
  <si>
    <t xml:space="preserve">65161     </t>
  </si>
  <si>
    <t>5/21/1992</t>
  </si>
  <si>
    <t>6/30/1994</t>
  </si>
  <si>
    <t>10/20/1994</t>
  </si>
  <si>
    <t>11/1/2006</t>
  </si>
  <si>
    <t>Old Faithful Life Ins. Co.</t>
  </si>
  <si>
    <t xml:space="preserve">67229     </t>
  </si>
  <si>
    <t>WY</t>
  </si>
  <si>
    <t>2/19/1992</t>
  </si>
  <si>
    <t>11/16/1992</t>
  </si>
  <si>
    <t>3/1/1993</t>
  </si>
  <si>
    <t>11/4/1996</t>
  </si>
  <si>
    <t>Pacific Standard Life Ins. Co.</t>
  </si>
  <si>
    <t xml:space="preserve">72842     </t>
  </si>
  <si>
    <t>12/11/1989</t>
  </si>
  <si>
    <t>5/11/1994</t>
  </si>
  <si>
    <t>12/30/1999</t>
  </si>
  <si>
    <t>SeeChange Health Ins. Co.</t>
  </si>
  <si>
    <t xml:space="preserve">63541     </t>
  </si>
  <si>
    <t>11/19/2014</t>
  </si>
  <si>
    <t>1/28/2015</t>
  </si>
  <si>
    <t>States General Life Ins. Co.</t>
  </si>
  <si>
    <t xml:space="preserve">69175     </t>
  </si>
  <si>
    <t>1/14/2005</t>
  </si>
  <si>
    <t>3/9/2005</t>
  </si>
  <si>
    <t>7/1/2005</t>
  </si>
  <si>
    <t>10/18/2010</t>
  </si>
  <si>
    <t>Statesman National Life Ins. Co.</t>
  </si>
  <si>
    <t xml:space="preserve">69183     </t>
  </si>
  <si>
    <t>2/8/1999</t>
  </si>
  <si>
    <t>5/15/1999</t>
  </si>
  <si>
    <t>6/18/1999</t>
  </si>
  <si>
    <t>12/22/2003</t>
  </si>
  <si>
    <t>Summit National Life Ins. Co.</t>
  </si>
  <si>
    <t xml:space="preserve">71080     </t>
  </si>
  <si>
    <t>5/6/1994</t>
  </si>
  <si>
    <t>11/1/1994</t>
  </si>
  <si>
    <t>3/3/2006</t>
  </si>
  <si>
    <t>Supreme Life Ins. Co. of America</t>
  </si>
  <si>
    <t xml:space="preserve">69302     </t>
  </si>
  <si>
    <t>7/12/1995</t>
  </si>
  <si>
    <t>5/12/2000</t>
  </si>
  <si>
    <t>Underwriters Life Ins. Co.</t>
  </si>
  <si>
    <t xml:space="preserve">88188     </t>
  </si>
  <si>
    <t>SD</t>
  </si>
  <si>
    <t>11/2/1990</t>
  </si>
  <si>
    <t>1/27/1991</t>
  </si>
  <si>
    <t>10/31/1992</t>
  </si>
  <si>
    <t>12/14/1998</t>
  </si>
  <si>
    <t>Unison International Life Ins. Co.</t>
  </si>
  <si>
    <t xml:space="preserve">68055     </t>
  </si>
  <si>
    <t>9/25/1992</t>
  </si>
  <si>
    <t>United Republic Life Ins. Co.</t>
  </si>
  <si>
    <t xml:space="preserve">93238     </t>
  </si>
  <si>
    <t>1/26/1994</t>
  </si>
  <si>
    <t>11/18/1994</t>
  </si>
  <si>
    <t>10/1/1994</t>
  </si>
  <si>
    <t>7/25/2001</t>
  </si>
  <si>
    <t>Universe Life Ins. Co.</t>
  </si>
  <si>
    <t xml:space="preserve">70181     </t>
  </si>
  <si>
    <t>ID</t>
  </si>
  <si>
    <t>3/5/1996</t>
  </si>
  <si>
    <t>12/4/1998</t>
  </si>
  <si>
    <t>10/29/1999</t>
  </si>
  <si>
    <t>5/24/2013</t>
  </si>
  <si>
    <t>Villanova Ins. Co.</t>
  </si>
  <si>
    <t xml:space="preserve">19577     </t>
  </si>
  <si>
    <t>Total "Estate Closed"</t>
  </si>
  <si>
    <t>Overview "Released from Oversight" Insolvencies</t>
  </si>
  <si>
    <t>American Community Mutual Ins. Co.</t>
  </si>
  <si>
    <t xml:space="preserve">60305     </t>
  </si>
  <si>
    <t>4/8/2010</t>
  </si>
  <si>
    <t>Confederation Life Ins. &amp; Annuity Co. (CLIAC)</t>
  </si>
  <si>
    <t xml:space="preserve">99384     </t>
  </si>
  <si>
    <t>9/1/1994</t>
  </si>
  <si>
    <t>No GA Fund Required</t>
  </si>
  <si>
    <t>Fidelity Mutual Life Ins. Co.</t>
  </si>
  <si>
    <t xml:space="preserve">63304     </t>
  </si>
  <si>
    <t>11/6/1992</t>
  </si>
  <si>
    <t>First Capital Life Ins. Co.</t>
  </si>
  <si>
    <t xml:space="preserve">65447     </t>
  </si>
  <si>
    <t>5/14/1991</t>
  </si>
  <si>
    <t>7/2/2002</t>
  </si>
  <si>
    <t>Mid-Continent Life Ins. Co.</t>
  </si>
  <si>
    <t xml:space="preserve">66001     </t>
  </si>
  <si>
    <t>6/6/1997</t>
  </si>
  <si>
    <t>Pavonia Life Ins. Co.</t>
  </si>
  <si>
    <t xml:space="preserve">93777     </t>
  </si>
  <si>
    <t>7/9/2019</t>
  </si>
  <si>
    <t>Settlers Life Ins. Co.</t>
  </si>
  <si>
    <t xml:space="preserve">64220     </t>
  </si>
  <si>
    <t>5/14/1999</t>
  </si>
  <si>
    <t>Shenandoah Life Ins. Co.</t>
  </si>
  <si>
    <t xml:space="preserve">68845     </t>
  </si>
  <si>
    <t>2/12/2009</t>
  </si>
  <si>
    <t>Total "Released from Oversight"</t>
  </si>
  <si>
    <t>Grand Total</t>
  </si>
  <si>
    <t>Pre-Liquidation Insolvencies Summary by State</t>
  </si>
  <si>
    <t>Allocated</t>
  </si>
  <si>
    <t>Unallocated</t>
  </si>
  <si>
    <t>Annuity</t>
  </si>
  <si>
    <t>Per state breakdown</t>
  </si>
  <si>
    <t>Open Insolvencies Summary by State</t>
  </si>
  <si>
    <t>Closed Insolvencies Summary by State</t>
  </si>
  <si>
    <t>Estate Closed Insolvencies Summary by State</t>
  </si>
  <si>
    <t>Released from Oversight Insolvencies Summary by State</t>
  </si>
  <si>
    <t>Total All Insolvencies Summary by State</t>
  </si>
  <si>
    <t>No GA participation</t>
  </si>
  <si>
    <t>Revised Assessable Premium Licensed Only (88-93 Includes Resurvey Changes)</t>
  </si>
  <si>
    <t xml:space="preserve">1988 - 2023 Data </t>
  </si>
  <si>
    <t xml:space="preserve"> </t>
  </si>
  <si>
    <t>Assessable</t>
  </si>
  <si>
    <t>Negative</t>
  </si>
  <si>
    <t xml:space="preserve">Used in determining Life v Hlth Co </t>
  </si>
  <si>
    <t>State</t>
  </si>
  <si>
    <t>Premium</t>
  </si>
  <si>
    <t>Adjusted</t>
  </si>
  <si>
    <t>Year adopted</t>
  </si>
  <si>
    <t>Adj for A&amp;H</t>
  </si>
  <si>
    <t>HMO</t>
  </si>
  <si>
    <t>Licensed</t>
  </si>
  <si>
    <t>Abbreviation</t>
  </si>
  <si>
    <t>Basis</t>
  </si>
  <si>
    <t>Year</t>
  </si>
  <si>
    <t>403(b)</t>
  </si>
  <si>
    <t>Notes</t>
  </si>
  <si>
    <t>LTC allocation</t>
  </si>
  <si>
    <t>DI premium</t>
  </si>
  <si>
    <t>LTC premium</t>
  </si>
  <si>
    <t>count</t>
  </si>
  <si>
    <t xml:space="preserve">Life </t>
  </si>
  <si>
    <t>AH</t>
  </si>
  <si>
    <t>CAL</t>
  </si>
  <si>
    <t>" "</t>
  </si>
  <si>
    <t>AK</t>
  </si>
  <si>
    <t>All, 403(b) included in UA</t>
  </si>
  <si>
    <t>NewModel Act, acct structure unalloc 403b in aa (L5.2+6.3), COLI/BOLE assessed(no deduct), outside index, struc sett,book val adj,plan sponsor</t>
  </si>
  <si>
    <t>UA 403b (A,L5.2+6.3)</t>
  </si>
  <si>
    <t>UA 403b (A,L5.2+6.3), A&amp;H includes HMO beg 2018</t>
  </si>
  <si>
    <t>Yes</t>
  </si>
  <si>
    <t>UA 403b (A,L5.2+6.3), A&amp;H includes HMO</t>
  </si>
  <si>
    <t>A&amp;H includes HMO</t>
  </si>
  <si>
    <t>A&amp;H includes HMO beg 2018</t>
  </si>
  <si>
    <t>1M, except for UA DO NOT</t>
  </si>
  <si>
    <t>fnd gov't lotry and PBGC</t>
  </si>
  <si>
    <t>403(b) included in UA</t>
  </si>
  <si>
    <t>New Act, Collect Trst, Book value adj, plan sponsor, struc settl payee, COLI/BOLI,</t>
  </si>
  <si>
    <t>NewModel Act, unalloc 403b in aa (L5.2+6.3)</t>
  </si>
  <si>
    <t>UA 403b (A,L5.2+6.3), A&amp;H includes HMO beg 2019</t>
  </si>
  <si>
    <t>CAL, COLI/BOLI,</t>
  </si>
  <si>
    <t>CAL, struc settlmnt payee, outside index</t>
  </si>
  <si>
    <t>HMO premium excluded</t>
  </si>
  <si>
    <t>Model</t>
  </si>
  <si>
    <t>New Act, Book value adj, outside index, plan sponsor, struc settl payee, COLI/BOLI, unalloc 403b in aa (L5.2+6.3)</t>
  </si>
  <si>
    <t>1M, except All for gov't</t>
  </si>
  <si>
    <t>ret pln for 401,457,403(b)</t>
  </si>
  <si>
    <t>same, except er owned life</t>
  </si>
  <si>
    <t>Book value adj, outside index, plan sponsor, struc settl payee, COLI/BOLI</t>
  </si>
  <si>
    <t>Dist. Of Columbia</t>
  </si>
  <si>
    <t>DC</t>
  </si>
  <si>
    <t>restated to excluded HMO as FL has a separate HMO account</t>
  </si>
  <si>
    <t>Model, Base Exhibit</t>
  </si>
  <si>
    <t>A&amp;H includes HMO beg 2020</t>
  </si>
  <si>
    <t>Act change to eliminate all unalloc anty</t>
  </si>
  <si>
    <t>All</t>
  </si>
  <si>
    <t>5M UA gov't ltry, ee ben pln, 0 for DO NOT fnd</t>
  </si>
  <si>
    <t>Assess all (AA&amp;UA) gov't ret 401,457,403(b) and PBGC</t>
  </si>
  <si>
    <t>UA 403b (A,L5.2+6.3), HMO premium excluded</t>
  </si>
  <si>
    <t>All, except for UA DO NOT</t>
  </si>
  <si>
    <t>book value, outside index</t>
  </si>
  <si>
    <t>Book value adj, struc settl payee, COLI/BOLI.  BUT UA excluded, COLI/BOI still assessed</t>
  </si>
  <si>
    <t>removed 28207 added back in</t>
  </si>
  <si>
    <t>medicaid</t>
  </si>
  <si>
    <t>A&amp;H includes HMO beg 2019</t>
  </si>
  <si>
    <t>CAL, 403(b) separate</t>
  </si>
  <si>
    <t>A, L2, C2</t>
  </si>
  <si>
    <t>ME</t>
  </si>
  <si>
    <t>MD</t>
  </si>
  <si>
    <t>MN</t>
  </si>
  <si>
    <t>same, except gov't ltry, ee ben pln</t>
  </si>
  <si>
    <t>now 7.5M per part in MN</t>
  </si>
  <si>
    <t>same, except now 7.5M per contract</t>
  </si>
  <si>
    <t>Book value adj</t>
  </si>
  <si>
    <t>outside index</t>
  </si>
  <si>
    <t>New Act, Book value adj, plan sponsor, struc settl payee, COLI/BOLI, 403b in aa (L5.2+6.3)</t>
  </si>
  <si>
    <t>UA 403b (A,L5.2+6.3), A&amp;H includes HMO beg 2020</t>
  </si>
  <si>
    <t>MT</t>
  </si>
  <si>
    <t>NE</t>
  </si>
  <si>
    <t>Book value adj, outside index, struc settl payee, COLI/BOLI</t>
  </si>
  <si>
    <t>NV</t>
  </si>
  <si>
    <t>Book value adj, outside index, struc settl payee, COLI/BOLI, plan sponsor.  UA still not covered</t>
  </si>
  <si>
    <t>NH</t>
  </si>
  <si>
    <t>2M, gov't ret. pln</t>
  </si>
  <si>
    <t>for 401,457,403(b)</t>
  </si>
  <si>
    <t>2M, gov't lottry</t>
  </si>
  <si>
    <t>2M, ee ben plans</t>
  </si>
  <si>
    <t>same, 2M for PBGC</t>
  </si>
  <si>
    <t>NM</t>
  </si>
  <si>
    <t>1M, UA DO NOT fnd gov't</t>
  </si>
  <si>
    <t>1M, gov't lotry, ee ben plan</t>
  </si>
  <si>
    <t>1M, gov't ret. pln</t>
  </si>
  <si>
    <t>1M PBGC</t>
  </si>
  <si>
    <t>CAL, except all variable assessed</t>
  </si>
  <si>
    <t>ND</t>
  </si>
  <si>
    <t>New Act, Book value adj, plan sponsor, struc settl payee, COLI/BOLI, account structure (5.2+6.3)</t>
  </si>
  <si>
    <t>OR</t>
  </si>
  <si>
    <t>CAL, except for All for gov't</t>
  </si>
  <si>
    <t>ret pln 401,457,403(b)</t>
  </si>
  <si>
    <t>UA 403b (A,L5.2+6.3) beg 2020</t>
  </si>
  <si>
    <t>PR</t>
  </si>
  <si>
    <t>RI</t>
  </si>
  <si>
    <t>Model, Base Exhibit, struc sett payee</t>
  </si>
  <si>
    <t>not added since SD does not assess unallcoated</t>
  </si>
  <si>
    <t>Book value adj, struc settl payee, COLI/BOLI, account structure (5.2+6.3)</t>
  </si>
  <si>
    <t>Adopted LTC allocation, however HMO's are still nonmembers</t>
  </si>
  <si>
    <t>Change in account structure - no longer capturing 403(b) separately</t>
  </si>
  <si>
    <t>Change in account structure - no longer capturing 403(b) separately; A&amp;H includes HMO beg 2019</t>
  </si>
  <si>
    <t>Change in account structure - no longer capturing 403(b) separately; A&amp;H includes HMO</t>
  </si>
  <si>
    <t>Book value adj, outside index, plan sponsor, struc settl payee, COLI/BOLI, unalloc 403b in aa (L5.2+6.3)</t>
  </si>
  <si>
    <t>VT</t>
  </si>
  <si>
    <t>New Act, struc settlmnt payee</t>
  </si>
  <si>
    <t>WA</t>
  </si>
  <si>
    <t>Book value adj, outside index</t>
  </si>
  <si>
    <t>restated to excluded HMO as WI has a separate HMO account</t>
  </si>
  <si>
    <t>All States</t>
  </si>
  <si>
    <t>cross check</t>
  </si>
  <si>
    <t>allc anty excld 403b</t>
  </si>
  <si>
    <t>Total unallocated</t>
  </si>
  <si>
    <t xml:space="preserve">IL </t>
  </si>
  <si>
    <t>original</t>
  </si>
  <si>
    <t>orig 77950</t>
  </si>
  <si>
    <t>new 77950</t>
  </si>
  <si>
    <t>revised</t>
  </si>
  <si>
    <t>orig 66869</t>
  </si>
  <si>
    <t>new 66869</t>
  </si>
  <si>
    <t>Change in premium</t>
  </si>
  <si>
    <t>Revised New Jersey</t>
  </si>
  <si>
    <t>Revised Texas</t>
  </si>
  <si>
    <t>less 86916 (Nat'l Heritage Life)</t>
  </si>
  <si>
    <t>Adj Net</t>
  </si>
  <si>
    <t>Revised totals</t>
  </si>
  <si>
    <t>add 65234 (Keyport Life)</t>
  </si>
  <si>
    <r>
      <t>UA 403b (A,L5.2+6.3),</t>
    </r>
    <r>
      <rPr>
        <sz val="10"/>
        <color rgb="FFFF0000"/>
        <rFont val="Calibri"/>
        <family val="2"/>
      </rPr>
      <t xml:space="preserve"> A&amp;H includes HMO beg 2018</t>
    </r>
  </si>
  <si>
    <r>
      <t xml:space="preserve">A, L2, C2, </t>
    </r>
    <r>
      <rPr>
        <sz val="10"/>
        <color rgb="FFFF0000"/>
        <rFont val="Calibri"/>
        <family val="2"/>
      </rPr>
      <t>A&amp;H includes HMO beg 2018</t>
    </r>
  </si>
  <si>
    <r>
      <t xml:space="preserve">A, L2, C2, </t>
    </r>
    <r>
      <rPr>
        <sz val="10"/>
        <color rgb="FFFF0000"/>
        <rFont val="Calibri"/>
        <family val="2"/>
      </rPr>
      <t>A&amp;H includes HMO</t>
    </r>
  </si>
  <si>
    <r>
      <t xml:space="preserve">Pt 2, Line 14, Col 4 &amp; Line 19.7, Col 4; </t>
    </r>
    <r>
      <rPr>
        <sz val="10"/>
        <color rgb="FFFF0000"/>
        <rFont val="Calibri"/>
        <family val="2"/>
      </rPr>
      <t>A&amp;H includes HMO</t>
    </r>
  </si>
  <si>
    <r>
      <t>Canada Life Ins 80659</t>
    </r>
    <r>
      <rPr>
        <b/>
        <sz val="10"/>
        <rFont val="Geneva"/>
      </rPr>
      <t xml:space="preserve"> original</t>
    </r>
    <r>
      <rPr>
        <sz val="11"/>
        <rFont val="Calibri"/>
        <family val="2"/>
      </rPr>
      <t xml:space="preserve"> new jersey</t>
    </r>
  </si>
  <si>
    <r>
      <t xml:space="preserve">Canada Life Ins 80659 </t>
    </r>
    <r>
      <rPr>
        <b/>
        <sz val="10"/>
        <rFont val="Geneva"/>
      </rPr>
      <t>New</t>
    </r>
    <r>
      <rPr>
        <sz val="11"/>
        <rFont val="Calibri"/>
        <family val="2"/>
      </rPr>
      <t xml:space="preserve"> new jersey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</si>
</sst>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
    <numFmt numFmtId="165" formatCode="0_);\(0\)"/>
    <numFmt numFmtId="166" formatCode="_(* #,##0_);_(* \(#,##0\);_(* &quot;-&quot;??_);_(@_)"/>
  </numFmts>
  <fonts count="21">
    <font>
      <sz val="11"/>
      <name val="Calibri"/>
    </font>
    <font>
      <b/>
      <sz val="11"/>
      <name val="Calibri"/>
      <family val="2"/>
    </font>
    <font>
      <b/>
      <i/>
      <sz val="11"/>
      <name val="Calibri"/>
      <family val="2"/>
    </font>
    <font>
      <b/>
      <sz val="11"/>
      <color rgb="FF000000"/>
      <name val="Calibri"/>
      <family val="2"/>
    </font>
    <font>
      <b/>
      <sz val="11"/>
      <color rgb="FFFF0000"/>
      <name val="Calibri"/>
      <family val="2"/>
    </font>
    <font>
      <sz val="11"/>
      <name val="Calibri"/>
      <family val="2"/>
    </font>
    <font>
      <b/>
      <i/>
      <sz val="12"/>
      <name val="Geneva"/>
    </font>
    <font>
      <sz val="10"/>
      <name val="Geneva"/>
    </font>
    <font>
      <b/>
      <sz val="10"/>
      <name val="Geneva"/>
    </font>
    <font>
      <b/>
      <sz val="10"/>
      <name val="Arial"/>
      <family val="2"/>
    </font>
    <font>
      <sz val="10"/>
      <name val="Arial"/>
      <family val="2"/>
    </font>
    <font>
      <sz val="10"/>
      <color rgb="FFFF0000"/>
      <name val="Geneva"/>
    </font>
    <font>
      <sz val="10"/>
      <name val="Aptos Narrow"/>
      <family val="2"/>
      <scheme val="minor"/>
    </font>
    <font>
      <sz val="10"/>
      <color rgb="FFFF0000"/>
      <name val="Calibri"/>
      <family val="2"/>
    </font>
    <font>
      <sz val="10"/>
      <name val="Calibri"/>
      <family val="2"/>
    </font>
    <font>
      <sz val="10"/>
      <color indexed="10"/>
      <name val="Geneva"/>
    </font>
    <font>
      <sz val="10"/>
      <color rgb="FFFF0000"/>
      <name val="Aptos Narrow"/>
      <family val="2"/>
      <scheme val="minor"/>
    </font>
    <font>
      <sz val="10"/>
      <color indexed="12"/>
      <name val="Geneva"/>
    </font>
    <font>
      <b/>
      <sz val="10"/>
      <color rgb="FFFF0000"/>
      <name val="Geneva"/>
    </font>
    <font>
      <b/>
      <sz val="8"/>
      <color indexed="81"/>
      <name val="Tahoma"/>
      <family val="2"/>
    </font>
    <font>
      <sz val="8"/>
      <color indexed="81"/>
      <name val="Tahoma"/>
      <family val="2"/>
    </font>
  </fonts>
  <fills count="3">
    <fill>
      <patternFill patternType="none"/>
    </fill>
    <fill>
      <patternFill patternType="gray125"/>
    </fill>
    <fill>
      <patternFill patternType="solid">
        <fgColor theme="0" tint="-0.14999847407452621"/>
        <bgColor indexed="64"/>
      </patternFill>
    </fill>
  </fills>
  <borders count="22">
    <border>
      <left/>
      <right/>
      <top/>
      <bottom/>
      <diagonal/>
    </border>
    <border>
      <left/>
      <right/>
      <top style="medium">
        <color auto="1"/>
      </top>
      <bottom/>
      <diagonal/>
    </border>
    <border>
      <left/>
      <right/>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thin">
        <color indexed="64"/>
      </top>
      <bottom/>
      <diagonal/>
    </border>
  </borders>
  <cellStyleXfs count="2">
    <xf numFmtId="0" fontId="0" fillId="0" borderId="0"/>
    <xf numFmtId="43" fontId="5" fillId="0" borderId="0" applyFont="0" applyFill="0" applyBorder="0" applyAlignment="0" applyProtection="0"/>
  </cellStyleXfs>
  <cellXfs count="138">
    <xf numFmtId="0" fontId="0" fillId="0" borderId="0" xfId="0"/>
    <xf numFmtId="164" fontId="0" fillId="0" borderId="0" xfId="0" applyNumberFormat="1" applyAlignment="1">
      <alignment wrapText="1"/>
    </xf>
    <xf numFmtId="164" fontId="0" fillId="0" borderId="0" xfId="0" applyNumberFormat="1" applyAlignment="1">
      <alignment horizontal="center" wrapText="1"/>
    </xf>
    <xf numFmtId="164" fontId="1" fillId="0" borderId="0" xfId="0" applyNumberFormat="1" applyFont="1" applyAlignment="1">
      <alignment wrapText="1"/>
    </xf>
    <xf numFmtId="164" fontId="1" fillId="0" borderId="0" xfId="0" applyNumberFormat="1" applyFont="1" applyAlignment="1">
      <alignment horizontal="center" vertical="center" wrapText="1"/>
    </xf>
    <xf numFmtId="164" fontId="0" fillId="0" borderId="2" xfId="0" applyNumberFormat="1" applyBorder="1" applyAlignment="1">
      <alignment wrapText="1"/>
    </xf>
    <xf numFmtId="164" fontId="0" fillId="0" borderId="4" xfId="0" applyNumberFormat="1" applyBorder="1" applyAlignment="1">
      <alignment wrapText="1"/>
    </xf>
    <xf numFmtId="164" fontId="1" fillId="0" borderId="4" xfId="0" applyNumberFormat="1" applyFont="1" applyBorder="1" applyAlignment="1">
      <alignment horizontal="center" vertical="center" wrapText="1"/>
    </xf>
    <xf numFmtId="164" fontId="0" fillId="0" borderId="5" xfId="0" applyNumberFormat="1" applyBorder="1" applyAlignment="1">
      <alignment wrapText="1"/>
    </xf>
    <xf numFmtId="164" fontId="0" fillId="0" borderId="7" xfId="0" applyNumberFormat="1" applyBorder="1" applyAlignment="1">
      <alignment wrapText="1"/>
    </xf>
    <xf numFmtId="164" fontId="1" fillId="0" borderId="7" xfId="0" applyNumberFormat="1" applyFont="1" applyBorder="1" applyAlignment="1">
      <alignment horizontal="center" vertical="center" wrapText="1"/>
    </xf>
    <xf numFmtId="164" fontId="0" fillId="0" borderId="8" xfId="0" applyNumberFormat="1" applyBorder="1" applyAlignment="1">
      <alignment wrapText="1"/>
    </xf>
    <xf numFmtId="164" fontId="0" fillId="0" borderId="10" xfId="0" applyNumberFormat="1" applyBorder="1" applyAlignment="1">
      <alignment wrapText="1"/>
    </xf>
    <xf numFmtId="164" fontId="0" fillId="0" borderId="11" xfId="0" applyNumberFormat="1" applyBorder="1" applyAlignment="1">
      <alignment wrapText="1"/>
    </xf>
    <xf numFmtId="164" fontId="0" fillId="0" borderId="12" xfId="0" applyNumberFormat="1" applyBorder="1" applyAlignment="1">
      <alignment wrapText="1"/>
    </xf>
    <xf numFmtId="164" fontId="0" fillId="0" borderId="13" xfId="0" applyNumberFormat="1" applyBorder="1" applyAlignment="1">
      <alignment wrapText="1"/>
    </xf>
    <xf numFmtId="164" fontId="0" fillId="0" borderId="14" xfId="0" applyNumberFormat="1" applyBorder="1" applyAlignment="1">
      <alignment wrapText="1"/>
    </xf>
    <xf numFmtId="164" fontId="0" fillId="0" borderId="15" xfId="0" applyNumberFormat="1" applyBorder="1" applyAlignment="1">
      <alignment wrapText="1"/>
    </xf>
    <xf numFmtId="164" fontId="0" fillId="0" borderId="0" xfId="0" applyNumberFormat="1" applyAlignment="1">
      <alignment horizontal="center" vertical="center" wrapText="1"/>
    </xf>
    <xf numFmtId="164" fontId="0" fillId="0" borderId="4" xfId="0" applyNumberFormat="1" applyBorder="1" applyAlignment="1">
      <alignment horizontal="center" vertical="center" wrapText="1"/>
    </xf>
    <xf numFmtId="164" fontId="0" fillId="0" borderId="7" xfId="0" applyNumberFormat="1" applyBorder="1" applyAlignment="1">
      <alignment horizontal="center" vertical="center" wrapText="1"/>
    </xf>
    <xf numFmtId="164" fontId="0" fillId="0" borderId="2" xfId="0" applyNumberFormat="1" applyBorder="1" applyAlignment="1">
      <alignment horizontal="center" wrapText="1"/>
    </xf>
    <xf numFmtId="164" fontId="0" fillId="0" borderId="4" xfId="0" applyNumberFormat="1" applyBorder="1" applyAlignment="1">
      <alignment horizontal="center" wrapText="1"/>
    </xf>
    <xf numFmtId="164" fontId="0" fillId="0" borderId="5" xfId="0" applyNumberFormat="1" applyBorder="1" applyAlignment="1">
      <alignment horizontal="center" wrapText="1"/>
    </xf>
    <xf numFmtId="164" fontId="0" fillId="0" borderId="7" xfId="0" applyNumberFormat="1" applyBorder="1" applyAlignment="1">
      <alignment horizontal="center" wrapText="1"/>
    </xf>
    <xf numFmtId="164" fontId="0" fillId="0" borderId="8" xfId="0" applyNumberFormat="1" applyBorder="1" applyAlignment="1">
      <alignment horizontal="center" wrapText="1"/>
    </xf>
    <xf numFmtId="164" fontId="0" fillId="0" borderId="1" xfId="0" applyNumberFormat="1" applyBorder="1" applyAlignment="1">
      <alignment wrapText="1"/>
    </xf>
    <xf numFmtId="164" fontId="2" fillId="0" borderId="3" xfId="0" applyNumberFormat="1" applyFont="1" applyBorder="1" applyAlignment="1">
      <alignment wrapText="1"/>
    </xf>
    <xf numFmtId="164" fontId="0" fillId="0" borderId="6" xfId="0" applyNumberFormat="1" applyBorder="1" applyAlignment="1">
      <alignment wrapText="1"/>
    </xf>
    <xf numFmtId="164" fontId="0" fillId="0" borderId="3" xfId="0" applyNumberFormat="1" applyBorder="1" applyAlignment="1">
      <alignment wrapText="1"/>
    </xf>
    <xf numFmtId="164" fontId="0" fillId="0" borderId="18" xfId="0" applyNumberFormat="1" applyBorder="1" applyAlignment="1">
      <alignment wrapText="1"/>
    </xf>
    <xf numFmtId="164" fontId="2" fillId="0" borderId="19" xfId="0" applyNumberFormat="1" applyFont="1" applyBorder="1" applyAlignment="1">
      <alignment wrapText="1"/>
    </xf>
    <xf numFmtId="164" fontId="0" fillId="0" borderId="20" xfId="0" applyNumberFormat="1" applyBorder="1" applyAlignment="1">
      <alignment wrapText="1"/>
    </xf>
    <xf numFmtId="164" fontId="0" fillId="0" borderId="19" xfId="0" applyNumberFormat="1" applyBorder="1" applyAlignment="1">
      <alignment wrapText="1"/>
    </xf>
    <xf numFmtId="38" fontId="0" fillId="0" borderId="0" xfId="1" applyNumberFormat="1" applyFont="1" applyFill="1" applyAlignment="1">
      <alignment horizontal="center"/>
    </xf>
    <xf numFmtId="38" fontId="7" fillId="0" borderId="0" xfId="1" applyNumberFormat="1" applyFont="1" applyFill="1"/>
    <xf numFmtId="38" fontId="0" fillId="0" borderId="0" xfId="0" applyNumberFormat="1"/>
    <xf numFmtId="38" fontId="0" fillId="0" borderId="0" xfId="1" applyNumberFormat="1" applyFont="1" applyFill="1"/>
    <xf numFmtId="0" fontId="0" fillId="0" borderId="0" xfId="0" applyAlignment="1">
      <alignment horizontal="center"/>
    </xf>
    <xf numFmtId="38" fontId="0" fillId="0" borderId="0" xfId="0" applyNumberFormat="1" applyAlignment="1">
      <alignment horizontal="center"/>
    </xf>
    <xf numFmtId="38" fontId="8" fillId="0" borderId="0" xfId="0" applyNumberFormat="1" applyFont="1" applyAlignment="1">
      <alignment horizontal="center"/>
    </xf>
    <xf numFmtId="38" fontId="8" fillId="0" borderId="0" xfId="1" applyNumberFormat="1" applyFont="1" applyFill="1" applyAlignment="1">
      <alignment horizontal="center"/>
    </xf>
    <xf numFmtId="37" fontId="8" fillId="0" borderId="0" xfId="0" applyNumberFormat="1" applyFont="1" applyAlignment="1">
      <alignment horizontal="center"/>
    </xf>
    <xf numFmtId="165" fontId="8" fillId="0" borderId="0" xfId="0" applyNumberFormat="1" applyFont="1" applyAlignment="1">
      <alignment horizontal="center"/>
    </xf>
    <xf numFmtId="38" fontId="8" fillId="0" borderId="0" xfId="1" applyNumberFormat="1" applyFont="1" applyFill="1" applyAlignment="1">
      <alignment horizontal="left" vertical="center" wrapText="1"/>
    </xf>
    <xf numFmtId="37" fontId="8" fillId="0" borderId="2" xfId="0" applyNumberFormat="1" applyFont="1" applyBorder="1" applyAlignment="1">
      <alignment horizontal="center"/>
    </xf>
    <xf numFmtId="165" fontId="8" fillId="0" borderId="2" xfId="0" applyNumberFormat="1" applyFont="1" applyBorder="1" applyAlignment="1">
      <alignment horizontal="center"/>
    </xf>
    <xf numFmtId="38" fontId="8" fillId="0" borderId="2" xfId="1" applyNumberFormat="1" applyFont="1" applyFill="1" applyBorder="1" applyAlignment="1">
      <alignment horizontal="center"/>
    </xf>
    <xf numFmtId="38" fontId="8" fillId="0" borderId="2" xfId="1" applyNumberFormat="1" applyFont="1" applyFill="1" applyBorder="1" applyAlignment="1">
      <alignment horizontal="left" vertical="center"/>
    </xf>
    <xf numFmtId="38" fontId="9" fillId="0" borderId="0" xfId="1" applyNumberFormat="1" applyFont="1" applyFill="1" applyBorder="1" applyAlignment="1">
      <alignment horizontal="center"/>
    </xf>
    <xf numFmtId="37" fontId="7" fillId="0" borderId="0" xfId="0" applyNumberFormat="1" applyFont="1"/>
    <xf numFmtId="37" fontId="0" fillId="0" borderId="0" xfId="0" applyNumberFormat="1" applyAlignment="1">
      <alignment horizontal="center"/>
    </xf>
    <xf numFmtId="37" fontId="7" fillId="0" borderId="0" xfId="0" applyNumberFormat="1" applyFont="1" applyAlignment="1">
      <alignment horizontal="center"/>
    </xf>
    <xf numFmtId="165" fontId="7" fillId="0" borderId="0" xfId="0" applyNumberFormat="1" applyFont="1" applyAlignment="1">
      <alignment horizontal="center"/>
    </xf>
    <xf numFmtId="38" fontId="0" fillId="0" borderId="0" xfId="1" applyNumberFormat="1" applyFont="1" applyFill="1" applyAlignment="1">
      <alignment horizontal="right"/>
    </xf>
    <xf numFmtId="38" fontId="8" fillId="0" borderId="0" xfId="1" applyNumberFormat="1" applyFont="1" applyFill="1"/>
    <xf numFmtId="38" fontId="8" fillId="2" borderId="0" xfId="1" applyNumberFormat="1" applyFont="1" applyFill="1"/>
    <xf numFmtId="38" fontId="0" fillId="0" borderId="0" xfId="1" applyNumberFormat="1" applyFont="1" applyFill="1" applyBorder="1"/>
    <xf numFmtId="38" fontId="0" fillId="0" borderId="0" xfId="1" applyNumberFormat="1" applyFont="1" applyFill="1" applyBorder="1" applyAlignment="1">
      <alignment horizontal="center"/>
    </xf>
    <xf numFmtId="38" fontId="10" fillId="0" borderId="0" xfId="1" applyNumberFormat="1" applyFont="1" applyFill="1"/>
    <xf numFmtId="38" fontId="0" fillId="0" borderId="0" xfId="1" applyNumberFormat="1" applyFont="1"/>
    <xf numFmtId="38" fontId="8" fillId="0" borderId="0" xfId="1" applyNumberFormat="1" applyFont="1" applyFill="1" applyBorder="1"/>
    <xf numFmtId="38" fontId="0" fillId="0" borderId="0" xfId="1" applyNumberFormat="1" applyFont="1" applyBorder="1"/>
    <xf numFmtId="38" fontId="8" fillId="2" borderId="0" xfId="1" applyNumberFormat="1" applyFont="1" applyFill="1" applyBorder="1"/>
    <xf numFmtId="165" fontId="0" fillId="0" borderId="0" xfId="0" applyNumberFormat="1" applyAlignment="1">
      <alignment horizontal="center"/>
    </xf>
    <xf numFmtId="38" fontId="0" fillId="2" borderId="0" xfId="1" applyNumberFormat="1" applyFont="1" applyFill="1"/>
    <xf numFmtId="166" fontId="0" fillId="0" borderId="0" xfId="0" applyNumberFormat="1"/>
    <xf numFmtId="0" fontId="11" fillId="0" borderId="0" xfId="0" applyFont="1"/>
    <xf numFmtId="38" fontId="7" fillId="0" borderId="0" xfId="0" applyNumberFormat="1" applyFont="1"/>
    <xf numFmtId="38" fontId="11" fillId="0" borderId="0" xfId="0" applyNumberFormat="1" applyFont="1"/>
    <xf numFmtId="38" fontId="10" fillId="0" borderId="0" xfId="1" applyNumberFormat="1" applyFont="1" applyFill="1" applyBorder="1"/>
    <xf numFmtId="38" fontId="11" fillId="0" borderId="0" xfId="1" applyNumberFormat="1" applyFont="1" applyFill="1"/>
    <xf numFmtId="38" fontId="12" fillId="0" borderId="0" xfId="0" applyNumberFormat="1" applyFont="1"/>
    <xf numFmtId="38" fontId="14" fillId="0" borderId="0" xfId="0" applyNumberFormat="1" applyFont="1"/>
    <xf numFmtId="38" fontId="15" fillId="0" borderId="0" xfId="1" applyNumberFormat="1" applyFont="1" applyFill="1" applyAlignment="1">
      <alignment horizontal="right"/>
    </xf>
    <xf numFmtId="38" fontId="7" fillId="0" borderId="0" xfId="1" applyNumberFormat="1" applyFont="1" applyFill="1" applyAlignment="1">
      <alignment horizontal="center"/>
    </xf>
    <xf numFmtId="37" fontId="0" fillId="0" borderId="0" xfId="0" applyNumberFormat="1"/>
    <xf numFmtId="38" fontId="16" fillId="0" borderId="0" xfId="0" applyNumberFormat="1" applyFont="1"/>
    <xf numFmtId="38" fontId="13" fillId="0" borderId="0" xfId="0" applyNumberFormat="1" applyFont="1"/>
    <xf numFmtId="0" fontId="17" fillId="0" borderId="0" xfId="0" applyFont="1"/>
    <xf numFmtId="38" fontId="17" fillId="0" borderId="0" xfId="0" applyNumberFormat="1" applyFont="1"/>
    <xf numFmtId="38" fontId="11" fillId="0" borderId="0" xfId="1" applyNumberFormat="1" applyFont="1"/>
    <xf numFmtId="38" fontId="7" fillId="0" borderId="0" xfId="1" applyNumberFormat="1" applyFont="1"/>
    <xf numFmtId="38" fontId="0" fillId="0" borderId="0" xfId="1" applyNumberFormat="1" applyFont="1" applyFill="1" applyBorder="1" applyAlignment="1">
      <alignment horizontal="right"/>
    </xf>
    <xf numFmtId="38" fontId="17" fillId="0" borderId="0" xfId="1" applyNumberFormat="1" applyFont="1" applyFill="1" applyAlignment="1">
      <alignment horizontal="right"/>
    </xf>
    <xf numFmtId="38" fontId="17" fillId="0" borderId="0" xfId="1" applyNumberFormat="1" applyFont="1" applyFill="1"/>
    <xf numFmtId="38" fontId="7" fillId="0" borderId="0" xfId="1" applyNumberFormat="1" applyFont="1" applyFill="1" applyAlignment="1">
      <alignment horizontal="right"/>
    </xf>
    <xf numFmtId="38" fontId="10" fillId="0" borderId="0" xfId="1" applyNumberFormat="1" applyFont="1" applyFill="1" applyAlignment="1">
      <alignment horizontal="right"/>
    </xf>
    <xf numFmtId="0" fontId="7" fillId="0" borderId="0" xfId="0" applyFont="1"/>
    <xf numFmtId="0" fontId="7" fillId="0" borderId="0" xfId="0" applyFont="1" applyAlignment="1">
      <alignment horizontal="center"/>
    </xf>
    <xf numFmtId="0" fontId="8" fillId="0" borderId="21" xfId="0" applyFont="1" applyBorder="1" applyAlignment="1">
      <alignment horizontal="right"/>
    </xf>
    <xf numFmtId="38" fontId="8" fillId="0" borderId="21" xfId="1" applyNumberFormat="1" applyFont="1" applyFill="1" applyBorder="1"/>
    <xf numFmtId="0" fontId="11" fillId="0" borderId="0" xfId="0" applyFont="1" applyAlignment="1">
      <alignment horizontal="right"/>
    </xf>
    <xf numFmtId="0" fontId="8" fillId="0" borderId="0" xfId="0" applyFont="1"/>
    <xf numFmtId="166" fontId="0" fillId="0" borderId="0" xfId="1" applyNumberFormat="1" applyFont="1" applyFill="1" applyAlignment="1">
      <alignment horizontal="center"/>
    </xf>
    <xf numFmtId="38" fontId="8" fillId="0" borderId="0" xfId="0" applyNumberFormat="1" applyFont="1"/>
    <xf numFmtId="166" fontId="7" fillId="0" borderId="0" xfId="0" applyNumberFormat="1" applyFont="1" applyAlignment="1">
      <alignment horizontal="center"/>
    </xf>
    <xf numFmtId="38" fontId="8" fillId="0" borderId="0" xfId="1" applyNumberFormat="1" applyFont="1" applyFill="1" applyAlignment="1">
      <alignment horizontal="right"/>
    </xf>
    <xf numFmtId="38" fontId="7" fillId="0" borderId="0" xfId="0" applyNumberFormat="1" applyFont="1" applyAlignment="1">
      <alignment horizontal="center"/>
    </xf>
    <xf numFmtId="38" fontId="8" fillId="0" borderId="0" xfId="0" applyNumberFormat="1" applyFont="1" applyAlignment="1">
      <alignment horizontal="right"/>
    </xf>
    <xf numFmtId="38" fontId="8" fillId="0" borderId="21" xfId="0" applyNumberFormat="1" applyFont="1" applyBorder="1"/>
    <xf numFmtId="10" fontId="0" fillId="0" borderId="0" xfId="0" applyNumberFormat="1"/>
    <xf numFmtId="37" fontId="0" fillId="0" borderId="0" xfId="0" applyNumberFormat="1" applyAlignment="1">
      <alignment horizontal="right"/>
    </xf>
    <xf numFmtId="37" fontId="8" fillId="0" borderId="0" xfId="0" applyNumberFormat="1" applyFont="1" applyAlignment="1">
      <alignment horizontal="right"/>
    </xf>
    <xf numFmtId="166" fontId="0" fillId="0" borderId="0" xfId="1" applyNumberFormat="1" applyFont="1" applyFill="1"/>
    <xf numFmtId="0" fontId="0" fillId="0" borderId="0" xfId="0" applyAlignment="1">
      <alignment horizontal="right"/>
    </xf>
    <xf numFmtId="37" fontId="8" fillId="0" borderId="0" xfId="0" applyNumberFormat="1" applyFont="1"/>
    <xf numFmtId="37" fontId="7" fillId="0" borderId="0" xfId="0" applyNumberFormat="1" applyFont="1" applyAlignment="1">
      <alignment horizontal="right"/>
    </xf>
    <xf numFmtId="37" fontId="11" fillId="0" borderId="0" xfId="0" applyNumberFormat="1" applyFont="1" applyAlignment="1">
      <alignment horizontal="center"/>
    </xf>
    <xf numFmtId="37" fontId="11" fillId="0" borderId="0" xfId="0" applyNumberFormat="1" applyFont="1" applyAlignment="1">
      <alignment horizontal="right"/>
    </xf>
    <xf numFmtId="37" fontId="11" fillId="0" borderId="0" xfId="0" applyNumberFormat="1" applyFont="1"/>
    <xf numFmtId="38" fontId="11" fillId="0" borderId="0" xfId="1" applyNumberFormat="1" applyFont="1" applyFill="1" applyAlignment="1">
      <alignment horizontal="right"/>
    </xf>
    <xf numFmtId="37" fontId="18" fillId="0" borderId="0" xfId="0" applyNumberFormat="1" applyFont="1"/>
    <xf numFmtId="164" fontId="1" fillId="0" borderId="4" xfId="0" applyNumberFormat="1" applyFont="1" applyBorder="1" applyAlignment="1">
      <alignment horizontal="center" wrapText="1"/>
    </xf>
    <xf numFmtId="164" fontId="0" fillId="0" borderId="0" xfId="0" applyNumberFormat="1" applyAlignment="1">
      <alignment wrapText="1"/>
    </xf>
    <xf numFmtId="164" fontId="0" fillId="0" borderId="7" xfId="0" applyNumberFormat="1" applyBorder="1" applyAlignment="1">
      <alignment wrapText="1"/>
    </xf>
    <xf numFmtId="164" fontId="0" fillId="0" borderId="4" xfId="0" applyNumberFormat="1" applyBorder="1" applyAlignment="1">
      <alignment wrapText="1"/>
    </xf>
    <xf numFmtId="164" fontId="0" fillId="0" borderId="5" xfId="0" applyNumberFormat="1" applyBorder="1" applyAlignment="1">
      <alignment wrapText="1"/>
    </xf>
    <xf numFmtId="164" fontId="0" fillId="0" borderId="2" xfId="0" applyNumberFormat="1" applyBorder="1" applyAlignment="1">
      <alignment wrapText="1"/>
    </xf>
    <xf numFmtId="164" fontId="0" fillId="0" borderId="8" xfId="0" applyNumberFormat="1" applyBorder="1" applyAlignment="1">
      <alignment wrapText="1"/>
    </xf>
    <xf numFmtId="164" fontId="1" fillId="0" borderId="0" xfId="0" applyNumberFormat="1" applyFont="1" applyAlignment="1">
      <alignment horizontal="center" wrapText="1"/>
    </xf>
    <xf numFmtId="164" fontId="0" fillId="0" borderId="3" xfId="0" applyNumberFormat="1" applyBorder="1" applyAlignment="1">
      <alignment horizontal="center" wrapText="1"/>
    </xf>
    <xf numFmtId="164" fontId="0" fillId="0" borderId="1" xfId="0" applyNumberFormat="1" applyBorder="1" applyAlignment="1">
      <alignment horizontal="center" wrapText="1"/>
    </xf>
    <xf numFmtId="164" fontId="0" fillId="0" borderId="6" xfId="0" applyNumberFormat="1" applyBorder="1" applyAlignment="1">
      <alignment horizontal="center" wrapText="1"/>
    </xf>
    <xf numFmtId="164" fontId="1" fillId="0" borderId="3" xfId="0" applyNumberFormat="1" applyFont="1" applyBorder="1" applyAlignment="1">
      <alignment horizontal="center" wrapText="1"/>
    </xf>
    <xf numFmtId="164" fontId="1" fillId="0" borderId="1" xfId="0" applyNumberFormat="1" applyFont="1" applyBorder="1" applyAlignment="1">
      <alignment wrapText="1"/>
    </xf>
    <xf numFmtId="164" fontId="1" fillId="0" borderId="6" xfId="0" applyNumberFormat="1" applyFont="1" applyBorder="1" applyAlignment="1">
      <alignment wrapText="1"/>
    </xf>
    <xf numFmtId="164" fontId="1" fillId="0" borderId="16" xfId="0" applyNumberFormat="1" applyFont="1" applyBorder="1" applyAlignment="1">
      <alignment horizontal="center" wrapText="1"/>
    </xf>
    <xf numFmtId="164" fontId="1" fillId="0" borderId="9" xfId="0" applyNumberFormat="1" applyFont="1" applyBorder="1" applyAlignment="1">
      <alignment wrapText="1"/>
    </xf>
    <xf numFmtId="164" fontId="1" fillId="0" borderId="9" xfId="0" applyNumberFormat="1" applyFont="1" applyBorder="1" applyAlignment="1">
      <alignment horizontal="center" wrapText="1"/>
    </xf>
    <xf numFmtId="164" fontId="1" fillId="0" borderId="17" xfId="0" applyNumberFormat="1" applyFont="1" applyBorder="1" applyAlignment="1">
      <alignment wrapText="1"/>
    </xf>
    <xf numFmtId="164" fontId="0" fillId="0" borderId="16" xfId="0" applyNumberFormat="1" applyBorder="1" applyAlignment="1">
      <alignment horizontal="center" wrapText="1"/>
    </xf>
    <xf numFmtId="164" fontId="0" fillId="0" borderId="9" xfId="0" applyNumberFormat="1" applyBorder="1" applyAlignment="1">
      <alignment horizontal="center" wrapText="1"/>
    </xf>
    <xf numFmtId="164" fontId="0" fillId="0" borderId="17" xfId="0" applyNumberFormat="1" applyBorder="1" applyAlignment="1">
      <alignment horizontal="center" wrapText="1"/>
    </xf>
    <xf numFmtId="164" fontId="0" fillId="0" borderId="0" xfId="0" applyNumberFormat="1" applyAlignment="1">
      <alignment horizontal="center" wrapText="1"/>
    </xf>
    <xf numFmtId="164" fontId="2" fillId="0" borderId="0" xfId="0" applyNumberFormat="1" applyFont="1" applyAlignment="1">
      <alignment horizontal="center" wrapText="1"/>
    </xf>
    <xf numFmtId="37" fontId="6" fillId="0" borderId="0" xfId="0" applyNumberFormat="1" applyFont="1" applyAlignment="1">
      <alignment horizontal="center"/>
    </xf>
    <xf numFmtId="38" fontId="8" fillId="0" borderId="0" xfId="1" applyNumberFormat="1" applyFont="1" applyFill="1" applyAlignment="1">
      <alignment horizontal="center" wrapText="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xml"/><Relationship Id="rId115"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nolhga.sharepoint.com/sites/financial/InsolvencyData/insolv%20report/2024%20info/NOLHGA%20ADS%202023%20-%20Internal%20premium%20revised%209.17.24%20spreadsheet.xlsx" TargetMode="External"/><Relationship Id="rId1" Type="http://schemas.openxmlformats.org/officeDocument/2006/relationships/externalLinkPath" Target="/sites/financial/InsolvencyData/insolv%20report/2024%20info/NOLHGA%20ADS%202023%20-%20Internal%20premium%20revised%209.17.24%20spread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olhga-my.sharepoint.com/personal/ppeterson_nolhga_com/Documents/Documents/premium/WI%20HM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prm MEMBER"/>
      <sheetName val="revprm NONMBR NOT LIC"/>
      <sheetName val="totrevprm"/>
      <sheetName val="chg MEMBER"/>
      <sheetName val="prcnt chg MEMBER"/>
      <sheetName val="prcnt review MEMBER"/>
      <sheetName val="chg NONMBR NOT LIC"/>
      <sheetName val="prcnt chg NONMBR NOT LIC"/>
      <sheetName val="prcnt review NONMBR NOT LIC"/>
      <sheetName val="Not Updated or Used&gt;&gt;&gt;&gt;"/>
      <sheetName val="Lic"/>
      <sheetName val="UnLic"/>
      <sheetName val="403b States"/>
      <sheetName val="Pivot Lic"/>
      <sheetName val="Pivot Unlic"/>
      <sheetName val="rbc"/>
      <sheetName val="hi"/>
      <sheetName val="il"/>
    </sheetNames>
    <sheetDataSet>
      <sheetData sheetId="0"/>
      <sheetData sheetId="1"/>
      <sheetData sheetId="2">
        <row r="74">
          <cell r="O74" t="str">
            <v>Yes</v>
          </cell>
        </row>
        <row r="111">
          <cell r="O111" t="str">
            <v>Yes</v>
          </cell>
        </row>
        <row r="149">
          <cell r="O149" t="str">
            <v>Yes</v>
          </cell>
        </row>
        <row r="259">
          <cell r="O259" t="str">
            <v>Yes</v>
          </cell>
        </row>
        <row r="297">
          <cell r="O297" t="str">
            <v>Yes</v>
          </cell>
        </row>
        <row r="371">
          <cell r="O371" t="str">
            <v>Yes</v>
          </cell>
        </row>
        <row r="409">
          <cell r="O409" t="str">
            <v>Yes</v>
          </cell>
        </row>
        <row r="481">
          <cell r="O481" t="str">
            <v>Yes</v>
          </cell>
        </row>
        <row r="518">
          <cell r="O518" t="str">
            <v>Yes</v>
          </cell>
        </row>
        <row r="555">
          <cell r="O555" t="str">
            <v>Yes</v>
          </cell>
        </row>
        <row r="593">
          <cell r="O593" t="str">
            <v>Yes</v>
          </cell>
        </row>
        <row r="667">
          <cell r="O667" t="str">
            <v>Yes</v>
          </cell>
        </row>
        <row r="703">
          <cell r="O703" t="str">
            <v>Yes</v>
          </cell>
        </row>
        <row r="740">
          <cell r="O740" t="str">
            <v>Yes</v>
          </cell>
        </row>
        <row r="779">
          <cell r="O779" t="str">
            <v>Yes</v>
          </cell>
        </row>
        <row r="890">
          <cell r="O890" t="str">
            <v>Yes</v>
          </cell>
        </row>
        <row r="927">
          <cell r="O927" t="str">
            <v>Yes</v>
          </cell>
        </row>
        <row r="962">
          <cell r="O962" t="str">
            <v>Yes</v>
          </cell>
        </row>
        <row r="1001">
          <cell r="O1001" t="str">
            <v>Yes</v>
          </cell>
        </row>
        <row r="1037">
          <cell r="O1037" t="str">
            <v>Yes</v>
          </cell>
        </row>
        <row r="1075">
          <cell r="O1075" t="str">
            <v>Yes</v>
          </cell>
        </row>
        <row r="1112">
          <cell r="O1112" t="str">
            <v>Yes</v>
          </cell>
        </row>
        <row r="1258">
          <cell r="O1258" t="str">
            <v>Yes</v>
          </cell>
        </row>
        <row r="1296">
          <cell r="O1296" t="str">
            <v>Yes</v>
          </cell>
        </row>
        <row r="1370">
          <cell r="O1370" t="str">
            <v>Yes</v>
          </cell>
        </row>
        <row r="1445">
          <cell r="O1445" t="str">
            <v>Yes</v>
          </cell>
        </row>
        <row r="1556">
          <cell r="O1556" t="str">
            <v>Yes</v>
          </cell>
        </row>
        <row r="1593">
          <cell r="O1593" t="str">
            <v>Yes</v>
          </cell>
        </row>
        <row r="1629">
          <cell r="O1629" t="str">
            <v>Yes</v>
          </cell>
        </row>
        <row r="1666">
          <cell r="O1666" t="str">
            <v>Yes</v>
          </cell>
        </row>
        <row r="1703">
          <cell r="O1703" t="str">
            <v>Yes</v>
          </cell>
        </row>
        <row r="1776">
          <cell r="O1776" t="str">
            <v>Yes</v>
          </cell>
        </row>
        <row r="1850">
          <cell r="O1850" t="str">
            <v>Yes</v>
          </cell>
        </row>
        <row r="1925">
          <cell r="O1925" t="str">
            <v>Yes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refreshError="1">
        <row r="30">
          <cell r="F30">
            <v>5092566300</v>
          </cell>
          <cell r="G30">
            <v>6429866118</v>
          </cell>
          <cell r="H30">
            <v>6193604502</v>
          </cell>
          <cell r="I30">
            <v>8035456219</v>
          </cell>
        </row>
        <row r="31">
          <cell r="G31">
            <v>21</v>
          </cell>
          <cell r="H31">
            <v>21</v>
          </cell>
          <cell r="I31">
            <v>21</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0</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2137779.3229980012</v>
      </c>
      <c r="C6" s="1">
        <v>1170473.7981022638</v>
      </c>
      <c r="D6" s="1">
        <v>10279.638899735133</v>
      </c>
      <c r="E6" s="1">
        <v>0</v>
      </c>
      <c r="F6" s="1">
        <v>0</v>
      </c>
      <c r="G6" s="9">
        <f>SUM(AL_FINANCIAL)</f>
        <v>3318532.7600000002</v>
      </c>
      <c r="L6" s="6">
        <v>2800000</v>
      </c>
      <c r="M6" s="1">
        <v>0</v>
      </c>
      <c r="O6" s="1">
        <v>568170</v>
      </c>
      <c r="P6" s="1">
        <v>0</v>
      </c>
      <c r="R6" s="1">
        <v>13000</v>
      </c>
      <c r="S6" s="1">
        <v>0</v>
      </c>
      <c r="U6" s="1">
        <v>0</v>
      </c>
      <c r="V6" s="9">
        <v>0</v>
      </c>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4246637</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193694.76</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-529679</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713876</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937601.99999999988</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3318532.76</v>
      </c>
      <c r="L26" s="6"/>
      <c r="V26" s="9"/>
    </row>
    <row r="27" spans="1:22">
      <c r="A27" s="1" t="s">
        <v>47</v>
      </c>
      <c r="B27" s="6">
        <v>0</v>
      </c>
      <c r="C27" s="1">
        <v>0</v>
      </c>
      <c r="D27" s="1">
        <v>0</v>
      </c>
      <c r="E27" s="1">
        <v>0</v>
      </c>
      <c r="F27" s="1">
        <v>0</v>
      </c>
      <c r="G27" s="9">
        <f>SUM(MA_FINANCIAL)</f>
        <v>0</v>
      </c>
      <c r="I27" s="13" t="s">
        <v>48</v>
      </c>
      <c r="J27" s="16">
        <f>SUM(ALL_BLOCKS)</f>
        <v>3318532.7600000002</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2137779.3229980012</v>
      </c>
      <c r="C60" s="1">
        <f>SUM(ALLOCATED)</f>
        <v>1170473.7981022638</v>
      </c>
      <c r="D60" s="1">
        <f>SUM(HEALTH)</f>
        <v>10279.638899735133</v>
      </c>
      <c r="E60" s="1">
        <f>SUM(UNALLOCATED)</f>
        <v>0</v>
      </c>
      <c r="F60" s="1">
        <f>SUM(LTC)</f>
        <v>0</v>
      </c>
      <c r="G60" s="9">
        <f>SUM(ALL_BLOCKS)</f>
        <v>3318532.7600000002</v>
      </c>
      <c r="L60" s="6">
        <f>SUM(LIFE_CALLED)</f>
        <v>2800000</v>
      </c>
      <c r="M60" s="1">
        <f>SUM(LIFE_REFUNDED)</f>
        <v>0</v>
      </c>
      <c r="O60" s="1">
        <f>SUM(ALLOC_CALLED)</f>
        <v>568170</v>
      </c>
      <c r="P60" s="1">
        <f>SUM(ALLOC_REFUNDED)</f>
        <v>0</v>
      </c>
      <c r="R60" s="1">
        <f>SUM(HEALTH_CALLED)</f>
        <v>13000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89</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-772.09944445061592</v>
      </c>
      <c r="E7" s="1">
        <v>0</v>
      </c>
      <c r="F7" s="1">
        <v>0</v>
      </c>
      <c r="G7" s="9">
        <f>SUM(AK_FINANCIAL)</f>
        <v>-772.09944445061592</v>
      </c>
      <c r="I7" s="12"/>
      <c r="J7" s="15"/>
      <c r="L7" s="6">
        <v>0</v>
      </c>
      <c r="M7" s="1">
        <v>0</v>
      </c>
      <c r="O7" s="1">
        <v>0</v>
      </c>
      <c r="P7" s="1">
        <v>0</v>
      </c>
      <c r="R7" s="1">
        <v>25000</v>
      </c>
      <c r="S7" s="1">
        <v>8000</v>
      </c>
      <c r="U7" s="1">
        <v>0</v>
      </c>
      <c r="V7" s="9">
        <v>0</v>
      </c>
    </row>
    <row r="8" spans="1:22">
      <c r="A8" s="1" t="s">
        <v>13</v>
      </c>
      <c r="B8" s="6">
        <v>-496.37073693605453</v>
      </c>
      <c r="C8" s="1">
        <v>0</v>
      </c>
      <c r="D8" s="1">
        <v>-149370.66183492355</v>
      </c>
      <c r="E8" s="1">
        <v>0</v>
      </c>
      <c r="F8" s="1">
        <v>0</v>
      </c>
      <c r="G8" s="9">
        <f>SUM(AZ_FINANCIAL)</f>
        <v>-149867.0325718596</v>
      </c>
      <c r="I8" s="13" t="s">
        <v>14</v>
      </c>
      <c r="J8" s="16"/>
      <c r="L8" s="6">
        <v>0</v>
      </c>
      <c r="M8" s="1">
        <v>0</v>
      </c>
      <c r="O8" s="1">
        <v>0</v>
      </c>
      <c r="P8" s="1">
        <v>0</v>
      </c>
      <c r="R8" s="1">
        <v>0</v>
      </c>
      <c r="S8" s="1">
        <v>0</v>
      </c>
      <c r="U8" s="1">
        <v>0</v>
      </c>
      <c r="V8" s="9">
        <v>0</v>
      </c>
    </row>
    <row r="9" spans="1:22">
      <c r="A9" s="1" t="s">
        <v>15</v>
      </c>
      <c r="B9" s="6">
        <v>0</v>
      </c>
      <c r="C9" s="1">
        <v>0</v>
      </c>
      <c r="D9" s="1">
        <v>0</v>
      </c>
      <c r="E9" s="1">
        <v>0</v>
      </c>
      <c r="F9" s="1">
        <v>0</v>
      </c>
      <c r="G9" s="9">
        <f>SUM(AR_FINANCIAL)</f>
        <v>0</v>
      </c>
      <c r="I9" s="13"/>
      <c r="J9" s="16"/>
      <c r="L9" s="6"/>
      <c r="V9" s="9"/>
    </row>
    <row r="10" spans="1:22">
      <c r="A10" s="1" t="s">
        <v>16</v>
      </c>
      <c r="B10" s="6">
        <v>0</v>
      </c>
      <c r="C10" s="1">
        <v>0</v>
      </c>
      <c r="D10" s="1">
        <v>-48862.885737602832</v>
      </c>
      <c r="E10" s="1">
        <v>0</v>
      </c>
      <c r="F10" s="1">
        <v>0</v>
      </c>
      <c r="G10" s="9">
        <f>SUM(CA_FINANCIAL)</f>
        <v>-48862.885737602832</v>
      </c>
      <c r="I10" s="13" t="s">
        <v>17</v>
      </c>
      <c r="J10" s="16">
        <v>4821737</v>
      </c>
      <c r="L10" s="6">
        <v>0</v>
      </c>
      <c r="M10" s="1">
        <v>0</v>
      </c>
      <c r="O10" s="1">
        <v>0</v>
      </c>
      <c r="P10" s="1">
        <v>0</v>
      </c>
      <c r="R10" s="1">
        <v>1200000</v>
      </c>
      <c r="S10" s="1">
        <v>950000</v>
      </c>
      <c r="U10" s="1">
        <v>0</v>
      </c>
      <c r="V10" s="9">
        <v>0</v>
      </c>
    </row>
    <row r="11" spans="1:22">
      <c r="A11" s="1" t="s">
        <v>18</v>
      </c>
      <c r="B11" s="6">
        <v>0</v>
      </c>
      <c r="C11" s="1">
        <v>0</v>
      </c>
      <c r="D11" s="1">
        <v>-7542.2743478405901</v>
      </c>
      <c r="E11" s="1">
        <v>0</v>
      </c>
      <c r="F11" s="1">
        <v>0</v>
      </c>
      <c r="G11" s="9">
        <f>SUM(CO_FINANCIAL)</f>
        <v>-7542.2743478405901</v>
      </c>
      <c r="I11" s="13"/>
      <c r="J11" s="16"/>
      <c r="L11" s="6">
        <v>0</v>
      </c>
      <c r="M11" s="1">
        <v>0</v>
      </c>
      <c r="O11" s="1">
        <v>0</v>
      </c>
      <c r="P11" s="1">
        <v>0</v>
      </c>
      <c r="R11" s="1">
        <v>165000</v>
      </c>
      <c r="S11" s="1">
        <v>107622</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4821737</v>
      </c>
      <c r="L13" s="6"/>
      <c r="V13" s="9"/>
    </row>
    <row r="14" spans="1:22">
      <c r="A14" s="1" t="s">
        <v>23</v>
      </c>
      <c r="B14" s="6">
        <v>0</v>
      </c>
      <c r="C14" s="1">
        <v>0</v>
      </c>
      <c r="D14" s="1">
        <v>0</v>
      </c>
      <c r="E14" s="1">
        <v>0</v>
      </c>
      <c r="F14" s="1">
        <v>0</v>
      </c>
      <c r="G14" s="9">
        <f>SUM(DC_FINANCIAL)</f>
        <v>0</v>
      </c>
      <c r="I14" s="13" t="s">
        <v>24</v>
      </c>
      <c r="J14" s="16">
        <v>550530</v>
      </c>
      <c r="L14" s="6"/>
      <c r="V14" s="9"/>
    </row>
    <row r="15" spans="1:22">
      <c r="A15" s="1" t="s">
        <v>25</v>
      </c>
      <c r="B15" s="6">
        <v>0</v>
      </c>
      <c r="C15" s="1">
        <v>0</v>
      </c>
      <c r="D15" s="1">
        <v>0</v>
      </c>
      <c r="E15" s="1">
        <v>0</v>
      </c>
      <c r="F15" s="1">
        <v>0</v>
      </c>
      <c r="G15" s="9">
        <f>SUM(FL_FINANCIAL)</f>
        <v>0</v>
      </c>
      <c r="I15" s="13" t="s">
        <v>26</v>
      </c>
      <c r="J15" s="16">
        <v>274565.90999999997</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27937.140698436684</v>
      </c>
      <c r="E18" s="1">
        <v>0</v>
      </c>
      <c r="F18" s="1">
        <v>0</v>
      </c>
      <c r="G18" s="9">
        <f>SUM(ID_FINANCIAL)</f>
        <v>27937.140698436684</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-122.17480416884246</v>
      </c>
      <c r="E20" s="1">
        <v>0</v>
      </c>
      <c r="F20" s="1">
        <v>0</v>
      </c>
      <c r="G20" s="9">
        <f>SUM(IN_FINANCIAL)</f>
        <v>-122.17480416884246</v>
      </c>
      <c r="I20" s="13" t="s">
        <v>35</v>
      </c>
      <c r="J20" s="16">
        <v>4821737</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4903</v>
      </c>
      <c r="E24" s="1">
        <v>0</v>
      </c>
      <c r="F24" s="1">
        <v>0</v>
      </c>
      <c r="G24" s="9">
        <f>SUM(LA_FINANCIAL)</f>
        <v>4903</v>
      </c>
      <c r="I24" s="13" t="s">
        <v>43</v>
      </c>
      <c r="J24" s="16">
        <v>5782884.919999999</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-136052.00999999791</v>
      </c>
      <c r="L26" s="6"/>
      <c r="V26" s="9"/>
    </row>
    <row r="27" spans="1:22">
      <c r="A27" s="1" t="s">
        <v>47</v>
      </c>
      <c r="B27" s="6">
        <v>0</v>
      </c>
      <c r="C27" s="1">
        <v>0</v>
      </c>
      <c r="D27" s="1">
        <v>0</v>
      </c>
      <c r="E27" s="1">
        <v>0</v>
      </c>
      <c r="F27" s="1">
        <v>0</v>
      </c>
      <c r="G27" s="9">
        <f>SUM(MA_FINANCIAL)</f>
        <v>0</v>
      </c>
      <c r="I27" s="13" t="s">
        <v>48</v>
      </c>
      <c r="J27" s="16">
        <f>SUM(ALL_BLOCKS)</f>
        <v>-136052.00999999919</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6818.2586880145755</v>
      </c>
      <c r="E31" s="1">
        <v>0</v>
      </c>
      <c r="F31" s="1">
        <v>0</v>
      </c>
      <c r="G31" s="9">
        <f>SUM(MO_FINANCIAL)</f>
        <v>6818.2586880145755</v>
      </c>
      <c r="L31" s="6"/>
      <c r="V31" s="9"/>
    </row>
    <row r="32" spans="1:22">
      <c r="A32" s="1" t="s">
        <v>53</v>
      </c>
      <c r="B32" s="6">
        <v>0</v>
      </c>
      <c r="C32" s="1">
        <v>0</v>
      </c>
      <c r="D32" s="1">
        <v>4295</v>
      </c>
      <c r="E32" s="1">
        <v>0</v>
      </c>
      <c r="F32" s="1">
        <v>0</v>
      </c>
      <c r="G32" s="9">
        <f>SUM(MT_FINANCIAL)</f>
        <v>4295</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-9136.3213482072169</v>
      </c>
      <c r="E34" s="1">
        <v>0</v>
      </c>
      <c r="F34" s="1">
        <v>0</v>
      </c>
      <c r="G34" s="9">
        <f>SUM(NV_FINANCIAL)</f>
        <v>-9136.3213482072169</v>
      </c>
      <c r="L34" s="6">
        <v>0</v>
      </c>
      <c r="M34" s="1">
        <v>0</v>
      </c>
      <c r="O34" s="1">
        <v>0</v>
      </c>
      <c r="P34" s="1">
        <v>0</v>
      </c>
      <c r="R34" s="1">
        <v>151200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1095.2007387695703</v>
      </c>
      <c r="E37" s="1">
        <v>0</v>
      </c>
      <c r="F37" s="1">
        <v>0</v>
      </c>
      <c r="G37" s="9">
        <f>SUM(NM_FINANCIAL)</f>
        <v>1095.2007387695703</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-197.62557965040287</v>
      </c>
      <c r="C42" s="1">
        <v>0</v>
      </c>
      <c r="D42" s="1">
        <v>-2154.0990556314355</v>
      </c>
      <c r="E42" s="1">
        <v>0</v>
      </c>
      <c r="F42" s="1">
        <v>0</v>
      </c>
      <c r="G42" s="9">
        <f>SUM(OK_FINANCIAL)</f>
        <v>-2351.7246352818383</v>
      </c>
      <c r="L42" s="6">
        <v>0</v>
      </c>
      <c r="M42" s="1">
        <v>0</v>
      </c>
      <c r="O42" s="1">
        <v>0</v>
      </c>
      <c r="P42" s="1">
        <v>0</v>
      </c>
      <c r="R42" s="1">
        <v>0</v>
      </c>
      <c r="S42" s="1">
        <v>0</v>
      </c>
      <c r="U42" s="1">
        <v>0</v>
      </c>
      <c r="V42" s="9">
        <v>0</v>
      </c>
    </row>
    <row r="43" spans="1:22">
      <c r="A43" s="1" t="s">
        <v>64</v>
      </c>
      <c r="B43" s="6">
        <v>0</v>
      </c>
      <c r="C43" s="1">
        <v>0</v>
      </c>
      <c r="D43" s="1">
        <v>-1257.9881652426084</v>
      </c>
      <c r="E43" s="1">
        <v>0</v>
      </c>
      <c r="F43" s="1">
        <v>0</v>
      </c>
      <c r="G43" s="9">
        <f>SUM(OR_FINANCIAL)</f>
        <v>-1257.9881652426084</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-207.50940578438076</v>
      </c>
      <c r="E49" s="1">
        <v>0</v>
      </c>
      <c r="F49" s="1">
        <v>0</v>
      </c>
      <c r="G49" s="9">
        <f>SUM(TN_FINANCIAL)</f>
        <v>-207.50940578438076</v>
      </c>
      <c r="L49" s="6"/>
      <c r="V49" s="9"/>
    </row>
    <row r="50" spans="1:22">
      <c r="A50" s="1" t="s">
        <v>71</v>
      </c>
      <c r="B50" s="6">
        <v>0</v>
      </c>
      <c r="C50" s="1">
        <v>0</v>
      </c>
      <c r="D50" s="1">
        <v>-8197.5331728536403</v>
      </c>
      <c r="E50" s="1">
        <v>0</v>
      </c>
      <c r="F50" s="1">
        <v>0</v>
      </c>
      <c r="G50" s="9">
        <f>SUM(TX_FINANCIAL)</f>
        <v>-8197.5331728536403</v>
      </c>
      <c r="L50" s="6">
        <v>0</v>
      </c>
      <c r="M50" s="1">
        <v>0</v>
      </c>
      <c r="O50" s="1">
        <v>0</v>
      </c>
      <c r="P50" s="1">
        <v>0</v>
      </c>
      <c r="R50" s="1">
        <v>113018</v>
      </c>
      <c r="S50" s="1">
        <v>80000</v>
      </c>
      <c r="U50" s="1">
        <v>0</v>
      </c>
      <c r="V50" s="9">
        <v>0</v>
      </c>
    </row>
    <row r="51" spans="1:22">
      <c r="A51" s="1" t="s">
        <v>72</v>
      </c>
      <c r="B51" s="6">
        <v>0</v>
      </c>
      <c r="C51" s="1">
        <v>0</v>
      </c>
      <c r="D51" s="1">
        <v>47719.22098832234</v>
      </c>
      <c r="E51" s="1">
        <v>0</v>
      </c>
      <c r="F51" s="1">
        <v>0</v>
      </c>
      <c r="G51" s="9">
        <f>SUM(UT_FINANCIAL)</f>
        <v>47719.22098832234</v>
      </c>
      <c r="L51" s="6">
        <v>0</v>
      </c>
      <c r="M51" s="1">
        <v>0</v>
      </c>
      <c r="O51" s="1">
        <v>0</v>
      </c>
      <c r="P51" s="1">
        <v>0</v>
      </c>
      <c r="R51" s="1">
        <v>150000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-502.28748025021923</v>
      </c>
      <c r="E57" s="1">
        <v>0</v>
      </c>
      <c r="F57" s="1">
        <v>0</v>
      </c>
      <c r="G57" s="9">
        <f>SUM(WY_FINANCIAL)</f>
        <v>-502.28748025021923</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-693.9963165864574</v>
      </c>
      <c r="C60" s="1">
        <f>SUM(ALLOCATED)</f>
        <v>0</v>
      </c>
      <c r="D60" s="1">
        <f>SUM(HEALTH)</f>
        <v>-135358.01368341275</v>
      </c>
      <c r="E60" s="1">
        <f>SUM(UNALLOCATED)</f>
        <v>0</v>
      </c>
      <c r="F60" s="1">
        <f>SUM(LTC)</f>
        <v>0</v>
      </c>
      <c r="G60" s="9">
        <f>SUM(ALL_BLOCKS)</f>
        <v>-136052.00999999919</v>
      </c>
      <c r="L60" s="6">
        <f>SUM(LIFE_CALLED)</f>
        <v>0</v>
      </c>
      <c r="M60" s="1">
        <f>SUM(LIFE_REFUNDED)</f>
        <v>0</v>
      </c>
      <c r="O60" s="1">
        <f>SUM(ALLOC_CALLED)</f>
        <v>0</v>
      </c>
      <c r="P60" s="1">
        <f>SUM(ALLOC_REFUNDED)</f>
        <v>0</v>
      </c>
      <c r="R60" s="1">
        <f>SUM(HEALTH_CALLED)</f>
        <v>1804218</v>
      </c>
      <c r="S60" s="1">
        <f>SUM(HEALTH_REFUNDED)</f>
        <v>1145622</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179</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0</v>
      </c>
      <c r="L10" s="6">
        <v>0</v>
      </c>
      <c r="M10" s="1">
        <v>0</v>
      </c>
      <c r="O10" s="1">
        <v>0</v>
      </c>
      <c r="P10" s="1">
        <v>0</v>
      </c>
      <c r="R10" s="1">
        <v>150000</v>
      </c>
      <c r="S10" s="1">
        <v>0</v>
      </c>
      <c r="U10" s="1">
        <v>0</v>
      </c>
      <c r="V10" s="9">
        <v>0</v>
      </c>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252214</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252214</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0</v>
      </c>
      <c r="L26" s="6"/>
      <c r="V26" s="9"/>
    </row>
    <row r="27" spans="1:22">
      <c r="A27" s="1" t="s">
        <v>47</v>
      </c>
      <c r="B27" s="6">
        <v>0</v>
      </c>
      <c r="C27" s="1">
        <v>0</v>
      </c>
      <c r="D27" s="1">
        <v>0</v>
      </c>
      <c r="E27" s="1">
        <v>0</v>
      </c>
      <c r="F27" s="1">
        <v>0</v>
      </c>
      <c r="G27" s="9">
        <f>SUM(MA_FINANCIAL)</f>
        <v>0</v>
      </c>
      <c r="I27" s="13" t="s">
        <v>48</v>
      </c>
      <c r="J27" s="16">
        <f>SUM(ALL_BLOCKS)</f>
        <v>0</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v>0</v>
      </c>
      <c r="M50" s="1">
        <v>170000</v>
      </c>
      <c r="O50" s="1">
        <v>0</v>
      </c>
      <c r="P50" s="1">
        <v>0</v>
      </c>
      <c r="R50" s="1">
        <v>250000</v>
      </c>
      <c r="S50" s="1">
        <v>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0</v>
      </c>
      <c r="E60" s="1">
        <f>SUM(UNALLOCATED)</f>
        <v>0</v>
      </c>
      <c r="F60" s="1">
        <f>SUM(LTC)</f>
        <v>0</v>
      </c>
      <c r="G60" s="9">
        <f>SUM(ALL_BLOCKS)</f>
        <v>0</v>
      </c>
      <c r="L60" s="6">
        <f>SUM(LIFE_CALLED)</f>
        <v>0</v>
      </c>
      <c r="M60" s="1">
        <f>SUM(LIFE_REFUNDED)</f>
        <v>170000</v>
      </c>
      <c r="O60" s="1">
        <f>SUM(ALLOC_CALLED)</f>
        <v>0</v>
      </c>
      <c r="P60" s="1">
        <f>SUM(ALLOC_REFUNDED)</f>
        <v>0</v>
      </c>
      <c r="R60" s="1">
        <f>SUM(HEALTH_CALLED)</f>
        <v>400000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B129"/>
  <sheetViews>
    <sheetView tabSelected="1" zoomScale="75" zoomScaleNormal="75" workbookViewId="0">
      <pane xSplit="1" ySplit="4" topLeftCell="B5" activePane="bottomRight" state="frozen"/>
      <selection activeCell="M49" sqref="M49"/>
      <selection pane="topRight" activeCell="M49" sqref="M49"/>
      <selection pane="bottomLeft" activeCell="M49" sqref="M49"/>
      <selection pane="bottomRight" activeCell="M21" sqref="M21"/>
    </sheetView>
  </sheetViews>
  <sheetFormatPr defaultColWidth="9.109375" defaultRowHeight="14.4"/>
  <cols>
    <col min="1" max="1" width="45" style="1" customWidth="1"/>
    <col min="2" max="2" width="8" style="1" customWidth="1"/>
    <col min="3" max="3" width="10" style="1" customWidth="1"/>
    <col min="4" max="12" width="15" style="1" customWidth="1"/>
    <col min="13" max="14" width="15.88671875" style="1" bestFit="1" customWidth="1"/>
    <col min="15" max="15" width="15" style="1" customWidth="1"/>
    <col min="16" max="17" width="1" style="1" customWidth="1"/>
    <col min="18" max="19" width="15" style="1" customWidth="1"/>
    <col min="20" max="20" width="1" style="1" customWidth="1"/>
    <col min="21" max="22" width="15" style="1" customWidth="1"/>
    <col min="23" max="23" width="1" style="1" customWidth="1"/>
    <col min="24" max="25" width="15" style="1" customWidth="1"/>
    <col min="26" max="26" width="1" style="1" customWidth="1"/>
    <col min="27" max="28" width="15" style="1" customWidth="1"/>
    <col min="29" max="29" width="9.109375" style="1" customWidth="1"/>
    <col min="30" max="16384" width="9.109375" style="1"/>
  </cols>
  <sheetData>
    <row r="1" spans="1:28" ht="15" thickBot="1"/>
    <row r="2" spans="1:28">
      <c r="A2" s="121" t="s">
        <v>1</v>
      </c>
      <c r="B2" s="122"/>
      <c r="C2" s="122"/>
      <c r="D2" s="122"/>
      <c r="E2" s="122"/>
      <c r="F2" s="122"/>
      <c r="G2" s="122"/>
      <c r="H2" s="122"/>
      <c r="I2" s="122"/>
      <c r="J2" s="122"/>
      <c r="K2" s="122"/>
      <c r="L2" s="122"/>
      <c r="M2" s="122"/>
      <c r="N2" s="122"/>
      <c r="O2" s="123"/>
      <c r="P2" s="2"/>
      <c r="Q2" s="2"/>
      <c r="R2" s="121" t="s">
        <v>2</v>
      </c>
      <c r="S2" s="122"/>
      <c r="T2" s="122"/>
      <c r="U2" s="122"/>
      <c r="V2" s="122"/>
      <c r="W2" s="122"/>
      <c r="X2" s="122"/>
      <c r="Y2" s="122"/>
      <c r="Z2" s="122"/>
      <c r="AA2" s="122"/>
      <c r="AB2" s="123"/>
    </row>
    <row r="3" spans="1:28">
      <c r="A3" s="22"/>
      <c r="B3" s="2"/>
      <c r="C3" s="2"/>
      <c r="D3" s="2"/>
      <c r="E3" s="2"/>
      <c r="F3" s="2"/>
      <c r="G3" s="2"/>
      <c r="H3" s="2"/>
      <c r="I3" s="2"/>
      <c r="J3" s="2"/>
      <c r="K3" s="2"/>
      <c r="L3" s="2"/>
      <c r="M3" s="2"/>
      <c r="N3" s="2"/>
      <c r="O3" s="24"/>
      <c r="P3" s="2"/>
      <c r="Q3" s="2"/>
      <c r="R3" s="131" t="s">
        <v>3</v>
      </c>
      <c r="S3" s="132"/>
      <c r="T3" s="2"/>
      <c r="U3" s="132" t="s">
        <v>4</v>
      </c>
      <c r="V3" s="132"/>
      <c r="W3" s="2"/>
      <c r="X3" s="132" t="s">
        <v>5</v>
      </c>
      <c r="Y3" s="132"/>
      <c r="Z3" s="2"/>
      <c r="AA3" s="132" t="s">
        <v>6</v>
      </c>
      <c r="AB3" s="133"/>
    </row>
    <row r="4" spans="1:28" ht="45" customHeight="1" thickBot="1">
      <c r="A4" s="23"/>
      <c r="B4" s="21" t="s">
        <v>180</v>
      </c>
      <c r="C4" s="21" t="s">
        <v>181</v>
      </c>
      <c r="D4" s="21" t="s">
        <v>182</v>
      </c>
      <c r="E4" s="21" t="s">
        <v>183</v>
      </c>
      <c r="F4" s="21" t="s">
        <v>184</v>
      </c>
      <c r="G4" s="21" t="s">
        <v>185</v>
      </c>
      <c r="H4" s="21" t="s">
        <v>3</v>
      </c>
      <c r="I4" s="21" t="s">
        <v>4</v>
      </c>
      <c r="J4" s="21" t="s">
        <v>5</v>
      </c>
      <c r="K4" s="21" t="s">
        <v>6</v>
      </c>
      <c r="L4" s="21" t="s">
        <v>7</v>
      </c>
      <c r="M4" s="21" t="s">
        <v>186</v>
      </c>
      <c r="N4" s="21" t="s">
        <v>187</v>
      </c>
      <c r="O4" s="25" t="s">
        <v>188</v>
      </c>
      <c r="P4" s="2"/>
      <c r="Q4" s="2"/>
      <c r="R4" s="23" t="s">
        <v>9</v>
      </c>
      <c r="S4" s="21" t="s">
        <v>10</v>
      </c>
      <c r="T4" s="21"/>
      <c r="U4" s="21" t="s">
        <v>9</v>
      </c>
      <c r="V4" s="21" t="s">
        <v>10</v>
      </c>
      <c r="W4" s="21"/>
      <c r="X4" s="21" t="s">
        <v>9</v>
      </c>
      <c r="Y4" s="21" t="s">
        <v>10</v>
      </c>
      <c r="Z4" s="21"/>
      <c r="AA4" s="21" t="s">
        <v>9</v>
      </c>
      <c r="AB4" s="25" t="s">
        <v>10</v>
      </c>
    </row>
    <row r="5" spans="1:28">
      <c r="A5" s="27" t="s">
        <v>189</v>
      </c>
      <c r="B5" s="26"/>
      <c r="C5" s="26"/>
      <c r="D5" s="26"/>
      <c r="E5" s="26"/>
      <c r="F5" s="26"/>
      <c r="G5" s="26"/>
      <c r="H5" s="26"/>
      <c r="I5" s="26"/>
      <c r="J5" s="26"/>
      <c r="K5" s="26"/>
      <c r="L5" s="26"/>
      <c r="M5" s="26"/>
      <c r="N5" s="29"/>
      <c r="O5" s="28"/>
      <c r="R5" s="29"/>
      <c r="S5" s="26"/>
      <c r="T5" s="26"/>
      <c r="U5" s="26"/>
      <c r="V5" s="26"/>
      <c r="W5" s="26"/>
      <c r="X5" s="26"/>
      <c r="Y5" s="26"/>
      <c r="Z5" s="26"/>
      <c r="AA5" s="26"/>
      <c r="AB5" s="28"/>
    </row>
    <row r="6" spans="1:28" ht="6.9" customHeight="1">
      <c r="A6" s="6"/>
      <c r="N6" s="6"/>
      <c r="O6" s="9"/>
      <c r="R6" s="6"/>
      <c r="AB6" s="9"/>
    </row>
    <row r="7" spans="1:28">
      <c r="A7" s="6" t="s">
        <v>190</v>
      </c>
      <c r="B7" s="1" t="s">
        <v>191</v>
      </c>
      <c r="C7" s="1" t="s">
        <v>192</v>
      </c>
      <c r="D7" s="1" t="s">
        <v>193</v>
      </c>
      <c r="H7" s="1">
        <f>SUM('Monarch Life'!LIFE)</f>
        <v>210029.4333002269</v>
      </c>
      <c r="I7" s="1">
        <f>SUM('Monarch Life'!ALLOCATED)</f>
        <v>93116.427799362893</v>
      </c>
      <c r="J7" s="1">
        <f>SUM('Monarch Life'!HEALTH)</f>
        <v>206891.27890041014</v>
      </c>
      <c r="K7" s="1">
        <f>SUM('Monarch Life'!UNALLOCATED)</f>
        <v>0</v>
      </c>
      <c r="L7" s="1">
        <f>SUM('Monarch Life'!LTC)</f>
        <v>0</v>
      </c>
      <c r="M7" s="1">
        <f>SUM(H7:L7)</f>
        <v>510037.1399999999</v>
      </c>
      <c r="N7" s="6">
        <v>510037.13999999984</v>
      </c>
      <c r="O7" s="9">
        <f>+M7-N7</f>
        <v>0</v>
      </c>
      <c r="R7" s="6">
        <f>SUM('Monarch Life'!LIFE_CALLED)</f>
        <v>5138</v>
      </c>
      <c r="S7" s="1">
        <f>SUM('Monarch Life'!LIFE_REFUNDED)</f>
        <v>490</v>
      </c>
      <c r="U7" s="1">
        <f>SUM('Monarch Life'!ALLOC_CALLED)</f>
        <v>228</v>
      </c>
      <c r="V7" s="1">
        <f>SUM('Monarch Life'!ALLOC_REFUNDED)</f>
        <v>0</v>
      </c>
      <c r="X7" s="1">
        <f>SUM('Monarch Life'!HEALTH_CALLED)</f>
        <v>304</v>
      </c>
      <c r="Y7" s="1">
        <f>SUM('Monarch Life'!HEALTH_REFUNDED)</f>
        <v>0</v>
      </c>
      <c r="AA7" s="1">
        <f>SUM('Monarch Life'!UNALLOC_CALLED)</f>
        <v>0</v>
      </c>
      <c r="AB7" s="9">
        <f>SUM('Monarch Life'!UNALLOC_REFUNDED)</f>
        <v>0</v>
      </c>
    </row>
    <row r="8" spans="1:28" ht="6.9" customHeight="1" thickBot="1">
      <c r="A8" s="8"/>
      <c r="B8" s="5"/>
      <c r="C8" s="5"/>
      <c r="D8" s="5"/>
      <c r="E8" s="5"/>
      <c r="F8" s="5"/>
      <c r="G8" s="5"/>
      <c r="H8" s="5"/>
      <c r="I8" s="5"/>
      <c r="J8" s="5"/>
      <c r="K8" s="5"/>
      <c r="L8" s="5"/>
      <c r="M8" s="5"/>
      <c r="N8" s="8"/>
      <c r="O8" s="11"/>
      <c r="R8" s="8"/>
      <c r="S8" s="5"/>
      <c r="T8" s="5"/>
      <c r="U8" s="5"/>
      <c r="V8" s="5"/>
      <c r="W8" s="5"/>
      <c r="X8" s="5"/>
      <c r="Y8" s="5"/>
      <c r="Z8" s="5"/>
      <c r="AA8" s="5"/>
      <c r="AB8" s="11"/>
    </row>
    <row r="9" spans="1:28" ht="15" thickBot="1">
      <c r="A9" s="31" t="s">
        <v>194</v>
      </c>
      <c r="B9" s="30"/>
      <c r="C9" s="30"/>
      <c r="D9" s="30"/>
      <c r="E9" s="30"/>
      <c r="F9" s="30"/>
      <c r="G9" s="30"/>
      <c r="H9" s="30">
        <f>SUM(PL_LIFE)</f>
        <v>210029.4333002269</v>
      </c>
      <c r="I9" s="30">
        <f>SUM(PL_ALLOCATED)</f>
        <v>93116.427799362893</v>
      </c>
      <c r="J9" s="30">
        <f>SUM(PL_HEALTH)</f>
        <v>206891.27890041014</v>
      </c>
      <c r="K9" s="30">
        <f>SUM(PL_UNALLOCATED)</f>
        <v>0</v>
      </c>
      <c r="L9" s="30">
        <f>SUM(PL_LTC)</f>
        <v>0</v>
      </c>
      <c r="M9" s="30">
        <f>SUM(PL_TOTAL)</f>
        <v>510037.1399999999</v>
      </c>
      <c r="N9" s="33">
        <f>SUM(PL_TOTAL_PREV)</f>
        <v>510037.13999999984</v>
      </c>
      <c r="O9" s="32">
        <f>SUM(PL_CHANGE)</f>
        <v>0</v>
      </c>
      <c r="R9" s="33">
        <f>SUM(PL_LIFE_CALLED)</f>
        <v>5138</v>
      </c>
      <c r="S9" s="30">
        <f>SUM(PL_LIFE_REFUNDED)</f>
        <v>490</v>
      </c>
      <c r="T9" s="30"/>
      <c r="U9" s="30">
        <f>SUM(PL_ALLOC_CALLED)</f>
        <v>228</v>
      </c>
      <c r="V9" s="30">
        <f>SUM(PL_ALLOC_REFUNDED)</f>
        <v>0</v>
      </c>
      <c r="W9" s="30"/>
      <c r="X9" s="30">
        <f>SUM(PL_HEALTH_CALLED)</f>
        <v>304</v>
      </c>
      <c r="Y9" s="30">
        <f>SUM(PL_HEALTH_REFUNDED)</f>
        <v>0</v>
      </c>
      <c r="Z9" s="30"/>
      <c r="AA9" s="30">
        <f>SUM(PL_UNALLOC_CALLED)</f>
        <v>0</v>
      </c>
      <c r="AB9" s="32">
        <f>SUM(PL_UNALLOC_REFUNDED)</f>
        <v>0</v>
      </c>
    </row>
    <row r="11" spans="1:28">
      <c r="A11" s="27" t="s">
        <v>195</v>
      </c>
      <c r="B11" s="26"/>
      <c r="C11" s="26"/>
      <c r="D11" s="26"/>
      <c r="E11" s="26"/>
      <c r="F11" s="26"/>
      <c r="G11" s="26"/>
      <c r="H11" s="26"/>
      <c r="I11" s="26"/>
      <c r="J11" s="26"/>
      <c r="K11" s="26"/>
      <c r="L11" s="26"/>
      <c r="M11" s="26"/>
      <c r="N11" s="29"/>
      <c r="O11" s="28"/>
      <c r="R11" s="29"/>
      <c r="S11" s="26"/>
      <c r="T11" s="26"/>
      <c r="U11" s="26"/>
      <c r="V11" s="26"/>
      <c r="W11" s="26"/>
      <c r="X11" s="26"/>
      <c r="Y11" s="26"/>
      <c r="Z11" s="26"/>
      <c r="AA11" s="26"/>
      <c r="AB11" s="28"/>
    </row>
    <row r="12" spans="1:28" ht="6.9" customHeight="1">
      <c r="A12" s="6"/>
      <c r="N12" s="6"/>
      <c r="O12" s="9"/>
      <c r="R12" s="6"/>
      <c r="AB12" s="9"/>
    </row>
    <row r="13" spans="1:28">
      <c r="A13" s="6" t="s">
        <v>196</v>
      </c>
      <c r="B13" s="1" t="s">
        <v>197</v>
      </c>
      <c r="C13" s="1" t="s">
        <v>198</v>
      </c>
      <c r="D13" s="1" t="s">
        <v>199</v>
      </c>
      <c r="E13" s="1" t="s">
        <v>200</v>
      </c>
      <c r="H13" s="1">
        <f>SUM('American Network'!LIFE)</f>
        <v>0</v>
      </c>
      <c r="I13" s="1">
        <f>SUM('American Network'!ALLOCATED)</f>
        <v>0</v>
      </c>
      <c r="J13" s="1">
        <f>SUM('American Network'!HEALTH)</f>
        <v>341417618.03803885</v>
      </c>
      <c r="K13" s="1">
        <f>SUM('American Network'!UNALLOCATED)</f>
        <v>0</v>
      </c>
      <c r="L13" s="1">
        <f>SUM('American Network'!LTC)</f>
        <v>0</v>
      </c>
      <c r="M13" s="1">
        <f t="shared" ref="M13:M27" si="0">SUM(H13:L13)</f>
        <v>341417618.03803885</v>
      </c>
      <c r="N13" s="6">
        <v>347687784.52084935</v>
      </c>
      <c r="O13" s="9">
        <f t="shared" ref="O13:O27" si="1">+M13-N13</f>
        <v>-6270166.4828104973</v>
      </c>
      <c r="R13" s="6">
        <f>SUM('American Network'!LIFE_CALLED)</f>
        <v>0</v>
      </c>
      <c r="S13" s="1">
        <f>SUM('American Network'!LIFE_REFUNDED)</f>
        <v>0</v>
      </c>
      <c r="U13" s="1">
        <f>SUM('American Network'!ALLOC_CALLED)</f>
        <v>0</v>
      </c>
      <c r="V13" s="1">
        <f>SUM('American Network'!ALLOC_REFUNDED)</f>
        <v>0</v>
      </c>
      <c r="X13" s="1">
        <f>SUM('American Network'!HEALTH_CALLED)</f>
        <v>189339223</v>
      </c>
      <c r="Y13" s="1">
        <f>SUM('American Network'!HEALTH_REFUNDED)</f>
        <v>7752</v>
      </c>
      <c r="AA13" s="1">
        <f>SUM('American Network'!UNALLOC_CALLED)</f>
        <v>0</v>
      </c>
      <c r="AB13" s="9">
        <f>SUM('American Network'!UNALLOC_REFUNDED)</f>
        <v>0</v>
      </c>
    </row>
    <row r="14" spans="1:28">
      <c r="A14" s="6" t="s">
        <v>201</v>
      </c>
      <c r="B14" s="1" t="s">
        <v>202</v>
      </c>
      <c r="C14" s="1" t="s">
        <v>203</v>
      </c>
      <c r="D14" s="1" t="s">
        <v>204</v>
      </c>
      <c r="E14" s="1" t="s">
        <v>205</v>
      </c>
      <c r="H14" s="1">
        <f>SUM('Bankers Life'!LIFE)</f>
        <v>0</v>
      </c>
      <c r="I14" s="1">
        <f>SUM('Bankers Life'!ALLOCATED)</f>
        <v>321678386.90501571</v>
      </c>
      <c r="J14" s="1">
        <f>SUM('Bankers Life'!HEALTH)</f>
        <v>0</v>
      </c>
      <c r="K14" s="1">
        <f>SUM('Bankers Life'!UNALLOCATED)</f>
        <v>0</v>
      </c>
      <c r="L14" s="1">
        <f>SUM('Bankers Life'!LTC)</f>
        <v>0</v>
      </c>
      <c r="M14" s="1">
        <f t="shared" si="0"/>
        <v>321678386.90501571</v>
      </c>
      <c r="N14" s="6">
        <v>452195375.58640629</v>
      </c>
      <c r="O14" s="9">
        <f t="shared" si="1"/>
        <v>-130516988.68139058</v>
      </c>
      <c r="R14" s="6">
        <f>SUM('Bankers Life'!LIFE_CALLED)</f>
        <v>0</v>
      </c>
      <c r="S14" s="1">
        <f>SUM('Bankers Life'!LIFE_REFUNDED)</f>
        <v>0</v>
      </c>
      <c r="U14" s="1">
        <f>SUM('Bankers Life'!ALLOC_CALLED)</f>
        <v>0</v>
      </c>
      <c r="V14" s="1">
        <f>SUM('Bankers Life'!ALLOC_REFUNDED)</f>
        <v>0</v>
      </c>
      <c r="X14" s="1">
        <f>SUM('Bankers Life'!HEALTH_CALLED)</f>
        <v>0</v>
      </c>
      <c r="Y14" s="1">
        <f>SUM('Bankers Life'!HEALTH_REFUNDED)</f>
        <v>0</v>
      </c>
      <c r="AA14" s="1">
        <f>SUM('Bankers Life'!UNALLOC_CALLED)</f>
        <v>0</v>
      </c>
      <c r="AB14" s="9">
        <f>SUM('Bankers Life'!UNALLOC_REFUNDED)</f>
        <v>0</v>
      </c>
    </row>
    <row r="15" spans="1:28">
      <c r="A15" s="6" t="s">
        <v>206</v>
      </c>
      <c r="B15" s="1" t="s">
        <v>207</v>
      </c>
      <c r="C15" s="1" t="s">
        <v>208</v>
      </c>
      <c r="D15" s="1" t="s">
        <v>209</v>
      </c>
      <c r="E15" s="1" t="s">
        <v>210</v>
      </c>
      <c r="G15" s="1" t="s">
        <v>211</v>
      </c>
      <c r="H15" s="1">
        <f>SUM('Booker T Washington'!LIFE)</f>
        <v>25675579.478309892</v>
      </c>
      <c r="I15" s="1">
        <f>SUM('Booker T Washington'!ALLOCATED)</f>
        <v>0</v>
      </c>
      <c r="J15" s="1">
        <f>SUM('Booker T Washington'!HEALTH)</f>
        <v>44308.769999998709</v>
      </c>
      <c r="K15" s="1">
        <f>SUM('Booker T Washington'!UNALLOCATED)</f>
        <v>0</v>
      </c>
      <c r="L15" s="1">
        <f>SUM('Booker T Washington'!LTC)</f>
        <v>0</v>
      </c>
      <c r="M15" s="1">
        <f t="shared" si="0"/>
        <v>25719888.248309892</v>
      </c>
      <c r="N15" s="6">
        <v>25516004.928322744</v>
      </c>
      <c r="O15" s="9">
        <f t="shared" si="1"/>
        <v>203883.31998714805</v>
      </c>
      <c r="R15" s="6">
        <f>SUM('Booker T Washington'!LIFE_CALLED)</f>
        <v>0</v>
      </c>
      <c r="S15" s="1">
        <f>SUM('Booker T Washington'!LIFE_REFUNDED)</f>
        <v>0</v>
      </c>
      <c r="U15" s="1">
        <f>SUM('Booker T Washington'!ALLOC_CALLED)</f>
        <v>0</v>
      </c>
      <c r="V15" s="1">
        <f>SUM('Booker T Washington'!ALLOC_REFUNDED)</f>
        <v>0</v>
      </c>
      <c r="X15" s="1">
        <f>SUM('Booker T Washington'!HEALTH_CALLED)</f>
        <v>0</v>
      </c>
      <c r="Y15" s="1">
        <f>SUM('Booker T Washington'!HEALTH_REFUNDED)</f>
        <v>0</v>
      </c>
      <c r="AA15" s="1">
        <f>SUM('Booker T Washington'!UNALLOC_CALLED)</f>
        <v>0</v>
      </c>
      <c r="AB15" s="9">
        <f>SUM('Booker T Washington'!UNALLOC_REFUNDED)</f>
        <v>0</v>
      </c>
    </row>
    <row r="16" spans="1:28">
      <c r="A16" s="6" t="s">
        <v>212</v>
      </c>
      <c r="B16" s="1" t="s">
        <v>213</v>
      </c>
      <c r="C16" s="1" t="s">
        <v>203</v>
      </c>
      <c r="D16" s="1" t="s">
        <v>204</v>
      </c>
      <c r="E16" s="1" t="s">
        <v>205</v>
      </c>
      <c r="H16" s="1">
        <f>SUM('CO Bankers'!LIFE)</f>
        <v>106440948.05258447</v>
      </c>
      <c r="I16" s="1">
        <f>SUM('CO Bankers'!ALLOCATED)</f>
        <v>1010776352.0222627</v>
      </c>
      <c r="J16" s="1">
        <f>SUM('CO Bankers'!HEALTH)</f>
        <v>477390.17317399592</v>
      </c>
      <c r="K16" s="1">
        <f>SUM('CO Bankers'!UNALLOCATED)</f>
        <v>0</v>
      </c>
      <c r="L16" s="1">
        <f>SUM('CO Bankers'!LTC)</f>
        <v>0</v>
      </c>
      <c r="M16" s="1">
        <f t="shared" si="0"/>
        <v>1117694690.2480211</v>
      </c>
      <c r="N16" s="6">
        <v>1193635715.0958223</v>
      </c>
      <c r="O16" s="9">
        <f t="shared" si="1"/>
        <v>-75941024.847801208</v>
      </c>
      <c r="R16" s="6">
        <f>SUM('CO Bankers'!LIFE_CALLED)</f>
        <v>0</v>
      </c>
      <c r="S16" s="1">
        <f>SUM('CO Bankers'!LIFE_REFUNDED)</f>
        <v>0</v>
      </c>
      <c r="U16" s="1">
        <f>SUM('CO Bankers'!ALLOC_CALLED)</f>
        <v>0</v>
      </c>
      <c r="V16" s="1">
        <f>SUM('CO Bankers'!ALLOC_REFUNDED)</f>
        <v>0</v>
      </c>
      <c r="X16" s="1">
        <f>SUM('CO Bankers'!HEALTH_CALLED)</f>
        <v>0</v>
      </c>
      <c r="Y16" s="1">
        <f>SUM('CO Bankers'!HEALTH_REFUNDED)</f>
        <v>0</v>
      </c>
      <c r="AA16" s="1">
        <f>SUM('CO Bankers'!UNALLOC_CALLED)</f>
        <v>0</v>
      </c>
      <c r="AB16" s="9">
        <f>SUM('CO Bankers'!UNALLOC_REFUNDED)</f>
        <v>0</v>
      </c>
    </row>
    <row r="17" spans="1:28">
      <c r="A17" s="6" t="s">
        <v>214</v>
      </c>
      <c r="B17" s="1" t="s">
        <v>215</v>
      </c>
      <c r="C17" s="1" t="s">
        <v>216</v>
      </c>
      <c r="D17" s="1" t="s">
        <v>217</v>
      </c>
      <c r="E17" s="1" t="s">
        <v>218</v>
      </c>
      <c r="F17" s="1" t="s">
        <v>219</v>
      </c>
      <c r="G17" s="1" t="s">
        <v>220</v>
      </c>
      <c r="H17" s="1">
        <f>SUM('Executive Life'!LIFE)</f>
        <v>1154477065.9511697</v>
      </c>
      <c r="I17" s="1">
        <f>SUM('Executive Life'!ALLOCATED)</f>
        <v>1668996950.1980577</v>
      </c>
      <c r="J17" s="1">
        <f>SUM('Executive Life'!HEALTH)</f>
        <v>0</v>
      </c>
      <c r="K17" s="1">
        <f>SUM('Executive Life'!UNALLOCATED)</f>
        <v>31873420.066984765</v>
      </c>
      <c r="L17" s="1">
        <f>SUM('Executive Life'!LTC)</f>
        <v>0</v>
      </c>
      <c r="M17" s="1">
        <f t="shared" si="0"/>
        <v>2855347436.2162118</v>
      </c>
      <c r="N17" s="6">
        <v>2855319185.536212</v>
      </c>
      <c r="O17" s="9">
        <f t="shared" si="1"/>
        <v>28250.679999828339</v>
      </c>
      <c r="R17" s="6">
        <f>SUM('Executive Life'!LIFE_CALLED)</f>
        <v>1113947619</v>
      </c>
      <c r="S17" s="1">
        <f>SUM('Executive Life'!LIFE_REFUNDED)</f>
        <v>2000065</v>
      </c>
      <c r="U17" s="1">
        <f>SUM('Executive Life'!ALLOC_CALLED)</f>
        <v>1537640900</v>
      </c>
      <c r="V17" s="1">
        <f>SUM('Executive Life'!ALLOC_REFUNDED)</f>
        <v>55463161.450000003</v>
      </c>
      <c r="X17" s="1">
        <f>SUM('Executive Life'!HEALTH_CALLED)</f>
        <v>590625</v>
      </c>
      <c r="Y17" s="1">
        <f>SUM('Executive Life'!HEALTH_REFUNDED)</f>
        <v>0</v>
      </c>
      <c r="AA17" s="1">
        <f>SUM('Executive Life'!UNALLOC_CALLED)</f>
        <v>42365781</v>
      </c>
      <c r="AB17" s="9">
        <f>SUM('Executive Life'!UNALLOC_REFUNDED)</f>
        <v>23169526.82</v>
      </c>
    </row>
    <row r="18" spans="1:28">
      <c r="A18" s="6" t="s">
        <v>222</v>
      </c>
      <c r="B18" s="1" t="s">
        <v>223</v>
      </c>
      <c r="C18" s="1" t="s">
        <v>198</v>
      </c>
      <c r="E18" s="1" t="s">
        <v>224</v>
      </c>
      <c r="F18" s="1" t="s">
        <v>225</v>
      </c>
      <c r="G18" s="1" t="s">
        <v>226</v>
      </c>
      <c r="H18" s="1">
        <f>SUM('Life Health America'!LIFE)</f>
        <v>379851.70730278833</v>
      </c>
      <c r="I18" s="1">
        <f>SUM('Life Health America'!ALLOCATED)</f>
        <v>0</v>
      </c>
      <c r="J18" s="1">
        <f>SUM('Life Health America'!HEALTH)</f>
        <v>37772827.678813674</v>
      </c>
      <c r="K18" s="1">
        <f>SUM('Life Health America'!UNALLOCATED)</f>
        <v>0</v>
      </c>
      <c r="L18" s="1">
        <f>SUM('Life Health America'!LTC)</f>
        <v>0</v>
      </c>
      <c r="M18" s="1">
        <f t="shared" si="0"/>
        <v>38152679.38611646</v>
      </c>
      <c r="N18" s="6">
        <v>38300368.520116478</v>
      </c>
      <c r="O18" s="9">
        <f t="shared" si="1"/>
        <v>-147689.13400001824</v>
      </c>
      <c r="R18" s="6">
        <f>SUM('Life Health America'!LIFE_CALLED)</f>
        <v>307961</v>
      </c>
      <c r="S18" s="1">
        <f>SUM('Life Health America'!LIFE_REFUNDED)</f>
        <v>0</v>
      </c>
      <c r="U18" s="1">
        <f>SUM('Life Health America'!ALLOC_CALLED)</f>
        <v>529</v>
      </c>
      <c r="V18" s="1">
        <f>SUM('Life Health America'!ALLOC_REFUNDED)</f>
        <v>0</v>
      </c>
      <c r="X18" s="1">
        <f>SUM('Life Health America'!HEALTH_CALLED)</f>
        <v>29443712</v>
      </c>
      <c r="Y18" s="1">
        <f>SUM('Life Health America'!HEALTH_REFUNDED)</f>
        <v>1100000</v>
      </c>
      <c r="AA18" s="1">
        <f>SUM('Life Health America'!UNALLOC_CALLED)</f>
        <v>0</v>
      </c>
      <c r="AB18" s="9">
        <f>SUM('Life Health America'!UNALLOC_REFUNDED)</f>
        <v>0</v>
      </c>
    </row>
    <row r="19" spans="1:28">
      <c r="A19" s="6" t="s">
        <v>227</v>
      </c>
      <c r="B19" s="1" t="s">
        <v>228</v>
      </c>
      <c r="C19" s="1" t="s">
        <v>229</v>
      </c>
      <c r="D19" s="1" t="s">
        <v>230</v>
      </c>
      <c r="E19" s="1" t="s">
        <v>231</v>
      </c>
      <c r="H19" s="1">
        <f>SUM('Lincoln Memorial'!LIFE)</f>
        <v>215547664.15040329</v>
      </c>
      <c r="I19" s="1">
        <f>SUM('Lincoln Memorial'!ALLOCATED)</f>
        <v>289381.96757808828</v>
      </c>
      <c r="J19" s="1">
        <f>SUM('Lincoln Memorial'!HEALTH)</f>
        <v>0</v>
      </c>
      <c r="K19" s="1">
        <f>SUM('Lincoln Memorial'!UNALLOCATED)</f>
        <v>0</v>
      </c>
      <c r="L19" s="1">
        <f>SUM('Lincoln Memorial'!LTC)</f>
        <v>0</v>
      </c>
      <c r="M19" s="1">
        <f t="shared" si="0"/>
        <v>215837046.11798137</v>
      </c>
      <c r="N19" s="6">
        <v>217375153.37518284</v>
      </c>
      <c r="O19" s="9">
        <f t="shared" si="1"/>
        <v>-1538107.257201463</v>
      </c>
      <c r="R19" s="6">
        <f>SUM('Lincoln Memorial'!LIFE_CALLED)</f>
        <v>269790522</v>
      </c>
      <c r="S19" s="1">
        <f>SUM('Lincoln Memorial'!LIFE_REFUNDED)</f>
        <v>0</v>
      </c>
      <c r="U19" s="1">
        <f>SUM('Lincoln Memorial'!ALLOC_CALLED)</f>
        <v>600000</v>
      </c>
      <c r="V19" s="1">
        <f>SUM('Lincoln Memorial'!ALLOC_REFUNDED)</f>
        <v>0</v>
      </c>
      <c r="X19" s="1">
        <f>SUM('Lincoln Memorial'!HEALTH_CALLED)</f>
        <v>0</v>
      </c>
      <c r="Y19" s="1">
        <f>SUM('Lincoln Memorial'!HEALTH_REFUNDED)</f>
        <v>0</v>
      </c>
      <c r="AA19" s="1">
        <f>SUM('Lincoln Memorial'!UNALLOC_CALLED)</f>
        <v>0</v>
      </c>
      <c r="AB19" s="9">
        <f>SUM('Lincoln Memorial'!UNALLOC_REFUNDED)</f>
        <v>0</v>
      </c>
    </row>
    <row r="20" spans="1:28">
      <c r="A20" s="6" t="s">
        <v>232</v>
      </c>
      <c r="B20" s="1" t="s">
        <v>233</v>
      </c>
      <c r="C20" s="1" t="s">
        <v>234</v>
      </c>
      <c r="D20" s="1" t="s">
        <v>235</v>
      </c>
      <c r="E20" s="1" t="s">
        <v>236</v>
      </c>
      <c r="H20" s="1">
        <f>SUM('National States'!LIFE)</f>
        <v>4097243.5984001756</v>
      </c>
      <c r="I20" s="1">
        <f>SUM('National States'!ALLOCATED)</f>
        <v>0</v>
      </c>
      <c r="J20" s="1">
        <f>SUM('National States'!HEALTH)</f>
        <v>130379420.22722064</v>
      </c>
      <c r="K20" s="1">
        <f>SUM('National States'!UNALLOCATED)</f>
        <v>0</v>
      </c>
      <c r="L20" s="1">
        <f>SUM('National States'!LTC)</f>
        <v>0</v>
      </c>
      <c r="M20" s="1">
        <f t="shared" si="0"/>
        <v>134476663.82562083</v>
      </c>
      <c r="N20" s="6">
        <v>138052614.34532943</v>
      </c>
      <c r="O20" s="9">
        <f t="shared" si="1"/>
        <v>-3575950.5197086036</v>
      </c>
      <c r="R20" s="6">
        <f>SUM('National States'!LIFE_CALLED)</f>
        <v>1237578</v>
      </c>
      <c r="S20" s="1">
        <f>SUM('National States'!LIFE_REFUNDED)</f>
        <v>0</v>
      </c>
      <c r="U20" s="1">
        <f>SUM('National States'!ALLOC_CALLED)</f>
        <v>265000</v>
      </c>
      <c r="V20" s="1">
        <f>SUM('National States'!ALLOC_REFUNDED)</f>
        <v>0</v>
      </c>
      <c r="X20" s="1">
        <f>SUM('National States'!HEALTH_CALLED)</f>
        <v>101326458</v>
      </c>
      <c r="Y20" s="1">
        <f>SUM('National States'!HEALTH_REFUNDED)</f>
        <v>0</v>
      </c>
      <c r="AA20" s="1">
        <f>SUM('National States'!UNALLOC_CALLED)</f>
        <v>0</v>
      </c>
      <c r="AB20" s="9">
        <f>SUM('National States'!UNALLOC_REFUNDED)</f>
        <v>0</v>
      </c>
    </row>
    <row r="21" spans="1:28">
      <c r="A21" s="6" t="s">
        <v>237</v>
      </c>
      <c r="B21" s="1" t="s">
        <v>238</v>
      </c>
      <c r="C21" s="1" t="s">
        <v>203</v>
      </c>
      <c r="D21" s="1" t="s">
        <v>239</v>
      </c>
      <c r="E21" s="1" t="s">
        <v>240</v>
      </c>
      <c r="H21" s="1">
        <f>SUM('North Carolina Mutual'!LIFE)</f>
        <v>99232016.762302294</v>
      </c>
      <c r="I21" s="1">
        <f>SUM('North Carolina Mutual'!ALLOCATED)</f>
        <v>2646957.0364560862</v>
      </c>
      <c r="J21" s="1">
        <f>SUM('North Carolina Mutual'!HEALTH)</f>
        <v>-20149.093786142446</v>
      </c>
      <c r="K21" s="1">
        <f>SUM('North Carolina Mutual'!UNALLOCATED)</f>
        <v>0</v>
      </c>
      <c r="L21" s="1">
        <f>SUM('North Carolina Mutual'!LTC)</f>
        <v>0</v>
      </c>
      <c r="M21" s="1">
        <f t="shared" si="0"/>
        <v>101858824.70497225</v>
      </c>
      <c r="N21" s="6">
        <v>99030465.164035514</v>
      </c>
      <c r="O21" s="9">
        <f t="shared" si="1"/>
        <v>2828359.5409367383</v>
      </c>
      <c r="R21" s="6">
        <f>SUM('North Carolina Mutual'!LIFE_CALLED)</f>
        <v>0</v>
      </c>
      <c r="S21" s="1">
        <f>SUM('North Carolina Mutual'!LIFE_REFUNDED)</f>
        <v>0</v>
      </c>
      <c r="U21" s="1">
        <f>SUM('North Carolina Mutual'!ALLOC_CALLED)</f>
        <v>0</v>
      </c>
      <c r="V21" s="1">
        <f>SUM('North Carolina Mutual'!ALLOC_REFUNDED)</f>
        <v>0</v>
      </c>
      <c r="X21" s="1">
        <f>SUM('North Carolina Mutual'!HEALTH_CALLED)</f>
        <v>0</v>
      </c>
      <c r="Y21" s="1">
        <f>SUM('North Carolina Mutual'!HEALTH_REFUNDED)</f>
        <v>0</v>
      </c>
      <c r="AA21" s="1">
        <f>SUM('North Carolina Mutual'!UNALLOC_CALLED)</f>
        <v>0</v>
      </c>
      <c r="AB21" s="9">
        <f>SUM('North Carolina Mutual'!UNALLOC_REFUNDED)</f>
        <v>0</v>
      </c>
    </row>
    <row r="22" spans="1:28">
      <c r="A22" s="6" t="s">
        <v>241</v>
      </c>
      <c r="B22" s="1" t="s">
        <v>242</v>
      </c>
      <c r="C22" s="1" t="s">
        <v>198</v>
      </c>
      <c r="D22" s="1" t="s">
        <v>199</v>
      </c>
      <c r="E22" s="1" t="s">
        <v>200</v>
      </c>
      <c r="H22" s="1">
        <f>SUM('Pen  Treaty'!LIFE)</f>
        <v>0</v>
      </c>
      <c r="I22" s="1">
        <f>SUM('Pen  Treaty'!ALLOCATED)</f>
        <v>0</v>
      </c>
      <c r="J22" s="1">
        <f>SUM('Pen  Treaty'!HEALTH)</f>
        <v>2460638866.4742403</v>
      </c>
      <c r="K22" s="1">
        <f>SUM('Pen  Treaty'!UNALLOCATED)</f>
        <v>0</v>
      </c>
      <c r="L22" s="1">
        <f>SUM('Pen  Treaty'!LTC)</f>
        <v>0</v>
      </c>
      <c r="M22" s="1">
        <f t="shared" si="0"/>
        <v>2460638866.4742403</v>
      </c>
      <c r="N22" s="6">
        <v>2453110762.0596972</v>
      </c>
      <c r="O22" s="9">
        <f t="shared" si="1"/>
        <v>7528104.4145431519</v>
      </c>
      <c r="R22" s="6">
        <f>SUM('Pen  Treaty'!LIFE_CALLED)</f>
        <v>0</v>
      </c>
      <c r="S22" s="1">
        <f>SUM('Pen  Treaty'!LIFE_REFUNDED)</f>
        <v>0</v>
      </c>
      <c r="U22" s="1">
        <f>SUM('Pen  Treaty'!ALLOC_CALLED)</f>
        <v>0</v>
      </c>
      <c r="V22" s="1">
        <f>SUM('Pen  Treaty'!ALLOC_REFUNDED)</f>
        <v>0</v>
      </c>
      <c r="X22" s="1">
        <f>SUM('Pen  Treaty'!HEALTH_CALLED)</f>
        <v>2083174296</v>
      </c>
      <c r="Y22" s="1">
        <f>SUM('Pen  Treaty'!HEALTH_REFUNDED)</f>
        <v>21903841</v>
      </c>
      <c r="AA22" s="1">
        <f>SUM('Pen  Treaty'!UNALLOC_CALLED)</f>
        <v>0</v>
      </c>
      <c r="AB22" s="9">
        <f>SUM('Pen  Treaty'!UNALLOC_REFUNDED)</f>
        <v>0</v>
      </c>
    </row>
    <row r="23" spans="1:28">
      <c r="A23" s="6" t="s">
        <v>243</v>
      </c>
      <c r="B23" s="1" t="s">
        <v>244</v>
      </c>
      <c r="C23" s="1" t="s">
        <v>245</v>
      </c>
      <c r="D23" s="1" t="s">
        <v>246</v>
      </c>
      <c r="E23" s="1" t="s">
        <v>247</v>
      </c>
      <c r="H23" s="1">
        <f>SUM('Red Rock'!LIFE)</f>
        <v>0</v>
      </c>
      <c r="I23" s="1">
        <f>SUM('Red Rock'!ALLOCATED)</f>
        <v>0</v>
      </c>
      <c r="J23" s="1">
        <f>SUM('Red Rock'!HEALTH)</f>
        <v>16216</v>
      </c>
      <c r="K23" s="1">
        <f>SUM('Red Rock'!UNALLOCATED)</f>
        <v>0</v>
      </c>
      <c r="L23" s="1">
        <f>SUM('Red Rock'!LTC)</f>
        <v>0</v>
      </c>
      <c r="M23" s="1">
        <f t="shared" si="0"/>
        <v>16216</v>
      </c>
      <c r="N23" s="6">
        <v>16216</v>
      </c>
      <c r="O23" s="9">
        <f t="shared" si="1"/>
        <v>0</v>
      </c>
      <c r="R23" s="6">
        <f>SUM('Red Rock'!LIFE_CALLED)</f>
        <v>0</v>
      </c>
      <c r="S23" s="1">
        <f>SUM('Red Rock'!LIFE_REFUNDED)</f>
        <v>0</v>
      </c>
      <c r="U23" s="1">
        <f>SUM('Red Rock'!ALLOC_CALLED)</f>
        <v>0</v>
      </c>
      <c r="V23" s="1">
        <f>SUM('Red Rock'!ALLOC_REFUNDED)</f>
        <v>0</v>
      </c>
      <c r="X23" s="1">
        <f>SUM('Red Rock'!HEALTH_CALLED)</f>
        <v>0</v>
      </c>
      <c r="Y23" s="1">
        <f>SUM('Red Rock'!HEALTH_REFUNDED)</f>
        <v>0</v>
      </c>
      <c r="AA23" s="1">
        <f>SUM('Red Rock'!UNALLOC_CALLED)</f>
        <v>0</v>
      </c>
      <c r="AB23" s="9">
        <f>SUM('Red Rock'!UNALLOC_REFUNDED)</f>
        <v>0</v>
      </c>
    </row>
    <row r="24" spans="1:28">
      <c r="A24" s="6" t="s">
        <v>248</v>
      </c>
      <c r="B24" s="1" t="s">
        <v>249</v>
      </c>
      <c r="C24" s="1" t="s">
        <v>198</v>
      </c>
      <c r="D24" s="1" t="s">
        <v>250</v>
      </c>
      <c r="E24" s="1" t="s">
        <v>251</v>
      </c>
      <c r="H24" s="1">
        <f>SUM('Senior American'!LIFE)</f>
        <v>0</v>
      </c>
      <c r="I24" s="1">
        <f>SUM('Senior American'!ALLOCATED)</f>
        <v>0</v>
      </c>
      <c r="J24" s="1">
        <f>SUM('Senior American'!HEALTH)</f>
        <v>15379785.751138344</v>
      </c>
      <c r="K24" s="1">
        <f>SUM('Senior American'!UNALLOCATED)</f>
        <v>0</v>
      </c>
      <c r="L24" s="1">
        <f>SUM('Senior American'!LTC)</f>
        <v>14210295.868651351</v>
      </c>
      <c r="M24" s="1">
        <f t="shared" si="0"/>
        <v>29590081.619789697</v>
      </c>
      <c r="N24" s="6">
        <v>29010595.194367159</v>
      </c>
      <c r="O24" s="9">
        <f t="shared" si="1"/>
        <v>579486.42542253807</v>
      </c>
      <c r="R24" s="6">
        <f>SUM('Senior American'!LIFE_CALLED)</f>
        <v>2859904</v>
      </c>
      <c r="S24" s="1">
        <f>SUM('Senior American'!LIFE_REFUNDED)</f>
        <v>0</v>
      </c>
      <c r="U24" s="1">
        <f>SUM('Senior American'!ALLOC_CALLED)</f>
        <v>279636</v>
      </c>
      <c r="V24" s="1">
        <f>SUM('Senior American'!ALLOC_REFUNDED)</f>
        <v>0</v>
      </c>
      <c r="X24" s="1">
        <f>SUM('Senior American'!HEALTH_CALLED)</f>
        <v>6058138</v>
      </c>
      <c r="Y24" s="1">
        <f>SUM('Senior American'!HEALTH_REFUNDED)</f>
        <v>0</v>
      </c>
      <c r="AA24" s="1">
        <f>SUM('Senior American'!UNALLOC_CALLED)</f>
        <v>0</v>
      </c>
      <c r="AB24" s="9">
        <f>SUM('Senior American'!UNALLOC_REFUNDED)</f>
        <v>0</v>
      </c>
    </row>
    <row r="25" spans="1:28">
      <c r="A25" s="6" t="s">
        <v>252</v>
      </c>
      <c r="B25" s="1" t="s">
        <v>253</v>
      </c>
      <c r="C25" s="1" t="s">
        <v>203</v>
      </c>
      <c r="D25" s="1" t="s">
        <v>204</v>
      </c>
      <c r="E25" s="1" t="s">
        <v>254</v>
      </c>
      <c r="H25" s="1">
        <f>SUM('Southland National Life'!LIFE)</f>
        <v>123633875.75283425</v>
      </c>
      <c r="I25" s="1">
        <f>SUM('Southland National Life'!ALLOCATED)</f>
        <v>102253.85183223574</v>
      </c>
      <c r="J25" s="1">
        <f>SUM('Southland National Life'!HEALTH)</f>
        <v>12064.853251961218</v>
      </c>
      <c r="K25" s="1">
        <f>SUM('Southland National Life'!UNALLOCATED)</f>
        <v>0</v>
      </c>
      <c r="L25" s="1">
        <f>SUM('Southland National Life'!LTC)</f>
        <v>0</v>
      </c>
      <c r="M25" s="1">
        <f t="shared" si="0"/>
        <v>123748194.45791845</v>
      </c>
      <c r="N25" s="6">
        <v>101141637.29999971</v>
      </c>
      <c r="O25" s="9">
        <f t="shared" si="1"/>
        <v>22606557.157918736</v>
      </c>
      <c r="R25" s="6">
        <f>SUM('Southland National Life'!LIFE_CALLED)</f>
        <v>0</v>
      </c>
      <c r="S25" s="1">
        <f>SUM('Southland National Life'!LIFE_REFUNDED)</f>
        <v>0</v>
      </c>
      <c r="U25" s="1">
        <f>SUM('Southland National Life'!ALLOC_CALLED)</f>
        <v>0</v>
      </c>
      <c r="V25" s="1">
        <f>SUM('Southland National Life'!ALLOC_REFUNDED)</f>
        <v>0</v>
      </c>
      <c r="X25" s="1">
        <f>SUM('Southland National Life'!HEALTH_CALLED)</f>
        <v>0</v>
      </c>
      <c r="Y25" s="1">
        <f>SUM('Southland National Life'!HEALTH_REFUNDED)</f>
        <v>0</v>
      </c>
      <c r="AA25" s="1">
        <f>SUM('Southland National Life'!UNALLOC_CALLED)</f>
        <v>0</v>
      </c>
      <c r="AB25" s="9">
        <f>SUM('Southland National Life'!UNALLOC_REFUNDED)</f>
        <v>0</v>
      </c>
    </row>
    <row r="26" spans="1:28">
      <c r="A26" s="6" t="s">
        <v>255</v>
      </c>
      <c r="B26" s="1" t="s">
        <v>256</v>
      </c>
      <c r="C26" s="1" t="s">
        <v>257</v>
      </c>
      <c r="D26" s="1" t="s">
        <v>258</v>
      </c>
      <c r="E26" s="1" t="s">
        <v>259</v>
      </c>
      <c r="H26" s="1">
        <f>SUM(Time!LIFE)</f>
        <v>-527304.25509902288</v>
      </c>
      <c r="I26" s="1">
        <f>SUM(Time!ALLOCATED)</f>
        <v>0</v>
      </c>
      <c r="J26" s="1">
        <f>SUM(Time!HEALTH)</f>
        <v>1677412.6703926844</v>
      </c>
      <c r="K26" s="1">
        <f>SUM(Time!UNALLOCATED)</f>
        <v>0</v>
      </c>
      <c r="L26" s="1">
        <f>SUM(Time!LTC)</f>
        <v>0</v>
      </c>
      <c r="M26" s="1">
        <f t="shared" si="0"/>
        <v>1150108.4152936614</v>
      </c>
      <c r="N26" s="6">
        <v>1712563.5907896725</v>
      </c>
      <c r="O26" s="9">
        <f t="shared" si="1"/>
        <v>-562455.17549601104</v>
      </c>
      <c r="R26" s="6">
        <f>SUM(Time!LIFE_CALLED)</f>
        <v>0</v>
      </c>
      <c r="S26" s="1">
        <f>SUM(Time!LIFE_REFUNDED)</f>
        <v>0</v>
      </c>
      <c r="U26" s="1">
        <f>SUM(Time!ALLOC_CALLED)</f>
        <v>0</v>
      </c>
      <c r="V26" s="1">
        <f>SUM(Time!ALLOC_REFUNDED)</f>
        <v>0</v>
      </c>
      <c r="X26" s="1">
        <f>SUM(Time!HEALTH_CALLED)</f>
        <v>0</v>
      </c>
      <c r="Y26" s="1">
        <f>SUM(Time!HEALTH_REFUNDED)</f>
        <v>0</v>
      </c>
      <c r="AA26" s="1">
        <f>SUM(Time!UNALLOC_CALLED)</f>
        <v>0</v>
      </c>
      <c r="AB26" s="9">
        <f>SUM(Time!UNALLOC_REFUNDED)</f>
        <v>0</v>
      </c>
    </row>
    <row r="27" spans="1:28">
      <c r="A27" s="6" t="s">
        <v>260</v>
      </c>
      <c r="B27" s="1" t="s">
        <v>261</v>
      </c>
      <c r="C27" s="1" t="s">
        <v>208</v>
      </c>
      <c r="D27" s="1" t="s">
        <v>262</v>
      </c>
      <c r="E27" s="1" t="s">
        <v>210</v>
      </c>
      <c r="G27" s="1" t="s">
        <v>211</v>
      </c>
      <c r="H27" s="1">
        <f>SUM('Universal Life'!LIFE)</f>
        <v>4141533.7511036247</v>
      </c>
      <c r="I27" s="1">
        <f>SUM('Universal Life'!ALLOCATED)</f>
        <v>0</v>
      </c>
      <c r="J27" s="1">
        <f>SUM('Universal Life'!HEALTH)</f>
        <v>-15299.391222177137</v>
      </c>
      <c r="K27" s="1">
        <f>SUM('Universal Life'!UNALLOCATED)</f>
        <v>0</v>
      </c>
      <c r="L27" s="1">
        <f>SUM('Universal Life'!LTC)</f>
        <v>0</v>
      </c>
      <c r="M27" s="1">
        <f t="shared" si="0"/>
        <v>4126234.3598814476</v>
      </c>
      <c r="N27" s="6">
        <v>3882259.9925003569</v>
      </c>
      <c r="O27" s="9">
        <f t="shared" si="1"/>
        <v>243974.36738109076</v>
      </c>
      <c r="R27" s="6">
        <f>SUM('Universal Life'!LIFE_CALLED)</f>
        <v>324994</v>
      </c>
      <c r="S27" s="1">
        <f>SUM('Universal Life'!LIFE_REFUNDED)</f>
        <v>0</v>
      </c>
      <c r="U27" s="1">
        <f>SUM('Universal Life'!ALLOC_CALLED)</f>
        <v>0</v>
      </c>
      <c r="V27" s="1">
        <f>SUM('Universal Life'!ALLOC_REFUNDED)</f>
        <v>0</v>
      </c>
      <c r="X27" s="1">
        <f>SUM('Universal Life'!HEALTH_CALLED)</f>
        <v>0</v>
      </c>
      <c r="Y27" s="1">
        <f>SUM('Universal Life'!HEALTH_REFUNDED)</f>
        <v>0</v>
      </c>
      <c r="AA27" s="1">
        <f>SUM('Universal Life'!UNALLOC_CALLED)</f>
        <v>0</v>
      </c>
      <c r="AB27" s="9">
        <f>SUM('Universal Life'!UNALLOC_REFUNDED)</f>
        <v>0</v>
      </c>
    </row>
    <row r="28" spans="1:28" ht="6.9" customHeight="1" thickBot="1">
      <c r="A28" s="8"/>
      <c r="B28" s="5"/>
      <c r="C28" s="5"/>
      <c r="D28" s="5"/>
      <c r="E28" s="5"/>
      <c r="F28" s="5"/>
      <c r="G28" s="5"/>
      <c r="H28" s="5"/>
      <c r="I28" s="5"/>
      <c r="J28" s="5"/>
      <c r="K28" s="5"/>
      <c r="L28" s="5"/>
      <c r="M28" s="5"/>
      <c r="N28" s="8"/>
      <c r="O28" s="11"/>
      <c r="R28" s="8"/>
      <c r="S28" s="5"/>
      <c r="T28" s="5"/>
      <c r="U28" s="5"/>
      <c r="V28" s="5"/>
      <c r="W28" s="5"/>
      <c r="X28" s="5"/>
      <c r="Y28" s="5"/>
      <c r="Z28" s="5"/>
      <c r="AA28" s="5"/>
      <c r="AB28" s="11"/>
    </row>
    <row r="29" spans="1:28" ht="15" thickBot="1">
      <c r="A29" s="31" t="s">
        <v>263</v>
      </c>
      <c r="B29" s="30"/>
      <c r="C29" s="30"/>
      <c r="D29" s="30"/>
      <c r="E29" s="30"/>
      <c r="F29" s="30"/>
      <c r="G29" s="30"/>
      <c r="H29" s="30">
        <f>SUM(OP_LIFE)</f>
        <v>1733098474.9493115</v>
      </c>
      <c r="I29" s="30">
        <f>SUM(OP_ALLOCATED)</f>
        <v>3004490281.9812026</v>
      </c>
      <c r="J29" s="30">
        <f>SUM(OP_HEALTH)</f>
        <v>2987780462.1512618</v>
      </c>
      <c r="K29" s="30">
        <f>SUM(OP_UNALLOCATED)</f>
        <v>31873420.066984765</v>
      </c>
      <c r="L29" s="30">
        <f>SUM(OP_LTC)</f>
        <v>14210295.868651351</v>
      </c>
      <c r="M29" s="30">
        <f>SUM(OP_TOTAL)</f>
        <v>7771452935.0174112</v>
      </c>
      <c r="N29" s="33">
        <f>SUM(OP_TOTAL_PREV)</f>
        <v>7955986701.2096329</v>
      </c>
      <c r="O29" s="32">
        <f>SUM(OP_CHANGE)</f>
        <v>-184533766.19221917</v>
      </c>
      <c r="R29" s="33">
        <f>SUM(OP_LIFE_CALLED)</f>
        <v>1388468578</v>
      </c>
      <c r="S29" s="30">
        <f>SUM(OP_LIFE_REFUNDED)</f>
        <v>2000065</v>
      </c>
      <c r="T29" s="30"/>
      <c r="U29" s="30">
        <f>SUM(OP_ALLOC_CALLED)</f>
        <v>1538786065</v>
      </c>
      <c r="V29" s="30">
        <f>SUM(OP_ALLOC_REFUNDED)</f>
        <v>55463161.450000003</v>
      </c>
      <c r="W29" s="30"/>
      <c r="X29" s="30">
        <f>SUM(OP_HEALTH_CALLED)</f>
        <v>2409932452</v>
      </c>
      <c r="Y29" s="30">
        <f>SUM(OP_HEALTH_REFUNDED)</f>
        <v>23011593</v>
      </c>
      <c r="Z29" s="30"/>
      <c r="AA29" s="30">
        <f>SUM(OP_UNALLOC_CALLED)</f>
        <v>42365781</v>
      </c>
      <c r="AB29" s="32">
        <f>SUM(OP_UNALLOC_REFUNDED)</f>
        <v>23169526.82</v>
      </c>
    </row>
    <row r="31" spans="1:28">
      <c r="A31" s="27" t="s">
        <v>264</v>
      </c>
      <c r="B31" s="26"/>
      <c r="C31" s="26"/>
      <c r="D31" s="26"/>
      <c r="E31" s="26"/>
      <c r="F31" s="26"/>
      <c r="G31" s="26"/>
      <c r="H31" s="26"/>
      <c r="I31" s="26"/>
      <c r="J31" s="26"/>
      <c r="K31" s="26"/>
      <c r="L31" s="26"/>
      <c r="M31" s="26"/>
      <c r="N31" s="29"/>
      <c r="O31" s="28"/>
      <c r="R31" s="29"/>
      <c r="S31" s="26"/>
      <c r="T31" s="26"/>
      <c r="U31" s="26"/>
      <c r="V31" s="26"/>
      <c r="W31" s="26"/>
      <c r="X31" s="26"/>
      <c r="Y31" s="26"/>
      <c r="Z31" s="26"/>
      <c r="AA31" s="26"/>
      <c r="AB31" s="28"/>
    </row>
    <row r="32" spans="1:28" ht="6.9" customHeight="1">
      <c r="A32" s="6"/>
      <c r="N32" s="6"/>
      <c r="O32" s="9"/>
      <c r="R32" s="6"/>
      <c r="AB32" s="9"/>
    </row>
    <row r="33" spans="1:28">
      <c r="A33" s="6" t="s">
        <v>265</v>
      </c>
      <c r="B33" s="1" t="s">
        <v>266</v>
      </c>
      <c r="C33" s="1" t="s">
        <v>267</v>
      </c>
      <c r="D33" s="1" t="s">
        <v>268</v>
      </c>
      <c r="E33" s="1" t="s">
        <v>269</v>
      </c>
      <c r="H33" s="1">
        <f>SUM('Colorado Health'!LIFE)</f>
        <v>0</v>
      </c>
      <c r="I33" s="1">
        <f>SUM('Colorado Health'!ALLOCATED)</f>
        <v>0</v>
      </c>
      <c r="J33" s="1">
        <f>SUM('Colorado Health'!HEALTH)</f>
        <v>83658295</v>
      </c>
      <c r="K33" s="1">
        <f>SUM('Colorado Health'!UNALLOCATED)</f>
        <v>0</v>
      </c>
      <c r="L33" s="1">
        <f>SUM('Colorado Health'!LTC)</f>
        <v>0</v>
      </c>
      <c r="M33" s="1">
        <f t="shared" ref="M33:M48" si="2">SUM(H33:L33)</f>
        <v>83658295</v>
      </c>
      <c r="N33" s="6">
        <v>83658295</v>
      </c>
      <c r="O33" s="9">
        <f t="shared" ref="O33:O48" si="3">+M33-N33</f>
        <v>0</v>
      </c>
      <c r="R33" s="6">
        <f>SUM('Colorado Health'!LIFE_CALLED)</f>
        <v>0</v>
      </c>
      <c r="S33" s="1">
        <f>SUM('Colorado Health'!LIFE_REFUNDED)</f>
        <v>0</v>
      </c>
      <c r="U33" s="1">
        <f>SUM('Colorado Health'!ALLOC_CALLED)</f>
        <v>0</v>
      </c>
      <c r="V33" s="1">
        <f>SUM('Colorado Health'!ALLOC_REFUNDED)</f>
        <v>0</v>
      </c>
      <c r="X33" s="1">
        <f>SUM('Colorado Health'!HEALTH_CALLED)</f>
        <v>104405820</v>
      </c>
      <c r="Y33" s="1">
        <f>SUM('Colorado Health'!HEALTH_REFUNDED)</f>
        <v>45450000</v>
      </c>
      <c r="AA33" s="1">
        <f>SUM('Colorado Health'!UNALLOC_CALLED)</f>
        <v>0</v>
      </c>
      <c r="AB33" s="9">
        <f>SUM('Colorado Health'!UNALLOC_REFUNDED)</f>
        <v>0</v>
      </c>
    </row>
    <row r="34" spans="1:28">
      <c r="A34" s="6" t="s">
        <v>270</v>
      </c>
      <c r="B34" s="1" t="s">
        <v>271</v>
      </c>
      <c r="C34" s="1" t="s">
        <v>272</v>
      </c>
      <c r="D34" s="1" t="s">
        <v>273</v>
      </c>
      <c r="E34" s="1" t="s">
        <v>274</v>
      </c>
      <c r="H34" s="1">
        <f>SUM('Compass (dbs Meritus)'!LIFE)</f>
        <v>0</v>
      </c>
      <c r="I34" s="1">
        <f>SUM('Compass (dbs Meritus)'!ALLOCATED)</f>
        <v>0</v>
      </c>
      <c r="J34" s="1">
        <f>SUM('Compass (dbs Meritus)'!HEALTH)</f>
        <v>3347549</v>
      </c>
      <c r="K34" s="1">
        <f>SUM('Compass (dbs Meritus)'!UNALLOCATED)</f>
        <v>0</v>
      </c>
      <c r="L34" s="1">
        <f>SUM('Compass (dbs Meritus)'!LTC)</f>
        <v>0</v>
      </c>
      <c r="M34" s="1">
        <f t="shared" si="2"/>
        <v>3347549</v>
      </c>
      <c r="N34" s="6">
        <v>3347549</v>
      </c>
      <c r="O34" s="9">
        <f t="shared" si="3"/>
        <v>0</v>
      </c>
      <c r="R34" s="6">
        <f>SUM('Compass (dbs Meritus)'!LIFE_CALLED)</f>
        <v>0</v>
      </c>
      <c r="S34" s="1">
        <f>SUM('Compass (dbs Meritus)'!LIFE_REFUNDED)</f>
        <v>0</v>
      </c>
      <c r="U34" s="1">
        <f>SUM('Compass (dbs Meritus)'!ALLOC_CALLED)</f>
        <v>0</v>
      </c>
      <c r="V34" s="1">
        <f>SUM('Compass (dbs Meritus)'!ALLOC_REFUNDED)</f>
        <v>0</v>
      </c>
      <c r="X34" s="1">
        <f>SUM('Compass (dbs Meritus)'!HEALTH_CALLED)</f>
        <v>0</v>
      </c>
      <c r="Y34" s="1">
        <f>SUM('Compass (dbs Meritus)'!HEALTH_REFUNDED)</f>
        <v>0</v>
      </c>
      <c r="AA34" s="1">
        <f>SUM('Compass (dbs Meritus)'!UNALLOC_CALLED)</f>
        <v>0</v>
      </c>
      <c r="AB34" s="9">
        <f>SUM('Compass (dbs Meritus)'!UNALLOC_REFUNDED)</f>
        <v>0</v>
      </c>
    </row>
    <row r="35" spans="1:28">
      <c r="A35" s="6" t="s">
        <v>275</v>
      </c>
      <c r="B35" s="1" t="s">
        <v>276</v>
      </c>
      <c r="C35" s="1" t="s">
        <v>277</v>
      </c>
      <c r="D35" s="1" t="s">
        <v>278</v>
      </c>
      <c r="E35" s="1" t="s">
        <v>279</v>
      </c>
      <c r="H35" s="1">
        <f>SUM('Consumers Choice'!LIFE)</f>
        <v>0</v>
      </c>
      <c r="I35" s="1">
        <f>SUM('Consumers Choice'!ALLOCATED)</f>
        <v>0</v>
      </c>
      <c r="J35" s="1">
        <f>SUM('Consumers Choice'!HEALTH)</f>
        <v>34784248.960000001</v>
      </c>
      <c r="K35" s="1">
        <f>SUM('Consumers Choice'!UNALLOCATED)</f>
        <v>0</v>
      </c>
      <c r="L35" s="1">
        <f>SUM('Consumers Choice'!LTC)</f>
        <v>0</v>
      </c>
      <c r="M35" s="1">
        <f t="shared" si="2"/>
        <v>34784248.960000001</v>
      </c>
      <c r="N35" s="6">
        <v>34784248.960000001</v>
      </c>
      <c r="O35" s="9">
        <f t="shared" si="3"/>
        <v>0</v>
      </c>
      <c r="R35" s="6">
        <f>SUM('Consumers Choice'!LIFE_CALLED)</f>
        <v>0</v>
      </c>
      <c r="S35" s="1">
        <f>SUM('Consumers Choice'!LIFE_REFUNDED)</f>
        <v>0</v>
      </c>
      <c r="U35" s="1">
        <f>SUM('Consumers Choice'!ALLOC_CALLED)</f>
        <v>0</v>
      </c>
      <c r="V35" s="1">
        <f>SUM('Consumers Choice'!ALLOC_REFUNDED)</f>
        <v>0</v>
      </c>
      <c r="X35" s="1">
        <f>SUM('Consumers Choice'!HEALTH_CALLED)</f>
        <v>48506698</v>
      </c>
      <c r="Y35" s="1">
        <f>SUM('Consumers Choice'!HEALTH_REFUNDED)</f>
        <v>12548122</v>
      </c>
      <c r="AA35" s="1">
        <f>SUM('Consumers Choice'!UNALLOC_CALLED)</f>
        <v>0</v>
      </c>
      <c r="AB35" s="9">
        <f>SUM('Consumers Choice'!UNALLOC_REFUNDED)</f>
        <v>0</v>
      </c>
    </row>
    <row r="36" spans="1:28">
      <c r="A36" s="6" t="s">
        <v>107</v>
      </c>
      <c r="B36" s="1" t="s">
        <v>280</v>
      </c>
      <c r="C36" s="1" t="s">
        <v>281</v>
      </c>
      <c r="D36" s="1" t="s">
        <v>282</v>
      </c>
      <c r="E36" s="1" t="s">
        <v>283</v>
      </c>
      <c r="H36" s="1">
        <f>SUM(CoOportunity!LIFE)</f>
        <v>0</v>
      </c>
      <c r="I36" s="1">
        <f>SUM(CoOportunity!ALLOCATED)</f>
        <v>0</v>
      </c>
      <c r="J36" s="1">
        <f>SUM(CoOportunity!HEALTH)</f>
        <v>29171521.632349882</v>
      </c>
      <c r="K36" s="1">
        <f>SUM(CoOportunity!UNALLOCATED)</f>
        <v>0</v>
      </c>
      <c r="L36" s="1">
        <f>SUM(CoOportunity!LTC)</f>
        <v>0</v>
      </c>
      <c r="M36" s="1">
        <f t="shared" si="2"/>
        <v>29171521.632349882</v>
      </c>
      <c r="N36" s="6">
        <v>29095627.212349895</v>
      </c>
      <c r="O36" s="9">
        <f t="shared" si="3"/>
        <v>75894.419999986887</v>
      </c>
      <c r="R36" s="6">
        <f>SUM(CoOportunity!LIFE_CALLED)</f>
        <v>0</v>
      </c>
      <c r="S36" s="1">
        <f>SUM(CoOportunity!LIFE_REFUNDED)</f>
        <v>0</v>
      </c>
      <c r="U36" s="1">
        <f>SUM(CoOportunity!ALLOC_CALLED)</f>
        <v>0</v>
      </c>
      <c r="V36" s="1">
        <f>SUM(CoOportunity!ALLOC_REFUNDED)</f>
        <v>0</v>
      </c>
      <c r="X36" s="1">
        <f>SUM(CoOportunity!HEALTH_CALLED)</f>
        <v>91800000</v>
      </c>
      <c r="Y36" s="1">
        <f>SUM(CoOportunity!HEALTH_REFUNDED)</f>
        <v>0</v>
      </c>
      <c r="AA36" s="1">
        <f>SUM(CoOportunity!UNALLOC_CALLED)</f>
        <v>0</v>
      </c>
      <c r="AB36" s="9">
        <f>SUM(CoOportunity!UNALLOC_REFUNDED)</f>
        <v>0</v>
      </c>
    </row>
    <row r="37" spans="1:28">
      <c r="A37" s="6" t="s">
        <v>284</v>
      </c>
      <c r="B37" s="1" t="s">
        <v>285</v>
      </c>
      <c r="C37" s="1" t="s">
        <v>286</v>
      </c>
      <c r="E37" s="1" t="s">
        <v>287</v>
      </c>
      <c r="H37" s="1">
        <f>SUM('Coordinated Hlth'!LIFE)</f>
        <v>0</v>
      </c>
      <c r="I37" s="1">
        <f>SUM('Coordinated Hlth'!ALLOCATED)</f>
        <v>0</v>
      </c>
      <c r="J37" s="1">
        <f>SUM('Coordinated Hlth'!HEALTH)</f>
        <v>8388718</v>
      </c>
      <c r="K37" s="1">
        <f>SUM('Coordinated Hlth'!UNALLOCATED)</f>
        <v>0</v>
      </c>
      <c r="L37" s="1">
        <f>SUM('Coordinated Hlth'!LTC)</f>
        <v>0</v>
      </c>
      <c r="M37" s="1">
        <f t="shared" si="2"/>
        <v>8388718</v>
      </c>
      <c r="N37" s="6">
        <v>8388718</v>
      </c>
      <c r="O37" s="9">
        <f t="shared" si="3"/>
        <v>0</v>
      </c>
      <c r="R37" s="6">
        <f>SUM('Coordinated Hlth'!LIFE_CALLED)</f>
        <v>0</v>
      </c>
      <c r="S37" s="1">
        <f>SUM('Coordinated Hlth'!LIFE_REFUNDED)</f>
        <v>0</v>
      </c>
      <c r="U37" s="1">
        <f>SUM('Coordinated Hlth'!ALLOC_CALLED)</f>
        <v>0</v>
      </c>
      <c r="V37" s="1">
        <f>SUM('Coordinated Hlth'!ALLOC_REFUNDED)</f>
        <v>0</v>
      </c>
      <c r="X37" s="1">
        <f>SUM('Coordinated Hlth'!HEALTH_CALLED)</f>
        <v>40000000</v>
      </c>
      <c r="Y37" s="1">
        <f>SUM('Coordinated Hlth'!HEALTH_REFUNDED)</f>
        <v>0</v>
      </c>
      <c r="AA37" s="1">
        <f>SUM('Coordinated Hlth'!UNALLOC_CALLED)</f>
        <v>0</v>
      </c>
      <c r="AB37" s="9">
        <f>SUM('Coordinated Hlth'!UNALLOC_REFUNDED)</f>
        <v>0</v>
      </c>
    </row>
    <row r="38" spans="1:28">
      <c r="A38" s="6" t="s">
        <v>288</v>
      </c>
      <c r="B38" s="1" t="s">
        <v>289</v>
      </c>
      <c r="C38" s="1" t="s">
        <v>290</v>
      </c>
      <c r="D38" s="1" t="s">
        <v>291</v>
      </c>
      <c r="E38" s="1" t="s">
        <v>292</v>
      </c>
      <c r="F38" s="1" t="s">
        <v>292</v>
      </c>
      <c r="H38" s="1">
        <f>SUM(ELNY!LIFE)</f>
        <v>0</v>
      </c>
      <c r="I38" s="1">
        <f>SUM(ELNY!ALLOCATED)</f>
        <v>801859656.73644018</v>
      </c>
      <c r="J38" s="1">
        <f>SUM(ELNY!HEALTH)</f>
        <v>0</v>
      </c>
      <c r="K38" s="1">
        <f>SUM(ELNY!UNALLOCATED)</f>
        <v>0</v>
      </c>
      <c r="L38" s="1">
        <f>SUM(ELNY!LTC)</f>
        <v>0</v>
      </c>
      <c r="M38" s="1">
        <f t="shared" si="2"/>
        <v>801859656.73644018</v>
      </c>
      <c r="N38" s="6">
        <v>801859656.73644018</v>
      </c>
      <c r="O38" s="9">
        <f t="shared" si="3"/>
        <v>0</v>
      </c>
      <c r="R38" s="6">
        <f>SUM(ELNY!LIFE_CALLED)</f>
        <v>556478179</v>
      </c>
      <c r="S38" s="1">
        <f>SUM(ELNY!LIFE_REFUNDED)</f>
        <v>0</v>
      </c>
      <c r="U38" s="1">
        <f>SUM(ELNY!ALLOC_CALLED)</f>
        <v>198631919</v>
      </c>
      <c r="V38" s="1">
        <f>SUM(ELNY!ALLOC_REFUNDED)</f>
        <v>6500906</v>
      </c>
      <c r="X38" s="1">
        <f>SUM(ELNY!HEALTH_CALLED)</f>
        <v>0</v>
      </c>
      <c r="Y38" s="1">
        <f>SUM(ELNY!HEALTH_REFUNDED)</f>
        <v>0</v>
      </c>
      <c r="AA38" s="1">
        <f>SUM(ELNY!UNALLOC_CALLED)</f>
        <v>0</v>
      </c>
      <c r="AB38" s="9">
        <f>SUM(ELNY!UNALLOC_REFUNDED)</f>
        <v>0</v>
      </c>
    </row>
    <row r="39" spans="1:28">
      <c r="A39" s="6" t="s">
        <v>293</v>
      </c>
      <c r="B39" s="1" t="s">
        <v>294</v>
      </c>
      <c r="C39" s="1" t="s">
        <v>295</v>
      </c>
      <c r="D39" s="1" t="s">
        <v>296</v>
      </c>
      <c r="E39" s="1" t="s">
        <v>297</v>
      </c>
      <c r="F39" s="1" t="s">
        <v>298</v>
      </c>
      <c r="H39" s="1">
        <f>SUM('First Natl (Thrnr)'!LIFE)</f>
        <v>471125.83664370805</v>
      </c>
      <c r="I39" s="1">
        <f>SUM('First Natl (Thrnr)'!ALLOCATED)</f>
        <v>4198847.6836526562</v>
      </c>
      <c r="J39" s="1">
        <f>SUM('First Natl (Thrnr)'!HEALTH)</f>
        <v>0</v>
      </c>
      <c r="K39" s="1">
        <f>SUM('First Natl (Thrnr)'!UNALLOCATED)</f>
        <v>0</v>
      </c>
      <c r="L39" s="1">
        <f>SUM('First Natl (Thrnr)'!LTC)</f>
        <v>0</v>
      </c>
      <c r="M39" s="1">
        <f t="shared" si="2"/>
        <v>4669973.5202963641</v>
      </c>
      <c r="N39" s="6">
        <v>4669973.520296365</v>
      </c>
      <c r="O39" s="9">
        <f t="shared" si="3"/>
        <v>0</v>
      </c>
      <c r="R39" s="6">
        <f>SUM('First Natl (Thrnr)'!LIFE_CALLED)</f>
        <v>18270153</v>
      </c>
      <c r="S39" s="1">
        <f>SUM('First Natl (Thrnr)'!LIFE_REFUNDED)</f>
        <v>6524219</v>
      </c>
      <c r="U39" s="1">
        <f>SUM('First Natl (Thrnr)'!ALLOC_CALLED)</f>
        <v>18925424</v>
      </c>
      <c r="V39" s="1">
        <f>SUM('First Natl (Thrnr)'!ALLOC_REFUNDED)</f>
        <v>5020281</v>
      </c>
      <c r="X39" s="1">
        <f>SUM('First Natl (Thrnr)'!HEALTH_CALLED)</f>
        <v>0</v>
      </c>
      <c r="Y39" s="1">
        <f>SUM('First Natl (Thrnr)'!HEALTH_REFUNDED)</f>
        <v>400000</v>
      </c>
      <c r="AA39" s="1">
        <f>SUM('First Natl (Thrnr)'!UNALLOC_CALLED)</f>
        <v>0</v>
      </c>
      <c r="AB39" s="9">
        <f>SUM('First Natl (Thrnr)'!UNALLOC_REFUNDED)</f>
        <v>0</v>
      </c>
    </row>
    <row r="40" spans="1:28">
      <c r="A40" s="6" t="s">
        <v>299</v>
      </c>
      <c r="B40" s="1" t="s">
        <v>300</v>
      </c>
      <c r="C40" s="1" t="s">
        <v>301</v>
      </c>
      <c r="D40" s="1" t="s">
        <v>302</v>
      </c>
      <c r="E40" s="1" t="s">
        <v>303</v>
      </c>
      <c r="H40" s="1">
        <f>SUM('Freelancers CO-OP'!LIFE)</f>
        <v>0</v>
      </c>
      <c r="I40" s="1">
        <f>SUM('Freelancers CO-OP'!ALLOCATED)</f>
        <v>0</v>
      </c>
      <c r="J40" s="1">
        <f>SUM('Freelancers CO-OP'!HEALTH)</f>
        <v>23625000</v>
      </c>
      <c r="K40" s="1">
        <f>SUM('Freelancers CO-OP'!UNALLOCATED)</f>
        <v>0</v>
      </c>
      <c r="L40" s="1">
        <f>SUM('Freelancers CO-OP'!LTC)</f>
        <v>0</v>
      </c>
      <c r="M40" s="1">
        <f t="shared" si="2"/>
        <v>23625000</v>
      </c>
      <c r="N40" s="6">
        <v>23625000</v>
      </c>
      <c r="O40" s="9">
        <f t="shared" si="3"/>
        <v>0</v>
      </c>
      <c r="R40" s="6">
        <f>SUM('Freelancers CO-OP'!LIFE_CALLED)</f>
        <v>0</v>
      </c>
      <c r="S40" s="1">
        <f>SUM('Freelancers CO-OP'!LIFE_REFUNDED)</f>
        <v>0</v>
      </c>
      <c r="U40" s="1">
        <f>SUM('Freelancers CO-OP'!ALLOC_CALLED)</f>
        <v>0</v>
      </c>
      <c r="V40" s="1">
        <f>SUM('Freelancers CO-OP'!ALLOC_REFUNDED)</f>
        <v>0</v>
      </c>
      <c r="X40" s="1">
        <f>SUM('Freelancers CO-OP'!HEALTH_CALLED)</f>
        <v>26600000</v>
      </c>
      <c r="Y40" s="1">
        <f>SUM('Freelancers CO-OP'!HEALTH_REFUNDED)</f>
        <v>26599905</v>
      </c>
      <c r="AA40" s="1">
        <f>SUM('Freelancers CO-OP'!UNALLOC_CALLED)</f>
        <v>0</v>
      </c>
      <c r="AB40" s="9">
        <f>SUM('Freelancers CO-OP'!UNALLOC_REFUNDED)</f>
        <v>0</v>
      </c>
    </row>
    <row r="41" spans="1:28">
      <c r="A41" s="6" t="s">
        <v>128</v>
      </c>
      <c r="B41" s="1" t="s">
        <v>304</v>
      </c>
      <c r="C41" s="1" t="s">
        <v>305</v>
      </c>
      <c r="D41" s="1" t="s">
        <v>306</v>
      </c>
      <c r="E41" s="1" t="s">
        <v>307</v>
      </c>
      <c r="H41" s="1">
        <f>SUM(HealthyCT!LIFE)</f>
        <v>0</v>
      </c>
      <c r="I41" s="1">
        <f>SUM(HealthyCT!ALLOCATED)</f>
        <v>0</v>
      </c>
      <c r="J41" s="1">
        <f>SUM(HealthyCT!HEALTH)</f>
        <v>9165</v>
      </c>
      <c r="K41" s="1">
        <f>SUM(HealthyCT!UNALLOCATED)</f>
        <v>0</v>
      </c>
      <c r="L41" s="1">
        <f>SUM(HealthyCT!LTC)</f>
        <v>0</v>
      </c>
      <c r="M41" s="1">
        <f t="shared" si="2"/>
        <v>9165</v>
      </c>
      <c r="N41" s="6">
        <v>9165</v>
      </c>
      <c r="O41" s="9">
        <f t="shared" si="3"/>
        <v>0</v>
      </c>
      <c r="R41" s="6">
        <f>SUM(HealthyCT!LIFE_CALLED)</f>
        <v>0</v>
      </c>
      <c r="S41" s="1">
        <f>SUM(HealthyCT!LIFE_REFUNDED)</f>
        <v>0</v>
      </c>
      <c r="U41" s="1">
        <f>SUM(HealthyCT!ALLOC_CALLED)</f>
        <v>0</v>
      </c>
      <c r="V41" s="1">
        <f>SUM(HealthyCT!ALLOC_REFUNDED)</f>
        <v>0</v>
      </c>
      <c r="X41" s="1">
        <f>SUM(HealthyCT!HEALTH_CALLED)</f>
        <v>20000000</v>
      </c>
      <c r="Y41" s="1">
        <f>SUM(HealthyCT!HEALTH_REFUNDED)</f>
        <v>0</v>
      </c>
      <c r="AA41" s="1">
        <f>SUM(HealthyCT!UNALLOC_CALLED)</f>
        <v>0</v>
      </c>
      <c r="AB41" s="9">
        <f>SUM(HealthyCT!UNALLOC_REFUNDED)</f>
        <v>0</v>
      </c>
    </row>
    <row r="42" spans="1:28">
      <c r="A42" s="6" t="s">
        <v>308</v>
      </c>
      <c r="B42" s="1" t="s">
        <v>309</v>
      </c>
      <c r="C42" s="1" t="s">
        <v>310</v>
      </c>
      <c r="D42" s="1" t="s">
        <v>311</v>
      </c>
      <c r="E42" s="1" t="s">
        <v>312</v>
      </c>
      <c r="H42" s="1">
        <f>SUM('Land of Lincoln'!LIFE)</f>
        <v>0</v>
      </c>
      <c r="I42" s="1">
        <f>SUM('Land of Lincoln'!ALLOCATED)</f>
        <v>0</v>
      </c>
      <c r="J42" s="1">
        <f>SUM('Land of Lincoln'!HEALTH)</f>
        <v>9776890</v>
      </c>
      <c r="K42" s="1">
        <f>SUM('Land of Lincoln'!UNALLOCATED)</f>
        <v>0</v>
      </c>
      <c r="L42" s="1">
        <f>SUM('Land of Lincoln'!LTC)</f>
        <v>0</v>
      </c>
      <c r="M42" s="1">
        <f t="shared" si="2"/>
        <v>9776890</v>
      </c>
      <c r="N42" s="6">
        <v>9776890</v>
      </c>
      <c r="O42" s="9">
        <f t="shared" si="3"/>
        <v>0</v>
      </c>
      <c r="R42" s="6">
        <f>SUM('Land of Lincoln'!LIFE_CALLED)</f>
        <v>0</v>
      </c>
      <c r="S42" s="1">
        <f>SUM('Land of Lincoln'!LIFE_REFUNDED)</f>
        <v>0</v>
      </c>
      <c r="U42" s="1">
        <f>SUM('Land of Lincoln'!ALLOC_CALLED)</f>
        <v>0</v>
      </c>
      <c r="V42" s="1">
        <f>SUM('Land of Lincoln'!ALLOC_REFUNDED)</f>
        <v>0</v>
      </c>
      <c r="X42" s="1">
        <f>SUM('Land of Lincoln'!HEALTH_CALLED)</f>
        <v>40000000</v>
      </c>
      <c r="Y42" s="1">
        <f>SUM('Land of Lincoln'!HEALTH_REFUNDED)</f>
        <v>0</v>
      </c>
      <c r="AA42" s="1">
        <f>SUM('Land of Lincoln'!UNALLOC_CALLED)</f>
        <v>0</v>
      </c>
      <c r="AB42" s="9">
        <f>SUM('Land of Lincoln'!UNALLOC_REFUNDED)</f>
        <v>0</v>
      </c>
    </row>
    <row r="43" spans="1:28">
      <c r="A43" s="6" t="s">
        <v>313</v>
      </c>
      <c r="B43" s="1" t="s">
        <v>314</v>
      </c>
      <c r="C43" s="1" t="s">
        <v>310</v>
      </c>
      <c r="D43" s="1" t="s">
        <v>315</v>
      </c>
      <c r="E43" s="1" t="s">
        <v>316</v>
      </c>
      <c r="F43" s="1" t="s">
        <v>317</v>
      </c>
      <c r="H43" s="1">
        <f>SUM(Lumbermens!LIFE)</f>
        <v>0</v>
      </c>
      <c r="I43" s="1">
        <f>SUM(Lumbermens!ALLOCATED)</f>
        <v>0</v>
      </c>
      <c r="J43" s="1">
        <f>SUM(Lumbermens!HEALTH)</f>
        <v>13519844.831880532</v>
      </c>
      <c r="K43" s="1">
        <f>SUM(Lumbermens!UNALLOCATED)</f>
        <v>0</v>
      </c>
      <c r="L43" s="1">
        <f>SUM(Lumbermens!LTC)</f>
        <v>0</v>
      </c>
      <c r="M43" s="1">
        <f t="shared" si="2"/>
        <v>13519844.831880532</v>
      </c>
      <c r="N43" s="6">
        <v>13519844.831880532</v>
      </c>
      <c r="O43" s="9">
        <f t="shared" si="3"/>
        <v>0</v>
      </c>
      <c r="R43" s="6">
        <f>SUM(Lumbermens!LIFE_CALLED)</f>
        <v>0</v>
      </c>
      <c r="S43" s="1">
        <f>SUM(Lumbermens!LIFE_REFUNDED)</f>
        <v>0</v>
      </c>
      <c r="U43" s="1">
        <f>SUM(Lumbermens!ALLOC_CALLED)</f>
        <v>0</v>
      </c>
      <c r="V43" s="1">
        <f>SUM(Lumbermens!ALLOC_REFUNDED)</f>
        <v>0</v>
      </c>
      <c r="X43" s="1">
        <f>SUM(Lumbermens!HEALTH_CALLED)</f>
        <v>10031027</v>
      </c>
      <c r="Y43" s="1">
        <f>SUM(Lumbermens!HEALTH_REFUNDED)</f>
        <v>9982</v>
      </c>
      <c r="AA43" s="1">
        <f>SUM(Lumbermens!UNALLOC_CALLED)</f>
        <v>0</v>
      </c>
      <c r="AB43" s="9">
        <f>SUM(Lumbermens!UNALLOC_REFUNDED)</f>
        <v>0</v>
      </c>
    </row>
    <row r="44" spans="1:28">
      <c r="A44" s="6" t="s">
        <v>318</v>
      </c>
      <c r="B44" s="1" t="s">
        <v>319</v>
      </c>
      <c r="C44" s="1" t="s">
        <v>229</v>
      </c>
      <c r="D44" s="1" t="s">
        <v>230</v>
      </c>
      <c r="E44" s="1" t="s">
        <v>231</v>
      </c>
      <c r="F44" s="1" t="s">
        <v>320</v>
      </c>
      <c r="H44" s="1">
        <f>SUM('Memorial Service'!LIFE)</f>
        <v>67278973.65409556</v>
      </c>
      <c r="I44" s="1">
        <f>SUM('Memorial Service'!ALLOCATED)</f>
        <v>0</v>
      </c>
      <c r="J44" s="1">
        <f>SUM('Memorial Service'!HEALTH)</f>
        <v>0</v>
      </c>
      <c r="K44" s="1">
        <f>SUM('Memorial Service'!UNALLOCATED)</f>
        <v>0</v>
      </c>
      <c r="L44" s="1">
        <f>SUM('Memorial Service'!LTC)</f>
        <v>0</v>
      </c>
      <c r="M44" s="1">
        <f t="shared" si="2"/>
        <v>67278973.65409556</v>
      </c>
      <c r="N44" s="6">
        <v>67281020.65409556</v>
      </c>
      <c r="O44" s="9">
        <f t="shared" si="3"/>
        <v>-2047</v>
      </c>
      <c r="R44" s="6">
        <f>SUM('Memorial Service'!LIFE_CALLED)</f>
        <v>94939000</v>
      </c>
      <c r="S44" s="1">
        <f>SUM('Memorial Service'!LIFE_REFUNDED)</f>
        <v>0</v>
      </c>
      <c r="U44" s="1">
        <f>SUM('Memorial Service'!ALLOC_CALLED)</f>
        <v>0</v>
      </c>
      <c r="V44" s="1">
        <f>SUM('Memorial Service'!ALLOC_REFUNDED)</f>
        <v>0</v>
      </c>
      <c r="X44" s="1">
        <f>SUM('Memorial Service'!HEALTH_CALLED)</f>
        <v>0</v>
      </c>
      <c r="Y44" s="1">
        <f>SUM('Memorial Service'!HEALTH_REFUNDED)</f>
        <v>0</v>
      </c>
      <c r="AA44" s="1">
        <f>SUM('Memorial Service'!UNALLOC_CALLED)</f>
        <v>0</v>
      </c>
      <c r="AB44" s="9">
        <f>SUM('Memorial Service'!UNALLOC_REFUNDED)</f>
        <v>0</v>
      </c>
    </row>
    <row r="45" spans="1:28">
      <c r="A45" s="6" t="s">
        <v>321</v>
      </c>
      <c r="B45" s="1" t="s">
        <v>322</v>
      </c>
      <c r="C45" s="1" t="s">
        <v>257</v>
      </c>
      <c r="D45" s="1" t="s">
        <v>323</v>
      </c>
      <c r="E45" s="1" t="s">
        <v>324</v>
      </c>
      <c r="H45" s="1">
        <f>SUM(NNIC!LIFE)</f>
        <v>0</v>
      </c>
      <c r="I45" s="1">
        <f>SUM(NNIC!ALLOCATED)</f>
        <v>0</v>
      </c>
      <c r="J45" s="1">
        <f>SUM(NNIC!HEALTH)</f>
        <v>5850842.055905154</v>
      </c>
      <c r="K45" s="1">
        <f>SUM(NNIC!UNALLOCATED)</f>
        <v>0</v>
      </c>
      <c r="L45" s="1">
        <f>SUM(NNIC!LTC)</f>
        <v>0</v>
      </c>
      <c r="M45" s="1">
        <f t="shared" si="2"/>
        <v>5850842.055905154</v>
      </c>
      <c r="N45" s="6">
        <v>6062698.6559051545</v>
      </c>
      <c r="O45" s="9">
        <f t="shared" si="3"/>
        <v>-211856.60000000056</v>
      </c>
      <c r="R45" s="6">
        <f>SUM(NNIC!LIFE_CALLED)</f>
        <v>0</v>
      </c>
      <c r="S45" s="1">
        <f>SUM(NNIC!LIFE_REFUNDED)</f>
        <v>0</v>
      </c>
      <c r="U45" s="1">
        <f>SUM(NNIC!ALLOC_CALLED)</f>
        <v>0</v>
      </c>
      <c r="V45" s="1">
        <f>SUM(NNIC!ALLOC_REFUNDED)</f>
        <v>0</v>
      </c>
      <c r="X45" s="1">
        <f>SUM(NNIC!HEALTH_CALLED)</f>
        <v>1792496</v>
      </c>
      <c r="Y45" s="1">
        <f>SUM(NNIC!HEALTH_REFUNDED)</f>
        <v>0</v>
      </c>
      <c r="AA45" s="1">
        <f>SUM(NNIC!UNALLOC_CALLED)</f>
        <v>0</v>
      </c>
      <c r="AB45" s="9">
        <f>SUM(NNIC!UNALLOC_REFUNDED)</f>
        <v>0</v>
      </c>
    </row>
    <row r="46" spans="1:28">
      <c r="A46" s="6" t="s">
        <v>325</v>
      </c>
      <c r="B46" s="1" t="s">
        <v>326</v>
      </c>
      <c r="C46" s="1" t="s">
        <v>198</v>
      </c>
      <c r="D46" s="1" t="s">
        <v>327</v>
      </c>
      <c r="E46" s="1" t="s">
        <v>328</v>
      </c>
      <c r="F46" s="1" t="s">
        <v>329</v>
      </c>
      <c r="H46" s="1">
        <f>SUM(Reliance!LIFE)</f>
        <v>0</v>
      </c>
      <c r="I46" s="1">
        <f>SUM(Reliance!ALLOCATED)</f>
        <v>0</v>
      </c>
      <c r="J46" s="1">
        <f>SUM(Reliance!HEALTH)</f>
        <v>512896.03600000095</v>
      </c>
      <c r="K46" s="1">
        <f>SUM(Reliance!UNALLOCATED)</f>
        <v>0</v>
      </c>
      <c r="L46" s="1">
        <f>SUM(Reliance!LTC)</f>
        <v>0</v>
      </c>
      <c r="M46" s="1">
        <f t="shared" si="2"/>
        <v>512896.03600000095</v>
      </c>
      <c r="N46" s="6">
        <v>512896.03600000095</v>
      </c>
      <c r="O46" s="9">
        <f t="shared" si="3"/>
        <v>0</v>
      </c>
      <c r="R46" s="6">
        <f>SUM(Reliance!LIFE_CALLED)</f>
        <v>151260</v>
      </c>
      <c r="S46" s="1">
        <f>SUM(Reliance!LIFE_REFUNDED)</f>
        <v>0</v>
      </c>
      <c r="U46" s="1">
        <f>SUM(Reliance!ALLOC_CALLED)</f>
        <v>0</v>
      </c>
      <c r="V46" s="1">
        <f>SUM(Reliance!ALLOC_REFUNDED)</f>
        <v>0</v>
      </c>
      <c r="X46" s="1">
        <f>SUM(Reliance!HEALTH_CALLED)</f>
        <v>6480687</v>
      </c>
      <c r="Y46" s="1">
        <f>SUM(Reliance!HEALTH_REFUNDED)</f>
        <v>1000000</v>
      </c>
      <c r="AA46" s="1">
        <f>SUM(Reliance!UNALLOC_CALLED)</f>
        <v>0</v>
      </c>
      <c r="AB46" s="9">
        <f>SUM(Reliance!UNALLOC_REFUNDED)</f>
        <v>0</v>
      </c>
    </row>
    <row r="47" spans="1:28">
      <c r="A47" s="6" t="s">
        <v>330</v>
      </c>
      <c r="B47" s="1" t="s">
        <v>331</v>
      </c>
      <c r="C47" s="1" t="s">
        <v>332</v>
      </c>
      <c r="D47" s="1" t="s">
        <v>333</v>
      </c>
      <c r="E47" s="1" t="s">
        <v>334</v>
      </c>
      <c r="H47" s="1">
        <f>SUM('Standard Life IN'!LIFE)</f>
        <v>0</v>
      </c>
      <c r="I47" s="1">
        <f>SUM('Standard Life IN'!ALLOCATED)</f>
        <v>3028888.897625369</v>
      </c>
      <c r="J47" s="1">
        <f>SUM('Standard Life IN'!HEALTH)</f>
        <v>0</v>
      </c>
      <c r="K47" s="1">
        <f>SUM('Standard Life IN'!UNALLOCATED)</f>
        <v>0</v>
      </c>
      <c r="L47" s="1">
        <f>SUM('Standard Life IN'!LTC)</f>
        <v>0</v>
      </c>
      <c r="M47" s="1">
        <f t="shared" si="2"/>
        <v>3028888.897625369</v>
      </c>
      <c r="N47" s="6">
        <v>3028888.897625369</v>
      </c>
      <c r="O47" s="9">
        <f t="shared" si="3"/>
        <v>0</v>
      </c>
      <c r="R47" s="6">
        <f>SUM('Standard Life IN'!LIFE_CALLED)</f>
        <v>0</v>
      </c>
      <c r="S47" s="1">
        <f>SUM('Standard Life IN'!LIFE_REFUNDED)</f>
        <v>0</v>
      </c>
      <c r="U47" s="1">
        <f>SUM('Standard Life IN'!ALLOC_CALLED)</f>
        <v>438000</v>
      </c>
      <c r="V47" s="1">
        <f>SUM('Standard Life IN'!ALLOC_REFUNDED)</f>
        <v>0</v>
      </c>
      <c r="X47" s="1">
        <f>SUM('Standard Life IN'!HEALTH_CALLED)</f>
        <v>0</v>
      </c>
      <c r="Y47" s="1">
        <f>SUM('Standard Life IN'!HEALTH_REFUNDED)</f>
        <v>0</v>
      </c>
      <c r="AA47" s="1">
        <f>SUM('Standard Life IN'!UNALLOC_CALLED)</f>
        <v>0</v>
      </c>
      <c r="AB47" s="9">
        <f>SUM('Standard Life IN'!UNALLOC_REFUNDED)</f>
        <v>0</v>
      </c>
    </row>
    <row r="48" spans="1:28">
      <c r="A48" s="6" t="s">
        <v>335</v>
      </c>
      <c r="B48" s="1" t="s">
        <v>336</v>
      </c>
      <c r="C48" s="1" t="s">
        <v>337</v>
      </c>
      <c r="D48" s="1" t="s">
        <v>338</v>
      </c>
      <c r="E48" s="1" t="s">
        <v>339</v>
      </c>
      <c r="H48" s="1">
        <f>SUM('Universal Health Care'!LIFE)</f>
        <v>0</v>
      </c>
      <c r="I48" s="1">
        <f>SUM('Universal Health Care'!ALLOCATED)</f>
        <v>0</v>
      </c>
      <c r="J48" s="1">
        <f>SUM('Universal Health Care'!HEALTH)</f>
        <v>-1166994.4613558461</v>
      </c>
      <c r="K48" s="1">
        <f>SUM('Universal Health Care'!UNALLOCATED)</f>
        <v>0</v>
      </c>
      <c r="L48" s="1">
        <f>SUM('Universal Health Care'!LTC)</f>
        <v>0</v>
      </c>
      <c r="M48" s="1">
        <f t="shared" si="2"/>
        <v>-1166994.4613558461</v>
      </c>
      <c r="N48" s="6">
        <v>379822.39864415338</v>
      </c>
      <c r="O48" s="9">
        <f t="shared" si="3"/>
        <v>-1546816.8599999994</v>
      </c>
      <c r="R48" s="6">
        <f>SUM('Universal Health Care'!LIFE_CALLED)</f>
        <v>0</v>
      </c>
      <c r="S48" s="1">
        <f>SUM('Universal Health Care'!LIFE_REFUNDED)</f>
        <v>0</v>
      </c>
      <c r="U48" s="1">
        <f>SUM('Universal Health Care'!ALLOC_CALLED)</f>
        <v>0</v>
      </c>
      <c r="V48" s="1">
        <f>SUM('Universal Health Care'!ALLOC_REFUNDED)</f>
        <v>0</v>
      </c>
      <c r="X48" s="1">
        <f>SUM('Universal Health Care'!HEALTH_CALLED)</f>
        <v>250000</v>
      </c>
      <c r="Y48" s="1">
        <f>SUM('Universal Health Care'!HEALTH_REFUNDED)</f>
        <v>0</v>
      </c>
      <c r="AA48" s="1">
        <f>SUM('Universal Health Care'!UNALLOC_CALLED)</f>
        <v>0</v>
      </c>
      <c r="AB48" s="9">
        <f>SUM('Universal Health Care'!UNALLOC_REFUNDED)</f>
        <v>0</v>
      </c>
    </row>
    <row r="49" spans="1:28" ht="6.9" customHeight="1" thickBot="1">
      <c r="A49" s="8"/>
      <c r="B49" s="5"/>
      <c r="C49" s="5"/>
      <c r="D49" s="5"/>
      <c r="E49" s="5"/>
      <c r="F49" s="5"/>
      <c r="G49" s="5"/>
      <c r="H49" s="5"/>
      <c r="I49" s="5"/>
      <c r="J49" s="5"/>
      <c r="K49" s="5"/>
      <c r="L49" s="5"/>
      <c r="M49" s="5"/>
      <c r="N49" s="8"/>
      <c r="O49" s="11"/>
      <c r="R49" s="8"/>
      <c r="S49" s="5"/>
      <c r="T49" s="5"/>
      <c r="U49" s="5"/>
      <c r="V49" s="5"/>
      <c r="W49" s="5"/>
      <c r="X49" s="5"/>
      <c r="Y49" s="5"/>
      <c r="Z49" s="5"/>
      <c r="AA49" s="5"/>
      <c r="AB49" s="11"/>
    </row>
    <row r="50" spans="1:28" ht="15" thickBot="1">
      <c r="A50" s="31" t="s">
        <v>340</v>
      </c>
      <c r="B50" s="30"/>
      <c r="C50" s="30"/>
      <c r="D50" s="30"/>
      <c r="E50" s="30"/>
      <c r="F50" s="30"/>
      <c r="G50" s="30"/>
      <c r="H50" s="30">
        <f>SUM(CL_LIFE)</f>
        <v>67750099.490739271</v>
      </c>
      <c r="I50" s="30">
        <f>SUM(CL_ALLOCATED)</f>
        <v>809087393.31771815</v>
      </c>
      <c r="J50" s="30">
        <f>SUM(CL_HEALTH)</f>
        <v>211477976.05477977</v>
      </c>
      <c r="K50" s="30">
        <f>SUM(CL_UNALLOCATED)</f>
        <v>0</v>
      </c>
      <c r="L50" s="30">
        <f>SUM(CL_LTC)</f>
        <v>0</v>
      </c>
      <c r="M50" s="30">
        <f>SUM(CL_TOTAL)</f>
        <v>1088315468.8632371</v>
      </c>
      <c r="N50" s="33">
        <f>SUM(CL_TOTAL_PREV)</f>
        <v>1090000294.9032376</v>
      </c>
      <c r="O50" s="32">
        <f>SUM(CL_CHANGE)</f>
        <v>-1684826.0400000131</v>
      </c>
      <c r="R50" s="33">
        <f>SUM(CL_LIFE_CALLED)</f>
        <v>669838592</v>
      </c>
      <c r="S50" s="30">
        <f>SUM(CL_LIFE_REFUNDED)</f>
        <v>6524219</v>
      </c>
      <c r="T50" s="30"/>
      <c r="U50" s="30">
        <f>SUM(CL_ALLOC_CALLED)</f>
        <v>217995343</v>
      </c>
      <c r="V50" s="30">
        <f>SUM(CL_ALLOC_REFUNDED)</f>
        <v>11521187</v>
      </c>
      <c r="W50" s="30"/>
      <c r="X50" s="30">
        <f>SUM(CL_HEALTH_CALLED)</f>
        <v>389866728</v>
      </c>
      <c r="Y50" s="30">
        <f>SUM(CL_HEALTH_REFUNDED)</f>
        <v>86008009</v>
      </c>
      <c r="Z50" s="30"/>
      <c r="AA50" s="30">
        <f>SUM(CL_UNALLOC_CALLED)</f>
        <v>0</v>
      </c>
      <c r="AB50" s="32">
        <f>SUM(CL_UNALLOC_REFUNDED)</f>
        <v>0</v>
      </c>
    </row>
    <row r="52" spans="1:28">
      <c r="A52" s="27" t="s">
        <v>341</v>
      </c>
      <c r="B52" s="26"/>
      <c r="C52" s="26"/>
      <c r="D52" s="26"/>
      <c r="E52" s="26"/>
      <c r="F52" s="26"/>
      <c r="G52" s="26"/>
      <c r="H52" s="26"/>
      <c r="I52" s="26"/>
      <c r="J52" s="26"/>
      <c r="K52" s="26"/>
      <c r="L52" s="26"/>
      <c r="M52" s="26"/>
      <c r="N52" s="29"/>
      <c r="O52" s="28"/>
      <c r="R52" s="29"/>
      <c r="S52" s="26"/>
      <c r="T52" s="26"/>
      <c r="U52" s="26"/>
      <c r="V52" s="26"/>
      <c r="W52" s="26"/>
      <c r="X52" s="26"/>
      <c r="Y52" s="26"/>
      <c r="Z52" s="26"/>
      <c r="AA52" s="26"/>
      <c r="AB52" s="28"/>
    </row>
    <row r="53" spans="1:28" ht="6.9" customHeight="1">
      <c r="A53" s="6"/>
      <c r="N53" s="6"/>
      <c r="O53" s="9"/>
      <c r="R53" s="6"/>
      <c r="AB53" s="9"/>
    </row>
    <row r="54" spans="1:28">
      <c r="A54" s="6" t="s">
        <v>342</v>
      </c>
      <c r="B54" s="1" t="s">
        <v>343</v>
      </c>
      <c r="C54" s="1" t="s">
        <v>208</v>
      </c>
      <c r="D54" s="1" t="s">
        <v>344</v>
      </c>
      <c r="E54" s="1" t="s">
        <v>345</v>
      </c>
      <c r="F54" s="1" t="s">
        <v>346</v>
      </c>
      <c r="G54" s="1" t="s">
        <v>347</v>
      </c>
      <c r="H54" s="1">
        <f>SUM('Alabama Life'!LIFE)</f>
        <v>2137779.3229980012</v>
      </c>
      <c r="I54" s="1">
        <f>SUM('Alabama Life'!ALLOCATED)</f>
        <v>1170473.7981022638</v>
      </c>
      <c r="J54" s="1">
        <f>SUM('Alabama Life'!HEALTH)</f>
        <v>10279.638899735133</v>
      </c>
      <c r="K54" s="1">
        <f>SUM('Alabama Life'!UNALLOCATED)</f>
        <v>0</v>
      </c>
      <c r="L54" s="1">
        <f>SUM('Alabama Life'!LTC)</f>
        <v>0</v>
      </c>
      <c r="M54" s="1">
        <f t="shared" ref="M54:M85" si="4">SUM(H54:L54)</f>
        <v>3318532.7600000002</v>
      </c>
      <c r="N54" s="6">
        <v>3318532.7600000002</v>
      </c>
      <c r="O54" s="9">
        <f t="shared" ref="O54:O85" si="5">+M54-N54</f>
        <v>0</v>
      </c>
      <c r="R54" s="6">
        <f>SUM('Alabama Life'!LIFE_CALLED)</f>
        <v>2800000</v>
      </c>
      <c r="S54" s="1">
        <f>SUM('Alabama Life'!LIFE_REFUNDED)</f>
        <v>0</v>
      </c>
      <c r="U54" s="1">
        <f>SUM('Alabama Life'!ALLOC_CALLED)</f>
        <v>568170</v>
      </c>
      <c r="V54" s="1">
        <f>SUM('Alabama Life'!ALLOC_REFUNDED)</f>
        <v>0</v>
      </c>
      <c r="X54" s="1">
        <f>SUM('Alabama Life'!HEALTH_CALLED)</f>
        <v>13000</v>
      </c>
      <c r="Y54" s="1">
        <f>SUM('Alabama Life'!HEALTH_REFUNDED)</f>
        <v>0</v>
      </c>
      <c r="AA54" s="1">
        <f>SUM('Alabama Life'!UNALLOC_CALLED)</f>
        <v>0</v>
      </c>
      <c r="AB54" s="9">
        <f>SUM('Alabama Life'!UNALLOC_REFUNDED)</f>
        <v>0</v>
      </c>
    </row>
    <row r="55" spans="1:28">
      <c r="A55" s="6" t="s">
        <v>348</v>
      </c>
      <c r="B55" s="1" t="s">
        <v>349</v>
      </c>
      <c r="C55" s="1" t="s">
        <v>286</v>
      </c>
      <c r="D55" s="1" t="s">
        <v>350</v>
      </c>
      <c r="E55" s="1" t="s">
        <v>351</v>
      </c>
      <c r="F55" s="1" t="s">
        <v>352</v>
      </c>
      <c r="G55" s="1" t="s">
        <v>353</v>
      </c>
      <c r="H55" s="1">
        <f>SUM('American Chambers'!LIFE)</f>
        <v>79567.167830055259</v>
      </c>
      <c r="I55" s="1">
        <f>SUM('American Chambers'!ALLOCATED)</f>
        <v>0</v>
      </c>
      <c r="J55" s="1">
        <f>SUM('American Chambers'!HEALTH)</f>
        <v>26352847.616249941</v>
      </c>
      <c r="K55" s="1">
        <f>SUM('American Chambers'!UNALLOCATED)</f>
        <v>0</v>
      </c>
      <c r="L55" s="1">
        <f>SUM('American Chambers'!LTC)</f>
        <v>0</v>
      </c>
      <c r="M55" s="1">
        <f t="shared" si="4"/>
        <v>26432414.784079995</v>
      </c>
      <c r="N55" s="6">
        <v>26432414.784079999</v>
      </c>
      <c r="O55" s="9">
        <f t="shared" si="5"/>
        <v>0</v>
      </c>
      <c r="R55" s="6">
        <f>SUM('American Chambers'!LIFE_CALLED)</f>
        <v>253143</v>
      </c>
      <c r="S55" s="1">
        <f>SUM('American Chambers'!LIFE_REFUNDED)</f>
        <v>4500</v>
      </c>
      <c r="U55" s="1">
        <f>SUM('American Chambers'!ALLOC_CALLED)</f>
        <v>0</v>
      </c>
      <c r="V55" s="1">
        <f>SUM('American Chambers'!ALLOC_REFUNDED)</f>
        <v>0</v>
      </c>
      <c r="X55" s="1">
        <f>SUM('American Chambers'!HEALTH_CALLED)</f>
        <v>58771774</v>
      </c>
      <c r="Y55" s="1">
        <f>SUM('American Chambers'!HEALTH_REFUNDED)</f>
        <v>16096567</v>
      </c>
      <c r="AA55" s="1">
        <f>SUM('American Chambers'!UNALLOC_CALLED)</f>
        <v>0</v>
      </c>
      <c r="AB55" s="9">
        <f>SUM('American Chambers'!UNALLOC_REFUNDED)</f>
        <v>0</v>
      </c>
    </row>
    <row r="56" spans="1:28">
      <c r="A56" s="6" t="s">
        <v>354</v>
      </c>
      <c r="B56" s="1" t="s">
        <v>355</v>
      </c>
      <c r="C56" s="1" t="s">
        <v>208</v>
      </c>
      <c r="D56" s="1" t="s">
        <v>344</v>
      </c>
      <c r="E56" s="1" t="s">
        <v>356</v>
      </c>
      <c r="F56" s="1" t="s">
        <v>357</v>
      </c>
      <c r="G56" s="1" t="s">
        <v>358</v>
      </c>
      <c r="H56" s="1">
        <f>SUM('American Educators'!LIFE)</f>
        <v>227596.37831170985</v>
      </c>
      <c r="I56" s="1">
        <f>SUM('American Educators'!ALLOCATED)</f>
        <v>4592238.8649955532</v>
      </c>
      <c r="J56" s="1">
        <f>SUM('American Educators'!HEALTH)</f>
        <v>109820.02669273682</v>
      </c>
      <c r="K56" s="1">
        <f>SUM('American Educators'!UNALLOCATED)</f>
        <v>0</v>
      </c>
      <c r="L56" s="1">
        <f>SUM('American Educators'!LTC)</f>
        <v>0</v>
      </c>
      <c r="M56" s="1">
        <f t="shared" si="4"/>
        <v>4929655.2699999996</v>
      </c>
      <c r="N56" s="6">
        <v>4929655.2699999996</v>
      </c>
      <c r="O56" s="9">
        <f t="shared" si="5"/>
        <v>0</v>
      </c>
      <c r="R56" s="6">
        <f>SUM('American Educators'!LIFE_CALLED)</f>
        <v>19024</v>
      </c>
      <c r="S56" s="1">
        <f>SUM('American Educators'!LIFE_REFUNDED)</f>
        <v>0</v>
      </c>
      <c r="U56" s="1">
        <f>SUM('American Educators'!ALLOC_CALLED)</f>
        <v>284983</v>
      </c>
      <c r="V56" s="1">
        <f>SUM('American Educators'!ALLOC_REFUNDED)</f>
        <v>1409.23</v>
      </c>
      <c r="X56" s="1">
        <f>SUM('American Educators'!HEALTH_CALLED)</f>
        <v>7000</v>
      </c>
      <c r="Y56" s="1">
        <f>SUM('American Educators'!HEALTH_REFUNDED)</f>
        <v>0</v>
      </c>
      <c r="AA56" s="1">
        <f>SUM('American Educators'!UNALLOC_CALLED)</f>
        <v>0</v>
      </c>
      <c r="AB56" s="9">
        <f>SUM('American Educators'!UNALLOC_REFUNDED)</f>
        <v>0</v>
      </c>
    </row>
    <row r="57" spans="1:28">
      <c r="A57" s="6" t="s">
        <v>359</v>
      </c>
      <c r="B57" s="1" t="s">
        <v>360</v>
      </c>
      <c r="C57" s="1" t="s">
        <v>198</v>
      </c>
      <c r="E57" s="1" t="s">
        <v>361</v>
      </c>
      <c r="F57" s="1" t="s">
        <v>362</v>
      </c>
      <c r="G57" s="1" t="s">
        <v>363</v>
      </c>
      <c r="H57" s="1">
        <f>SUM('American Integrity'!LIFE)</f>
        <v>0</v>
      </c>
      <c r="I57" s="1">
        <f>SUM('American Integrity'!ALLOCATED)</f>
        <v>0</v>
      </c>
      <c r="J57" s="1">
        <f>SUM('American Integrity'!HEALTH)</f>
        <v>34222634.49000001</v>
      </c>
      <c r="K57" s="1">
        <f>SUM('American Integrity'!UNALLOCATED)</f>
        <v>0</v>
      </c>
      <c r="L57" s="1">
        <f>SUM('American Integrity'!LTC)</f>
        <v>0</v>
      </c>
      <c r="M57" s="1">
        <f t="shared" si="4"/>
        <v>34222634.49000001</v>
      </c>
      <c r="N57" s="6">
        <v>34222634.49000001</v>
      </c>
      <c r="O57" s="9">
        <f t="shared" si="5"/>
        <v>0</v>
      </c>
      <c r="R57" s="6">
        <f>SUM('American Integrity'!LIFE_CALLED)</f>
        <v>9517</v>
      </c>
      <c r="S57" s="1">
        <f>SUM('American Integrity'!LIFE_REFUNDED)</f>
        <v>729780</v>
      </c>
      <c r="U57" s="1">
        <f>SUM('American Integrity'!ALLOC_CALLED)</f>
        <v>0</v>
      </c>
      <c r="V57" s="1">
        <f>SUM('American Integrity'!ALLOC_REFUNDED)</f>
        <v>0</v>
      </c>
      <c r="X57" s="1">
        <f>SUM('American Integrity'!HEALTH_CALLED)</f>
        <v>85880466.5</v>
      </c>
      <c r="Y57" s="1">
        <f>SUM('American Integrity'!HEALTH_REFUNDED)</f>
        <v>30818274</v>
      </c>
      <c r="AA57" s="1">
        <f>SUM('American Integrity'!UNALLOC_CALLED)</f>
        <v>0</v>
      </c>
      <c r="AB57" s="9">
        <f>SUM('American Integrity'!UNALLOC_REFUNDED)</f>
        <v>0</v>
      </c>
    </row>
    <row r="58" spans="1:28">
      <c r="A58" s="6" t="s">
        <v>364</v>
      </c>
      <c r="B58" s="1" t="s">
        <v>365</v>
      </c>
      <c r="C58" s="1" t="s">
        <v>208</v>
      </c>
      <c r="D58" s="1" t="s">
        <v>366</v>
      </c>
      <c r="E58" s="1" t="s">
        <v>367</v>
      </c>
      <c r="F58" s="1" t="s">
        <v>368</v>
      </c>
      <c r="G58" s="1" t="s">
        <v>369</v>
      </c>
      <c r="H58" s="1">
        <f>SUM('Amer Life Asr'!LIFE)</f>
        <v>95497.661041522748</v>
      </c>
      <c r="I58" s="1">
        <f>SUM('Amer Life Asr'!ALLOCATED)</f>
        <v>855117.8363727564</v>
      </c>
      <c r="J58" s="1">
        <f>SUM('Amer Life Asr'!HEALTH)</f>
        <v>4435326.012585721</v>
      </c>
      <c r="K58" s="1">
        <f>SUM('Amer Life Asr'!UNALLOCATED)</f>
        <v>0</v>
      </c>
      <c r="L58" s="1">
        <f>SUM('Amer Life Asr'!LTC)</f>
        <v>0</v>
      </c>
      <c r="M58" s="1">
        <f t="shared" si="4"/>
        <v>5385941.5099999998</v>
      </c>
      <c r="N58" s="6">
        <v>5385941.5099999998</v>
      </c>
      <c r="O58" s="9">
        <f t="shared" si="5"/>
        <v>0</v>
      </c>
      <c r="R58" s="6">
        <f>SUM('Amer Life Asr'!LIFE_CALLED)</f>
        <v>10971</v>
      </c>
      <c r="S58" s="1">
        <f>SUM('Amer Life Asr'!LIFE_REFUNDED)</f>
        <v>0</v>
      </c>
      <c r="U58" s="1">
        <f>SUM('Amer Life Asr'!ALLOC_CALLED)</f>
        <v>0</v>
      </c>
      <c r="V58" s="1">
        <f>SUM('Amer Life Asr'!ALLOC_REFUNDED)</f>
        <v>0</v>
      </c>
      <c r="X58" s="1">
        <f>SUM('Amer Life Asr'!HEALTH_CALLED)</f>
        <v>148029</v>
      </c>
      <c r="Y58" s="1">
        <f>SUM('Amer Life Asr'!HEALTH_REFUNDED)</f>
        <v>0</v>
      </c>
      <c r="AA58" s="1">
        <f>SUM('Amer Life Asr'!UNALLOC_CALLED)</f>
        <v>0</v>
      </c>
      <c r="AB58" s="9">
        <f>SUM('Amer Life Asr'!UNALLOC_REFUNDED)</f>
        <v>0</v>
      </c>
    </row>
    <row r="59" spans="1:28">
      <c r="A59" s="6" t="s">
        <v>370</v>
      </c>
      <c r="B59" s="1" t="s">
        <v>371</v>
      </c>
      <c r="C59" s="1" t="s">
        <v>290</v>
      </c>
      <c r="E59" s="1" t="s">
        <v>372</v>
      </c>
      <c r="G59" s="1" t="s">
        <v>373</v>
      </c>
      <c r="H59" s="1">
        <f>SUM('American Medical'!LIFE)</f>
        <v>0</v>
      </c>
      <c r="I59" s="1">
        <f>SUM('American Medical'!ALLOCATED)</f>
        <v>0</v>
      </c>
      <c r="J59" s="1">
        <f>SUM('American Medical'!HEALTH)</f>
        <v>440433.00922114414</v>
      </c>
      <c r="K59" s="1">
        <f>SUM('American Medical'!UNALLOCATED)</f>
        <v>0</v>
      </c>
      <c r="L59" s="1">
        <f>SUM('American Medical'!LTC)</f>
        <v>0</v>
      </c>
      <c r="M59" s="1">
        <f t="shared" si="4"/>
        <v>440433.00922114414</v>
      </c>
      <c r="N59" s="6">
        <v>472897.0092211442</v>
      </c>
      <c r="O59" s="9">
        <f t="shared" si="5"/>
        <v>-32464.000000000058</v>
      </c>
      <c r="R59" s="6">
        <f>SUM('American Medical'!LIFE_CALLED)</f>
        <v>0</v>
      </c>
      <c r="S59" s="1">
        <f>SUM('American Medical'!LIFE_REFUNDED)</f>
        <v>0</v>
      </c>
      <c r="U59" s="1">
        <f>SUM('American Medical'!ALLOC_CALLED)</f>
        <v>0</v>
      </c>
      <c r="V59" s="1">
        <f>SUM('American Medical'!ALLOC_REFUNDED)</f>
        <v>0</v>
      </c>
      <c r="X59" s="1">
        <f>SUM('American Medical'!HEALTH_CALLED)</f>
        <v>0</v>
      </c>
      <c r="Y59" s="1">
        <f>SUM('American Medical'!HEALTH_REFUNDED)</f>
        <v>0</v>
      </c>
      <c r="AA59" s="1">
        <f>SUM('American Medical'!UNALLOC_CALLED)</f>
        <v>0</v>
      </c>
      <c r="AB59" s="9">
        <f>SUM('American Medical'!UNALLOC_REFUNDED)</f>
        <v>0</v>
      </c>
    </row>
    <row r="60" spans="1:28">
      <c r="A60" s="6" t="s">
        <v>374</v>
      </c>
      <c r="B60" s="1" t="s">
        <v>375</v>
      </c>
      <c r="C60" s="1" t="s">
        <v>245</v>
      </c>
      <c r="D60" s="1" t="s">
        <v>376</v>
      </c>
      <c r="E60" s="1" t="s">
        <v>377</v>
      </c>
      <c r="F60" s="1" t="s">
        <v>377</v>
      </c>
      <c r="G60" s="1" t="s">
        <v>378</v>
      </c>
      <c r="H60" s="1">
        <f>SUM('Amer Std Life Acc'!LIFE)</f>
        <v>7621588.1753547508</v>
      </c>
      <c r="I60" s="1">
        <f>SUM('Amer Std Life Acc'!ALLOCATED)</f>
        <v>432420.10685980052</v>
      </c>
      <c r="J60" s="1">
        <f>SUM('Amer Std Life Acc'!HEALTH)</f>
        <v>422747.11778544862</v>
      </c>
      <c r="K60" s="1">
        <f>SUM('Amer Std Life Acc'!UNALLOCATED)</f>
        <v>0</v>
      </c>
      <c r="L60" s="1">
        <f>SUM('Amer Std Life Acc'!LTC)</f>
        <v>0</v>
      </c>
      <c r="M60" s="1">
        <f t="shared" si="4"/>
        <v>8476755.4000000004</v>
      </c>
      <c r="N60" s="6">
        <v>8476755.4000000004</v>
      </c>
      <c r="O60" s="9">
        <f t="shared" si="5"/>
        <v>0</v>
      </c>
      <c r="R60" s="6">
        <f>SUM('Amer Std Life Acc'!LIFE_CALLED)</f>
        <v>6139072</v>
      </c>
      <c r="S60" s="1">
        <f>SUM('Amer Std Life Acc'!LIFE_REFUNDED)</f>
        <v>5473823.1830000002</v>
      </c>
      <c r="U60" s="1">
        <f>SUM('Amer Std Life Acc'!ALLOC_CALLED)</f>
        <v>10343</v>
      </c>
      <c r="V60" s="1">
        <f>SUM('Amer Std Life Acc'!ALLOC_REFUNDED)</f>
        <v>111000</v>
      </c>
      <c r="X60" s="1">
        <f>SUM('Amer Std Life Acc'!HEALTH_CALLED)</f>
        <v>1280461</v>
      </c>
      <c r="Y60" s="1">
        <f>SUM('Amer Std Life Acc'!HEALTH_REFUNDED)</f>
        <v>660184.81700000004</v>
      </c>
      <c r="AA60" s="1">
        <f>SUM('Amer Std Life Acc'!UNALLOC_CALLED)</f>
        <v>0</v>
      </c>
      <c r="AB60" s="9">
        <f>SUM('Amer Std Life Acc'!UNALLOC_REFUNDED)</f>
        <v>0</v>
      </c>
    </row>
    <row r="61" spans="1:28">
      <c r="A61" s="6" t="s">
        <v>379</v>
      </c>
      <c r="B61" s="1" t="s">
        <v>380</v>
      </c>
      <c r="C61" s="1" t="s">
        <v>381</v>
      </c>
      <c r="D61" s="1" t="s">
        <v>382</v>
      </c>
      <c r="E61" s="1" t="s">
        <v>383</v>
      </c>
      <c r="F61" s="1" t="s">
        <v>352</v>
      </c>
      <c r="G61" s="1" t="s">
        <v>384</v>
      </c>
      <c r="H61" s="1">
        <f>SUM(AmerWstrn!LIFE)</f>
        <v>-693.9963165864574</v>
      </c>
      <c r="I61" s="1">
        <f>SUM(AmerWstrn!ALLOCATED)</f>
        <v>0</v>
      </c>
      <c r="J61" s="1">
        <f>SUM(AmerWstrn!HEALTH)</f>
        <v>-135358.01368341275</v>
      </c>
      <c r="K61" s="1">
        <f>SUM(AmerWstrn!UNALLOCATED)</f>
        <v>0</v>
      </c>
      <c r="L61" s="1">
        <f>SUM(AmerWstrn!LTC)</f>
        <v>0</v>
      </c>
      <c r="M61" s="1">
        <f t="shared" si="4"/>
        <v>-136052.00999999919</v>
      </c>
      <c r="N61" s="6">
        <v>-136052.00999999919</v>
      </c>
      <c r="O61" s="9">
        <f t="shared" si="5"/>
        <v>0</v>
      </c>
      <c r="R61" s="6">
        <f>SUM(AmerWstrn!LIFE_CALLED)</f>
        <v>0</v>
      </c>
      <c r="S61" s="1">
        <f>SUM(AmerWstrn!LIFE_REFUNDED)</f>
        <v>0</v>
      </c>
      <c r="U61" s="1">
        <f>SUM(AmerWstrn!ALLOC_CALLED)</f>
        <v>0</v>
      </c>
      <c r="V61" s="1">
        <f>SUM(AmerWstrn!ALLOC_REFUNDED)</f>
        <v>0</v>
      </c>
      <c r="X61" s="1">
        <f>SUM(AmerWstrn!HEALTH_CALLED)</f>
        <v>1804218</v>
      </c>
      <c r="Y61" s="1">
        <f>SUM(AmerWstrn!HEALTH_REFUNDED)</f>
        <v>1145622</v>
      </c>
      <c r="AA61" s="1">
        <f>SUM(AmerWstrn!UNALLOC_CALLED)</f>
        <v>0</v>
      </c>
      <c r="AB61" s="9">
        <f>SUM(AmerWstrn!UNALLOC_REFUNDED)</f>
        <v>0</v>
      </c>
    </row>
    <row r="62" spans="1:28">
      <c r="A62" s="6" t="s">
        <v>385</v>
      </c>
      <c r="B62" s="1" t="s">
        <v>386</v>
      </c>
      <c r="C62" s="1" t="s">
        <v>272</v>
      </c>
      <c r="D62" s="1" t="s">
        <v>387</v>
      </c>
      <c r="E62" s="1" t="s">
        <v>388</v>
      </c>
      <c r="F62" s="1" t="s">
        <v>389</v>
      </c>
      <c r="G62" s="1" t="s">
        <v>390</v>
      </c>
      <c r="H62" s="1">
        <f>SUM('AMS Life'!LIFE)</f>
        <v>1793887.6697184704</v>
      </c>
      <c r="I62" s="1">
        <f>SUM('AMS Life'!ALLOCATED)</f>
        <v>31550504.988168035</v>
      </c>
      <c r="J62" s="1">
        <f>SUM('AMS Life'!HEALTH)</f>
        <v>-118324.99788650456</v>
      </c>
      <c r="K62" s="1">
        <f>SUM('AMS Life'!UNALLOCATED)</f>
        <v>0</v>
      </c>
      <c r="L62" s="1">
        <f>SUM('AMS Life'!LTC)</f>
        <v>0</v>
      </c>
      <c r="M62" s="1">
        <f t="shared" si="4"/>
        <v>33226067.66</v>
      </c>
      <c r="N62" s="6">
        <v>33226067.66</v>
      </c>
      <c r="O62" s="9">
        <f t="shared" si="5"/>
        <v>0</v>
      </c>
      <c r="R62" s="6">
        <f>SUM('AMS Life'!LIFE_CALLED)</f>
        <v>4459142</v>
      </c>
      <c r="S62" s="1">
        <f>SUM('AMS Life'!LIFE_REFUNDED)</f>
        <v>3474861.5120000001</v>
      </c>
      <c r="U62" s="1">
        <f>SUM('AMS Life'!ALLOC_CALLED)</f>
        <v>65758257</v>
      </c>
      <c r="V62" s="1">
        <f>SUM('AMS Life'!ALLOC_REFUNDED)</f>
        <v>40390278.487999998</v>
      </c>
      <c r="X62" s="1">
        <f>SUM('AMS Life'!HEALTH_CALLED)</f>
        <v>1310907</v>
      </c>
      <c r="Y62" s="1">
        <f>SUM('AMS Life'!HEALTH_REFUNDED)</f>
        <v>1500000</v>
      </c>
      <c r="AA62" s="1">
        <f>SUM('AMS Life'!UNALLOC_CALLED)</f>
        <v>8000000</v>
      </c>
      <c r="AB62" s="9">
        <f>SUM('AMS Life'!UNALLOC_REFUNDED)</f>
        <v>2700000</v>
      </c>
    </row>
    <row r="63" spans="1:28">
      <c r="A63" s="6" t="s">
        <v>391</v>
      </c>
      <c r="B63" s="1" t="s">
        <v>392</v>
      </c>
      <c r="C63" s="1" t="s">
        <v>295</v>
      </c>
      <c r="D63" s="1" t="s">
        <v>393</v>
      </c>
      <c r="E63" s="1" t="s">
        <v>394</v>
      </c>
      <c r="F63" s="1" t="s">
        <v>395</v>
      </c>
      <c r="G63" s="1" t="s">
        <v>396</v>
      </c>
      <c r="H63" s="1">
        <f>SUM('Andrew Jackson'!LIFE)</f>
        <v>19903797.133650288</v>
      </c>
      <c r="I63" s="1">
        <f>SUM('Andrew Jackson'!ALLOCATED)</f>
        <v>5168842.4671326708</v>
      </c>
      <c r="J63" s="1">
        <f>SUM('Andrew Jackson'!HEALTH)</f>
        <v>74149.660417533494</v>
      </c>
      <c r="K63" s="1">
        <f>SUM('Andrew Jackson'!UNALLOCATED)</f>
        <v>0</v>
      </c>
      <c r="L63" s="1">
        <f>SUM('Andrew Jackson'!LTC)</f>
        <v>0</v>
      </c>
      <c r="M63" s="1">
        <f t="shared" si="4"/>
        <v>25146789.261200495</v>
      </c>
      <c r="N63" s="6">
        <v>25146789.261200488</v>
      </c>
      <c r="O63" s="9">
        <f t="shared" si="5"/>
        <v>0</v>
      </c>
      <c r="R63" s="6">
        <f>SUM('Andrew Jackson'!LIFE_CALLED)</f>
        <v>28735867</v>
      </c>
      <c r="S63" s="1">
        <f>SUM('Andrew Jackson'!LIFE_REFUNDED)</f>
        <v>280000</v>
      </c>
      <c r="U63" s="1">
        <f>SUM('Andrew Jackson'!ALLOC_CALLED)</f>
        <v>10977686</v>
      </c>
      <c r="V63" s="1">
        <f>SUM('Andrew Jackson'!ALLOC_REFUNDED)</f>
        <v>50403.45</v>
      </c>
      <c r="X63" s="1">
        <f>SUM('Andrew Jackson'!HEALTH_CALLED)</f>
        <v>0</v>
      </c>
      <c r="Y63" s="1">
        <f>SUM('Andrew Jackson'!HEALTH_REFUNDED)</f>
        <v>0</v>
      </c>
      <c r="AA63" s="1">
        <f>SUM('Andrew Jackson'!UNALLOC_CALLED)</f>
        <v>3735647</v>
      </c>
      <c r="AB63" s="9">
        <f>SUM('Andrew Jackson'!UNALLOC_REFUNDED)</f>
        <v>0</v>
      </c>
    </row>
    <row r="64" spans="1:28">
      <c r="A64" s="6" t="s">
        <v>397</v>
      </c>
      <c r="B64" s="1" t="s">
        <v>398</v>
      </c>
      <c r="C64" s="1" t="s">
        <v>229</v>
      </c>
      <c r="D64" s="1" t="s">
        <v>399</v>
      </c>
      <c r="E64" s="1" t="s">
        <v>400</v>
      </c>
      <c r="F64" s="1" t="s">
        <v>401</v>
      </c>
      <c r="G64" s="1" t="s">
        <v>402</v>
      </c>
      <c r="H64" s="1">
        <f>SUM('Bankers Commercial'!LIFE)</f>
        <v>-1026.9908479711739</v>
      </c>
      <c r="I64" s="1">
        <f>SUM('Bankers Commercial'!ALLOCATED)</f>
        <v>0</v>
      </c>
      <c r="J64" s="1">
        <f>SUM('Bankers Commercial'!HEALTH)</f>
        <v>13837680.63084797</v>
      </c>
      <c r="K64" s="1">
        <f>SUM('Bankers Commercial'!UNALLOCATED)</f>
        <v>0</v>
      </c>
      <c r="L64" s="1">
        <f>SUM('Bankers Commercial'!LTC)</f>
        <v>0</v>
      </c>
      <c r="M64" s="1">
        <f t="shared" si="4"/>
        <v>13836653.639999999</v>
      </c>
      <c r="N64" s="6">
        <v>13836653.640000001</v>
      </c>
      <c r="O64" s="9">
        <f t="shared" si="5"/>
        <v>0</v>
      </c>
      <c r="R64" s="6">
        <f>SUM('Bankers Commercial'!LIFE_CALLED)</f>
        <v>70714</v>
      </c>
      <c r="S64" s="1">
        <f>SUM('Bankers Commercial'!LIFE_REFUNDED)</f>
        <v>16487.105000000003</v>
      </c>
      <c r="U64" s="1">
        <f>SUM('Bankers Commercial'!ALLOC_CALLED)</f>
        <v>0</v>
      </c>
      <c r="V64" s="1">
        <f>SUM('Bankers Commercial'!ALLOC_REFUNDED)</f>
        <v>0</v>
      </c>
      <c r="X64" s="1">
        <f>SUM('Bankers Commercial'!HEALTH_CALLED)</f>
        <v>17454254</v>
      </c>
      <c r="Y64" s="1">
        <f>SUM('Bankers Commercial'!HEALTH_REFUNDED)</f>
        <v>2830939.895</v>
      </c>
      <c r="AA64" s="1">
        <f>SUM('Bankers Commercial'!UNALLOC_CALLED)</f>
        <v>0</v>
      </c>
      <c r="AB64" s="9">
        <f>SUM('Bankers Commercial'!UNALLOC_REFUNDED)</f>
        <v>0</v>
      </c>
    </row>
    <row r="65" spans="1:28">
      <c r="A65" s="6" t="s">
        <v>403</v>
      </c>
      <c r="B65" s="1" t="s">
        <v>404</v>
      </c>
      <c r="C65" s="1" t="s">
        <v>332</v>
      </c>
      <c r="D65" s="1" t="s">
        <v>405</v>
      </c>
      <c r="E65" s="1" t="s">
        <v>406</v>
      </c>
      <c r="F65" s="1" t="s">
        <v>352</v>
      </c>
      <c r="G65" s="1" t="s">
        <v>407</v>
      </c>
      <c r="H65" s="1">
        <f>SUM(Benicorp!LIFE)</f>
        <v>12197.93518345054</v>
      </c>
      <c r="I65" s="1">
        <f>SUM(Benicorp!ALLOCATED)</f>
        <v>0</v>
      </c>
      <c r="J65" s="1">
        <f>SUM(Benicorp!HEALTH)</f>
        <v>26435130.35580549</v>
      </c>
      <c r="K65" s="1">
        <f>SUM(Benicorp!UNALLOCATED)</f>
        <v>0</v>
      </c>
      <c r="L65" s="1">
        <f>SUM(Benicorp!LTC)</f>
        <v>0</v>
      </c>
      <c r="M65" s="1">
        <f t="shared" si="4"/>
        <v>26447328.290988941</v>
      </c>
      <c r="N65" s="6">
        <v>26447328.290988941</v>
      </c>
      <c r="O65" s="9">
        <f t="shared" si="5"/>
        <v>0</v>
      </c>
      <c r="R65" s="6">
        <f>SUM(Benicorp!LIFE_CALLED)</f>
        <v>0</v>
      </c>
      <c r="S65" s="1">
        <f>SUM(Benicorp!LIFE_REFUNDED)</f>
        <v>0</v>
      </c>
      <c r="U65" s="1">
        <f>SUM(Benicorp!ALLOC_CALLED)</f>
        <v>0</v>
      </c>
      <c r="V65" s="1">
        <f>SUM(Benicorp!ALLOC_REFUNDED)</f>
        <v>0</v>
      </c>
      <c r="X65" s="1">
        <f>SUM(Benicorp!HEALTH_CALLED)</f>
        <v>38791852</v>
      </c>
      <c r="Y65" s="1">
        <f>SUM(Benicorp!HEALTH_REFUNDED)</f>
        <v>0</v>
      </c>
      <c r="AA65" s="1">
        <f>SUM(Benicorp!UNALLOC_CALLED)</f>
        <v>0</v>
      </c>
      <c r="AB65" s="9">
        <f>SUM(Benicorp!UNALLOC_REFUNDED)</f>
        <v>0</v>
      </c>
    </row>
    <row r="66" spans="1:28">
      <c r="A66" s="6" t="s">
        <v>408</v>
      </c>
      <c r="B66" s="1" t="s">
        <v>409</v>
      </c>
      <c r="C66" s="1" t="s">
        <v>410</v>
      </c>
      <c r="D66" s="1" t="s">
        <v>411</v>
      </c>
      <c r="E66" s="1" t="s">
        <v>412</v>
      </c>
      <c r="F66" s="1" t="s">
        <v>413</v>
      </c>
      <c r="G66" s="1" t="s">
        <v>414</v>
      </c>
      <c r="H66" s="1">
        <f>SUM(Centennial!LIFE)</f>
        <v>15763</v>
      </c>
      <c r="I66" s="1">
        <f>SUM(Centennial!ALLOCATED)</f>
        <v>0</v>
      </c>
      <c r="J66" s="1">
        <f>SUM(Centennial!HEALTH)</f>
        <v>-196404.04872965094</v>
      </c>
      <c r="K66" s="1">
        <f>SUM(Centennial!UNALLOCATED)</f>
        <v>0</v>
      </c>
      <c r="L66" s="1">
        <f>SUM(Centennial!LTC)</f>
        <v>0</v>
      </c>
      <c r="M66" s="1">
        <f t="shared" si="4"/>
        <v>-180641.04872965094</v>
      </c>
      <c r="N66" s="6">
        <v>-180641.048729651</v>
      </c>
      <c r="O66" s="9">
        <f t="shared" si="5"/>
        <v>0</v>
      </c>
      <c r="R66" s="6">
        <f>SUM(Centennial!LIFE_CALLED)</f>
        <v>793564</v>
      </c>
      <c r="S66" s="1">
        <f>SUM(Centennial!LIFE_REFUNDED)</f>
        <v>687271</v>
      </c>
      <c r="U66" s="1">
        <f>SUM(Centennial!ALLOC_CALLED)</f>
        <v>100000</v>
      </c>
      <c r="V66" s="1">
        <f>SUM(Centennial!ALLOC_REFUNDED)</f>
        <v>50000</v>
      </c>
      <c r="X66" s="1">
        <f>SUM(Centennial!HEALTH_CALLED)</f>
        <v>19664517</v>
      </c>
      <c r="Y66" s="1">
        <f>SUM(Centennial!HEALTH_REFUNDED)</f>
        <v>13362131</v>
      </c>
      <c r="AA66" s="1">
        <f>SUM(Centennial!UNALLOC_CALLED)</f>
        <v>0</v>
      </c>
      <c r="AB66" s="9">
        <f>SUM(Centennial!UNALLOC_REFUNDED)</f>
        <v>0</v>
      </c>
    </row>
    <row r="67" spans="1:28">
      <c r="A67" s="6" t="s">
        <v>415</v>
      </c>
      <c r="B67" s="1" t="s">
        <v>416</v>
      </c>
      <c r="C67" s="1" t="s">
        <v>417</v>
      </c>
      <c r="D67" s="1" t="s">
        <v>418</v>
      </c>
      <c r="E67" s="1" t="s">
        <v>419</v>
      </c>
      <c r="F67" s="1" t="s">
        <v>420</v>
      </c>
      <c r="G67" s="1" t="s">
        <v>421</v>
      </c>
      <c r="H67" s="1">
        <f>SUM('Coastal States'!LIFE)</f>
        <v>48630.912068676385</v>
      </c>
      <c r="I67" s="1">
        <f>SUM('Coastal States'!ALLOCATED)</f>
        <v>16276482.967931326</v>
      </c>
      <c r="J67" s="1">
        <f>SUM('Coastal States'!HEALTH)</f>
        <v>0</v>
      </c>
      <c r="K67" s="1">
        <f>SUM('Coastal States'!UNALLOCATED)</f>
        <v>0</v>
      </c>
      <c r="L67" s="1">
        <f>SUM('Coastal States'!LTC)</f>
        <v>0</v>
      </c>
      <c r="M67" s="1">
        <f t="shared" si="4"/>
        <v>16325113.880000003</v>
      </c>
      <c r="N67" s="6">
        <v>16325113.880000003</v>
      </c>
      <c r="O67" s="9">
        <f t="shared" si="5"/>
        <v>0</v>
      </c>
      <c r="R67" s="6">
        <f>SUM('Coastal States'!LIFE_CALLED)</f>
        <v>340667</v>
      </c>
      <c r="S67" s="1">
        <f>SUM('Coastal States'!LIFE_REFUNDED)</f>
        <v>49490.362081562751</v>
      </c>
      <c r="U67" s="1">
        <f>SUM('Coastal States'!ALLOC_CALLED)</f>
        <v>17248265</v>
      </c>
      <c r="V67" s="1">
        <f>SUM('Coastal States'!ALLOC_REFUNDED)</f>
        <v>1038487.1079184372</v>
      </c>
      <c r="X67" s="1">
        <f>SUM('Coastal States'!HEALTH_CALLED)</f>
        <v>0</v>
      </c>
      <c r="Y67" s="1">
        <f>SUM('Coastal States'!HEALTH_REFUNDED)</f>
        <v>0</v>
      </c>
      <c r="AA67" s="1">
        <f>SUM('Coastal States'!UNALLOC_CALLED)</f>
        <v>0</v>
      </c>
      <c r="AB67" s="9">
        <f>SUM('Coastal States'!UNALLOC_REFUNDED)</f>
        <v>0</v>
      </c>
    </row>
    <row r="68" spans="1:28">
      <c r="A68" s="6" t="s">
        <v>422</v>
      </c>
      <c r="B68" s="1" t="s">
        <v>423</v>
      </c>
      <c r="C68" s="1" t="s">
        <v>424</v>
      </c>
      <c r="D68" s="1" t="s">
        <v>425</v>
      </c>
      <c r="E68" s="1" t="s">
        <v>425</v>
      </c>
      <c r="F68" s="1" t="s">
        <v>426</v>
      </c>
      <c r="G68" s="1" t="s">
        <v>427</v>
      </c>
      <c r="H68" s="1">
        <f>SUM('Confed Life (CLIC)'!LIFE)</f>
        <v>-1213.1284319363447</v>
      </c>
      <c r="I68" s="1">
        <f>SUM('Confed Life (CLIC)'!ALLOCATED)</f>
        <v>-2954.8541946554742</v>
      </c>
      <c r="J68" s="1">
        <f>SUM('Confed Life (CLIC)'!HEALTH)</f>
        <v>-1.3039194318268192E-2</v>
      </c>
      <c r="K68" s="1">
        <f>SUM('Confed Life (CLIC)'!UNALLOCATED)</f>
        <v>-12459.080375238889</v>
      </c>
      <c r="L68" s="1">
        <f>SUM('Confed Life (CLIC)'!LTC)</f>
        <v>0</v>
      </c>
      <c r="M68" s="1">
        <f t="shared" si="4"/>
        <v>-16627.076041025026</v>
      </c>
      <c r="N68" s="6">
        <v>-16627.076041025026</v>
      </c>
      <c r="O68" s="9">
        <f t="shared" si="5"/>
        <v>0</v>
      </c>
      <c r="R68" s="6">
        <f>SUM('Confed Life (CLIC)'!LIFE_CALLED)</f>
        <v>11306785</v>
      </c>
      <c r="S68" s="1">
        <f>SUM('Confed Life (CLIC)'!LIFE_REFUNDED)</f>
        <v>10875478</v>
      </c>
      <c r="U68" s="1">
        <f>SUM('Confed Life (CLIC)'!ALLOC_CALLED)</f>
        <v>44055596</v>
      </c>
      <c r="V68" s="1">
        <f>SUM('Confed Life (CLIC)'!ALLOC_REFUNDED)</f>
        <v>26201957.009999998</v>
      </c>
      <c r="X68" s="1">
        <f>SUM('Confed Life (CLIC)'!HEALTH_CALLED)</f>
        <v>895082</v>
      </c>
      <c r="Y68" s="1">
        <f>SUM('Confed Life (CLIC)'!HEALTH_REFUNDED)</f>
        <v>960837</v>
      </c>
      <c r="AA68" s="1">
        <f>SUM('Confed Life (CLIC)'!UNALLOC_CALLED)</f>
        <v>108553958</v>
      </c>
      <c r="AB68" s="9">
        <f>SUM('Confed Life (CLIC)'!UNALLOC_REFUNDED)</f>
        <v>75903888.789999992</v>
      </c>
    </row>
    <row r="69" spans="1:28">
      <c r="A69" s="6" t="s">
        <v>428</v>
      </c>
      <c r="B69" s="1" t="s">
        <v>429</v>
      </c>
      <c r="C69" s="1" t="s">
        <v>332</v>
      </c>
      <c r="D69" s="1" t="s">
        <v>344</v>
      </c>
      <c r="E69" s="1" t="s">
        <v>430</v>
      </c>
      <c r="F69" s="1" t="s">
        <v>357</v>
      </c>
      <c r="G69" s="1" t="s">
        <v>431</v>
      </c>
      <c r="H69" s="1">
        <f>SUM('Consolidated National'!LIFE)</f>
        <v>8707270.0434274822</v>
      </c>
      <c r="I69" s="1">
        <f>SUM('Consolidated National'!ALLOCATED)</f>
        <v>151402.52384007059</v>
      </c>
      <c r="J69" s="1">
        <f>SUM('Consolidated National'!HEALTH)</f>
        <v>24545.817860651736</v>
      </c>
      <c r="K69" s="1">
        <f>SUM('Consolidated National'!UNALLOCATED)</f>
        <v>0</v>
      </c>
      <c r="L69" s="1">
        <f>SUM('Consolidated National'!LTC)</f>
        <v>0</v>
      </c>
      <c r="M69" s="1">
        <f t="shared" si="4"/>
        <v>8883218.3851282038</v>
      </c>
      <c r="N69" s="6">
        <v>8883218.3851282019</v>
      </c>
      <c r="O69" s="9">
        <f t="shared" si="5"/>
        <v>0</v>
      </c>
      <c r="R69" s="6">
        <f>SUM('Consolidated National'!LIFE_CALLED)</f>
        <v>11271909</v>
      </c>
      <c r="S69" s="1">
        <f>SUM('Consolidated National'!LIFE_REFUNDED)</f>
        <v>1041272</v>
      </c>
      <c r="U69" s="1">
        <f>SUM('Consolidated National'!ALLOC_CALLED)</f>
        <v>1401485</v>
      </c>
      <c r="V69" s="1">
        <f>SUM('Consolidated National'!ALLOC_REFUNDED)</f>
        <v>0</v>
      </c>
      <c r="X69" s="1">
        <f>SUM('Consolidated National'!HEALTH_CALLED)</f>
        <v>122000</v>
      </c>
      <c r="Y69" s="1">
        <f>SUM('Consolidated National'!HEALTH_REFUNDED)</f>
        <v>0</v>
      </c>
      <c r="AA69" s="1">
        <f>SUM('Consolidated National'!UNALLOC_CALLED)</f>
        <v>0</v>
      </c>
      <c r="AB69" s="9">
        <f>SUM('Consolidated National'!UNALLOC_REFUNDED)</f>
        <v>0</v>
      </c>
    </row>
    <row r="70" spans="1:28">
      <c r="A70" s="6" t="s">
        <v>105</v>
      </c>
      <c r="B70" s="1" t="s">
        <v>432</v>
      </c>
      <c r="C70" s="1" t="s">
        <v>424</v>
      </c>
      <c r="D70" s="1" t="s">
        <v>433</v>
      </c>
      <c r="E70" s="1" t="s">
        <v>434</v>
      </c>
      <c r="G70" s="1" t="s">
        <v>435</v>
      </c>
      <c r="H70" s="1">
        <f>SUM('Consumers Mutual'!LIFE)</f>
        <v>0</v>
      </c>
      <c r="I70" s="1">
        <f>SUM('Consumers Mutual'!ALLOCATED)</f>
        <v>0</v>
      </c>
      <c r="J70" s="1">
        <f>SUM('Consumers Mutual'!HEALTH)</f>
        <v>5569399</v>
      </c>
      <c r="K70" s="1">
        <f>SUM('Consumers Mutual'!UNALLOCATED)</f>
        <v>0</v>
      </c>
      <c r="L70" s="1">
        <f>SUM('Consumers Mutual'!LTC)</f>
        <v>0</v>
      </c>
      <c r="M70" s="1">
        <f t="shared" si="4"/>
        <v>5569399</v>
      </c>
      <c r="N70" s="6">
        <v>5569399</v>
      </c>
      <c r="O70" s="9">
        <f t="shared" si="5"/>
        <v>0</v>
      </c>
      <c r="R70" s="6">
        <f>SUM('Consumers Mutual'!LIFE_CALLED)</f>
        <v>0</v>
      </c>
      <c r="S70" s="1">
        <f>SUM('Consumers Mutual'!LIFE_REFUNDED)</f>
        <v>0</v>
      </c>
      <c r="U70" s="1">
        <f>SUM('Consumers Mutual'!ALLOC_CALLED)</f>
        <v>0</v>
      </c>
      <c r="V70" s="1">
        <f>SUM('Consumers Mutual'!ALLOC_REFUNDED)</f>
        <v>0</v>
      </c>
      <c r="X70" s="1">
        <f>SUM('Consumers Mutual'!HEALTH_CALLED)</f>
        <v>10800000</v>
      </c>
      <c r="Y70" s="1">
        <f>SUM('Consumers Mutual'!HEALTH_REFUNDED)</f>
        <v>4998893</v>
      </c>
      <c r="AA70" s="1">
        <f>SUM('Consumers Mutual'!UNALLOC_CALLED)</f>
        <v>0</v>
      </c>
      <c r="AB70" s="9">
        <f>SUM('Consumers Mutual'!UNALLOC_REFUNDED)</f>
        <v>0</v>
      </c>
    </row>
    <row r="71" spans="1:28">
      <c r="A71" s="6" t="s">
        <v>436</v>
      </c>
      <c r="B71" s="1" t="s">
        <v>437</v>
      </c>
      <c r="C71" s="1" t="s">
        <v>221</v>
      </c>
      <c r="D71" s="1" t="s">
        <v>438</v>
      </c>
      <c r="E71" s="1" t="s">
        <v>439</v>
      </c>
      <c r="F71" s="1" t="s">
        <v>440</v>
      </c>
      <c r="G71" s="1" t="s">
        <v>441</v>
      </c>
      <c r="H71" s="1">
        <f>SUM('Consumers United'!LIFE)</f>
        <v>1117757.2820758612</v>
      </c>
      <c r="I71" s="1">
        <f>SUM('Consumers United'!ALLOCATED)</f>
        <v>8414958.5289221276</v>
      </c>
      <c r="J71" s="1">
        <f>SUM('Consumers United'!HEALTH)</f>
        <v>5571815.9190020086</v>
      </c>
      <c r="K71" s="1">
        <f>SUM('Consumers United'!UNALLOCATED)</f>
        <v>0</v>
      </c>
      <c r="L71" s="1">
        <f>SUM('Consumers United'!LTC)</f>
        <v>0</v>
      </c>
      <c r="M71" s="1">
        <f t="shared" si="4"/>
        <v>15104531.729999997</v>
      </c>
      <c r="N71" s="6">
        <v>15104531.729999999</v>
      </c>
      <c r="O71" s="9">
        <f t="shared" si="5"/>
        <v>0</v>
      </c>
      <c r="R71" s="6">
        <f>SUM('Consumers United'!LIFE_CALLED)</f>
        <v>868884</v>
      </c>
      <c r="S71" s="1">
        <f>SUM('Consumers United'!LIFE_REFUNDED)</f>
        <v>258055.07010800001</v>
      </c>
      <c r="U71" s="1">
        <f>SUM('Consumers United'!ALLOC_CALLED)</f>
        <v>5279053</v>
      </c>
      <c r="V71" s="1">
        <f>SUM('Consumers United'!ALLOC_REFUNDED)</f>
        <v>275536.95542000001</v>
      </c>
      <c r="X71" s="1">
        <f>SUM('Consumers United'!HEALTH_CALLED)</f>
        <v>12212190</v>
      </c>
      <c r="Y71" s="1">
        <f>SUM('Consumers United'!HEALTH_REFUNDED)</f>
        <v>3611951.2544720001</v>
      </c>
      <c r="AA71" s="1">
        <f>SUM('Consumers United'!UNALLOC_CALLED)</f>
        <v>40</v>
      </c>
      <c r="AB71" s="9">
        <f>SUM('Consumers United'!UNALLOC_REFUNDED)</f>
        <v>4</v>
      </c>
    </row>
    <row r="72" spans="1:28">
      <c r="A72" s="6" t="s">
        <v>442</v>
      </c>
      <c r="B72" s="1" t="s">
        <v>443</v>
      </c>
      <c r="C72" s="1" t="s">
        <v>198</v>
      </c>
      <c r="D72" s="1" t="s">
        <v>444</v>
      </c>
      <c r="E72" s="1" t="s">
        <v>445</v>
      </c>
      <c r="F72" s="1" t="s">
        <v>446</v>
      </c>
      <c r="G72" s="1" t="s">
        <v>447</v>
      </c>
      <c r="H72" s="1">
        <f>SUM('Corporate Life'!LIFE)</f>
        <v>2485907.0505228303</v>
      </c>
      <c r="I72" s="1">
        <f>SUM('Corporate Life'!ALLOCATED)</f>
        <v>170712718.23676884</v>
      </c>
      <c r="J72" s="1">
        <f>SUM('Corporate Life'!HEALTH)</f>
        <v>389201.58535833366</v>
      </c>
      <c r="K72" s="1">
        <f>SUM('Corporate Life'!UNALLOCATED)</f>
        <v>0</v>
      </c>
      <c r="L72" s="1">
        <f>SUM('Corporate Life'!LTC)</f>
        <v>0</v>
      </c>
      <c r="M72" s="1">
        <f t="shared" si="4"/>
        <v>173587826.87265</v>
      </c>
      <c r="N72" s="6">
        <v>173587826.87265003</v>
      </c>
      <c r="O72" s="9">
        <f t="shared" si="5"/>
        <v>0</v>
      </c>
      <c r="R72" s="6">
        <f>SUM('Corporate Life'!LIFE_CALLED)</f>
        <v>94012513</v>
      </c>
      <c r="S72" s="1">
        <f>SUM('Corporate Life'!LIFE_REFUNDED)</f>
        <v>0</v>
      </c>
      <c r="U72" s="1">
        <f>SUM('Corporate Life'!ALLOC_CALLED)</f>
        <v>76061564</v>
      </c>
      <c r="V72" s="1">
        <f>SUM('Corporate Life'!ALLOC_REFUNDED)</f>
        <v>0</v>
      </c>
      <c r="X72" s="1">
        <f>SUM('Corporate Life'!HEALTH_CALLED)</f>
        <v>250000</v>
      </c>
      <c r="Y72" s="1">
        <f>SUM('Corporate Life'!HEALTH_REFUNDED)</f>
        <v>0</v>
      </c>
      <c r="AA72" s="1">
        <f>SUM('Corporate Life'!UNALLOC_CALLED)</f>
        <v>67153313</v>
      </c>
      <c r="AB72" s="9">
        <f>SUM('Corporate Life'!UNALLOC_REFUNDED)</f>
        <v>0</v>
      </c>
    </row>
    <row r="73" spans="1:28">
      <c r="A73" s="6" t="s">
        <v>448</v>
      </c>
      <c r="B73" s="1" t="s">
        <v>449</v>
      </c>
      <c r="C73" s="1" t="s">
        <v>272</v>
      </c>
      <c r="D73" s="1" t="s">
        <v>450</v>
      </c>
      <c r="E73" s="1" t="s">
        <v>451</v>
      </c>
      <c r="F73" s="1" t="s">
        <v>452</v>
      </c>
      <c r="G73" s="1" t="s">
        <v>453</v>
      </c>
      <c r="H73" s="1">
        <f>SUM('Diamond Benefits'!LIFE)</f>
        <v>0</v>
      </c>
      <c r="I73" s="1">
        <f>SUM('Diamond Benefits'!ALLOCATED)</f>
        <v>12093330.970000001</v>
      </c>
      <c r="J73" s="1">
        <f>SUM('Diamond Benefits'!HEALTH)</f>
        <v>0</v>
      </c>
      <c r="K73" s="1">
        <f>SUM('Diamond Benefits'!UNALLOCATED)</f>
        <v>0</v>
      </c>
      <c r="L73" s="1">
        <f>SUM('Diamond Benefits'!LTC)</f>
        <v>0</v>
      </c>
      <c r="M73" s="1">
        <f t="shared" si="4"/>
        <v>12093330.970000001</v>
      </c>
      <c r="N73" s="6">
        <v>12093330.970000001</v>
      </c>
      <c r="O73" s="9">
        <f t="shared" si="5"/>
        <v>0</v>
      </c>
      <c r="R73" s="6">
        <f>SUM('Diamond Benefits'!LIFE_CALLED)</f>
        <v>176802</v>
      </c>
      <c r="S73" s="1">
        <f>SUM('Diamond Benefits'!LIFE_REFUNDED)</f>
        <v>237.5558</v>
      </c>
      <c r="U73" s="1">
        <f>SUM('Diamond Benefits'!ALLOC_CALLED)</f>
        <v>5957495</v>
      </c>
      <c r="V73" s="1">
        <f>SUM('Diamond Benefits'!ALLOC_REFUNDED)</f>
        <v>1545000</v>
      </c>
      <c r="X73" s="1">
        <f>SUM('Diamond Benefits'!HEALTH_CALLED)</f>
        <v>12004070</v>
      </c>
      <c r="Y73" s="1">
        <f>SUM('Diamond Benefits'!HEALTH_REFUNDED)</f>
        <v>85843.444199999998</v>
      </c>
      <c r="AA73" s="1">
        <f>SUM('Diamond Benefits'!UNALLOC_CALLED)</f>
        <v>0</v>
      </c>
      <c r="AB73" s="9">
        <f>SUM('Diamond Benefits'!UNALLOC_REFUNDED)</f>
        <v>0</v>
      </c>
    </row>
    <row r="74" spans="1:28">
      <c r="A74" s="6" t="s">
        <v>454</v>
      </c>
      <c r="B74" s="1" t="s">
        <v>455</v>
      </c>
      <c r="C74" s="1" t="s">
        <v>198</v>
      </c>
      <c r="E74" s="1" t="s">
        <v>456</v>
      </c>
      <c r="F74" s="1" t="s">
        <v>457</v>
      </c>
      <c r="G74" s="1" t="s">
        <v>458</v>
      </c>
      <c r="H74" s="1">
        <f>SUM('EBL Life'!LIFE)</f>
        <v>11141434.614007073</v>
      </c>
      <c r="I74" s="1">
        <f>SUM('EBL Life'!ALLOCATED)</f>
        <v>3113637.2159929276</v>
      </c>
      <c r="J74" s="1">
        <f>SUM('EBL Life'!HEALTH)</f>
        <v>0</v>
      </c>
      <c r="K74" s="1">
        <f>SUM('EBL Life'!UNALLOCATED)</f>
        <v>0</v>
      </c>
      <c r="L74" s="1">
        <f>SUM('EBL Life'!LTC)</f>
        <v>0</v>
      </c>
      <c r="M74" s="1">
        <f t="shared" si="4"/>
        <v>14255071.83</v>
      </c>
      <c r="N74" s="6">
        <v>14255071.83</v>
      </c>
      <c r="O74" s="9">
        <f t="shared" si="5"/>
        <v>0</v>
      </c>
      <c r="R74" s="6">
        <f>SUM('EBL Life'!LIFE_CALLED)</f>
        <v>32000000</v>
      </c>
      <c r="S74" s="1">
        <f>SUM('EBL Life'!LIFE_REFUNDED)</f>
        <v>0</v>
      </c>
      <c r="U74" s="1">
        <f>SUM('EBL Life'!ALLOC_CALLED)</f>
        <v>0</v>
      </c>
      <c r="V74" s="1">
        <f>SUM('EBL Life'!ALLOC_REFUNDED)</f>
        <v>0</v>
      </c>
      <c r="X74" s="1">
        <f>SUM('EBL Life'!HEALTH_CALLED)</f>
        <v>0</v>
      </c>
      <c r="Y74" s="1">
        <f>SUM('EBL Life'!HEALTH_REFUNDED)</f>
        <v>0</v>
      </c>
      <c r="AA74" s="1">
        <f>SUM('EBL Life'!UNALLOC_CALLED)</f>
        <v>0</v>
      </c>
      <c r="AB74" s="9">
        <f>SUM('EBL Life'!UNALLOC_REFUNDED)</f>
        <v>0</v>
      </c>
    </row>
    <row r="75" spans="1:28">
      <c r="A75" s="6" t="s">
        <v>459</v>
      </c>
      <c r="B75" s="1" t="s">
        <v>460</v>
      </c>
      <c r="C75" s="1" t="s">
        <v>295</v>
      </c>
      <c r="D75" s="1" t="s">
        <v>296</v>
      </c>
      <c r="E75" s="1" t="s">
        <v>297</v>
      </c>
      <c r="F75" s="1" t="s">
        <v>298</v>
      </c>
      <c r="G75" s="1" t="s">
        <v>461</v>
      </c>
      <c r="H75" s="1">
        <f>SUM('Family Guaranty'!LIFE)</f>
        <v>19770463.759021532</v>
      </c>
      <c r="I75" s="1">
        <f>SUM('Family Guaranty'!ALLOCATED)</f>
        <v>0</v>
      </c>
      <c r="J75" s="1">
        <f>SUM('Family Guaranty'!HEALTH)</f>
        <v>0</v>
      </c>
      <c r="K75" s="1">
        <f>SUM('Family Guaranty'!UNALLOCATED)</f>
        <v>0</v>
      </c>
      <c r="L75" s="1">
        <f>SUM('Family Guaranty'!LTC)</f>
        <v>0</v>
      </c>
      <c r="M75" s="1">
        <f t="shared" si="4"/>
        <v>19770463.759021532</v>
      </c>
      <c r="N75" s="6">
        <v>19770463.759021532</v>
      </c>
      <c r="O75" s="9">
        <f t="shared" si="5"/>
        <v>0</v>
      </c>
      <c r="R75" s="6">
        <f>SUM('Family Guaranty'!LIFE_CALLED)</f>
        <v>13800320</v>
      </c>
      <c r="S75" s="1">
        <f>SUM('Family Guaranty'!LIFE_REFUNDED)</f>
        <v>0</v>
      </c>
      <c r="U75" s="1">
        <f>SUM('Family Guaranty'!ALLOC_CALLED)</f>
        <v>4950590</v>
      </c>
      <c r="V75" s="1">
        <f>SUM('Family Guaranty'!ALLOC_REFUNDED)</f>
        <v>0</v>
      </c>
      <c r="X75" s="1">
        <f>SUM('Family Guaranty'!HEALTH_CALLED)</f>
        <v>0</v>
      </c>
      <c r="Y75" s="1">
        <f>SUM('Family Guaranty'!HEALTH_REFUNDED)</f>
        <v>0</v>
      </c>
      <c r="AA75" s="1">
        <f>SUM('Family Guaranty'!UNALLOC_CALLED)</f>
        <v>1518800</v>
      </c>
      <c r="AB75" s="9">
        <f>SUM('Family Guaranty'!UNALLOC_REFUNDED)</f>
        <v>0</v>
      </c>
    </row>
    <row r="76" spans="1:28">
      <c r="A76" s="6" t="s">
        <v>462</v>
      </c>
      <c r="B76" s="1" t="s">
        <v>463</v>
      </c>
      <c r="C76" s="1" t="s">
        <v>245</v>
      </c>
      <c r="D76" s="1" t="s">
        <v>464</v>
      </c>
      <c r="E76" s="1" t="s">
        <v>465</v>
      </c>
      <c r="F76" s="1" t="s">
        <v>466</v>
      </c>
      <c r="G76" s="1" t="s">
        <v>467</v>
      </c>
      <c r="H76" s="1">
        <f>SUM('Farmers &amp; Ranchers'!LIFE)</f>
        <v>4721553.5146318031</v>
      </c>
      <c r="I76" s="1">
        <f>SUM('Farmers &amp; Ranchers'!ALLOCATED)</f>
        <v>4475123.8910564287</v>
      </c>
      <c r="J76" s="1">
        <f>SUM('Farmers &amp; Ranchers'!HEALTH)</f>
        <v>0</v>
      </c>
      <c r="K76" s="1">
        <f>SUM('Farmers &amp; Ranchers'!UNALLOCATED)</f>
        <v>0</v>
      </c>
      <c r="L76" s="1">
        <f>SUM('Farmers &amp; Ranchers'!LTC)</f>
        <v>0</v>
      </c>
      <c r="M76" s="1">
        <f t="shared" si="4"/>
        <v>9196677.4056882318</v>
      </c>
      <c r="N76" s="6">
        <v>9196677.4056882318</v>
      </c>
      <c r="O76" s="9">
        <f t="shared" si="5"/>
        <v>0</v>
      </c>
      <c r="R76" s="6">
        <f>SUM('Farmers &amp; Ranchers'!LIFE_CALLED)</f>
        <v>7965000</v>
      </c>
      <c r="S76" s="1">
        <f>SUM('Farmers &amp; Ranchers'!LIFE_REFUNDED)</f>
        <v>3015000</v>
      </c>
      <c r="U76" s="1">
        <f>SUM('Farmers &amp; Ranchers'!ALLOC_CALLED)</f>
        <v>885000</v>
      </c>
      <c r="V76" s="1">
        <f>SUM('Farmers &amp; Ranchers'!ALLOC_REFUNDED)</f>
        <v>335000</v>
      </c>
      <c r="X76" s="1">
        <f>SUM('Farmers &amp; Ranchers'!HEALTH_CALLED)</f>
        <v>0</v>
      </c>
      <c r="Y76" s="1">
        <f>SUM('Farmers &amp; Ranchers'!HEALTH_REFUNDED)</f>
        <v>0</v>
      </c>
      <c r="AA76" s="1">
        <f>SUM('Farmers &amp; Ranchers'!UNALLOC_CALLED)</f>
        <v>0</v>
      </c>
      <c r="AB76" s="9">
        <f>SUM('Farmers &amp; Ranchers'!UNALLOC_REFUNDED)</f>
        <v>0</v>
      </c>
    </row>
    <row r="77" spans="1:28">
      <c r="A77" s="6" t="s">
        <v>468</v>
      </c>
      <c r="B77" s="1" t="s">
        <v>469</v>
      </c>
      <c r="C77" s="1" t="s">
        <v>470</v>
      </c>
      <c r="D77" s="1" t="s">
        <v>471</v>
      </c>
      <c r="E77" s="1" t="s">
        <v>472</v>
      </c>
      <c r="F77" s="1" t="s">
        <v>473</v>
      </c>
      <c r="G77" s="1" t="s">
        <v>474</v>
      </c>
      <c r="H77" s="1">
        <f>SUM('Fidelity Bankers'!LIFE)</f>
        <v>275941.47297185229</v>
      </c>
      <c r="I77" s="1">
        <f>SUM('Fidelity Bankers'!ALLOCATED)</f>
        <v>14164519.977028148</v>
      </c>
      <c r="J77" s="1">
        <f>SUM('Fidelity Bankers'!HEALTH)</f>
        <v>0</v>
      </c>
      <c r="K77" s="1">
        <f>SUM('Fidelity Bankers'!UNALLOCATED)</f>
        <v>0</v>
      </c>
      <c r="L77" s="1">
        <f>SUM('Fidelity Bankers'!LTC)</f>
        <v>0</v>
      </c>
      <c r="M77" s="1">
        <f t="shared" si="4"/>
        <v>14440461.450000001</v>
      </c>
      <c r="N77" s="6">
        <v>14440461.449999999</v>
      </c>
      <c r="O77" s="9">
        <f t="shared" si="5"/>
        <v>0</v>
      </c>
      <c r="R77" s="6">
        <f>SUM('Fidelity Bankers'!LIFE_CALLED)</f>
        <v>889508</v>
      </c>
      <c r="S77" s="1">
        <f>SUM('Fidelity Bankers'!LIFE_REFUNDED)</f>
        <v>30</v>
      </c>
      <c r="U77" s="1">
        <f>SUM('Fidelity Bankers'!ALLOC_CALLED)</f>
        <v>2648350</v>
      </c>
      <c r="V77" s="1">
        <f>SUM('Fidelity Bankers'!ALLOC_REFUNDED)</f>
        <v>20</v>
      </c>
      <c r="X77" s="1">
        <f>SUM('Fidelity Bankers'!HEALTH_CALLED)</f>
        <v>330078</v>
      </c>
      <c r="Y77" s="1">
        <f>SUM('Fidelity Bankers'!HEALTH_REFUNDED)</f>
        <v>0</v>
      </c>
      <c r="AA77" s="1">
        <f>SUM('Fidelity Bankers'!UNALLOC_CALLED)</f>
        <v>35000</v>
      </c>
      <c r="AB77" s="9">
        <f>SUM('Fidelity Bankers'!UNALLOC_REFUNDED)</f>
        <v>0</v>
      </c>
    </row>
    <row r="78" spans="1:28">
      <c r="A78" s="6" t="s">
        <v>475</v>
      </c>
      <c r="B78" s="1" t="s">
        <v>476</v>
      </c>
      <c r="C78" s="1" t="s">
        <v>208</v>
      </c>
      <c r="D78" s="1" t="s">
        <v>477</v>
      </c>
      <c r="E78" s="1" t="s">
        <v>478</v>
      </c>
      <c r="F78" s="1" t="s">
        <v>352</v>
      </c>
      <c r="G78" s="1" t="s">
        <v>479</v>
      </c>
      <c r="H78" s="1">
        <f>SUM('First Natl'!LIFE)</f>
        <v>0</v>
      </c>
      <c r="I78" s="1">
        <f>SUM('First Natl'!ALLOCATED)</f>
        <v>0</v>
      </c>
      <c r="J78" s="1">
        <f>SUM('First Natl'!HEALTH)</f>
        <v>226006.55000000005</v>
      </c>
      <c r="K78" s="1">
        <f>SUM('First Natl'!UNALLOCATED)</f>
        <v>0</v>
      </c>
      <c r="L78" s="1">
        <f>SUM('First Natl'!LTC)</f>
        <v>0</v>
      </c>
      <c r="M78" s="1">
        <f t="shared" si="4"/>
        <v>226006.55000000005</v>
      </c>
      <c r="N78" s="6">
        <v>226006.55000000005</v>
      </c>
      <c r="O78" s="9">
        <f t="shared" si="5"/>
        <v>0</v>
      </c>
      <c r="R78" s="6">
        <f>SUM('First Natl'!LIFE_CALLED)</f>
        <v>8231</v>
      </c>
      <c r="S78" s="1">
        <f>SUM('First Natl'!LIFE_REFUNDED)</f>
        <v>500000</v>
      </c>
      <c r="U78" s="1">
        <f>SUM('First Natl'!ALLOC_CALLED)</f>
        <v>0</v>
      </c>
      <c r="V78" s="1">
        <f>SUM('First Natl'!ALLOC_REFUNDED)</f>
        <v>1700000</v>
      </c>
      <c r="X78" s="1">
        <f>SUM('First Natl'!HEALTH_CALLED)</f>
        <v>192196</v>
      </c>
      <c r="Y78" s="1">
        <f>SUM('First Natl'!HEALTH_REFUNDED)</f>
        <v>116294</v>
      </c>
      <c r="AA78" s="1">
        <f>SUM('First Natl'!UNALLOC_CALLED)</f>
        <v>0</v>
      </c>
      <c r="AB78" s="9">
        <f>SUM('First Natl'!UNALLOC_REFUNDED)</f>
        <v>0</v>
      </c>
    </row>
    <row r="79" spans="1:28">
      <c r="A79" s="6" t="s">
        <v>480</v>
      </c>
      <c r="B79" s="1" t="s">
        <v>481</v>
      </c>
      <c r="C79" s="1" t="s">
        <v>482</v>
      </c>
      <c r="D79" s="1" t="s">
        <v>483</v>
      </c>
      <c r="E79" s="1" t="s">
        <v>484</v>
      </c>
      <c r="F79" s="1" t="s">
        <v>485</v>
      </c>
      <c r="G79" s="1" t="s">
        <v>486</v>
      </c>
      <c r="H79" s="1">
        <f>SUM('Franklin American'!LIFE)</f>
        <v>382375.32680352038</v>
      </c>
      <c r="I79" s="1">
        <f>SUM('Franklin American'!ALLOCATED)</f>
        <v>91252.470563604744</v>
      </c>
      <c r="J79" s="1">
        <f>SUM('Franklin American'!HEALTH)</f>
        <v>0</v>
      </c>
      <c r="K79" s="1">
        <f>SUM('Franklin American'!UNALLOCATED)</f>
        <v>0</v>
      </c>
      <c r="L79" s="1">
        <f>SUM('Franklin American'!LTC)</f>
        <v>0</v>
      </c>
      <c r="M79" s="1">
        <f t="shared" si="4"/>
        <v>473627.79736712511</v>
      </c>
      <c r="N79" s="6">
        <v>473627.79736712517</v>
      </c>
      <c r="O79" s="9">
        <f t="shared" si="5"/>
        <v>0</v>
      </c>
      <c r="R79" s="6">
        <f>SUM('Franklin American'!LIFE_CALLED)</f>
        <v>1242916</v>
      </c>
      <c r="S79" s="1">
        <f>SUM('Franklin American'!LIFE_REFUNDED)</f>
        <v>770166</v>
      </c>
      <c r="U79" s="1">
        <f>SUM('Franklin American'!ALLOC_CALLED)</f>
        <v>89000</v>
      </c>
      <c r="V79" s="1">
        <f>SUM('Franklin American'!ALLOC_REFUNDED)</f>
        <v>131036</v>
      </c>
      <c r="X79" s="1">
        <f>SUM('Franklin American'!HEALTH_CALLED)</f>
        <v>0</v>
      </c>
      <c r="Y79" s="1">
        <f>SUM('Franklin American'!HEALTH_REFUNDED)</f>
        <v>0</v>
      </c>
      <c r="AA79" s="1">
        <f>SUM('Franklin American'!UNALLOC_CALLED)</f>
        <v>0</v>
      </c>
      <c r="AB79" s="9">
        <f>SUM('Franklin American'!UNALLOC_REFUNDED)</f>
        <v>0</v>
      </c>
    </row>
    <row r="80" spans="1:28">
      <c r="A80" s="6" t="s">
        <v>487</v>
      </c>
      <c r="B80" s="1" t="s">
        <v>488</v>
      </c>
      <c r="C80" s="1" t="s">
        <v>295</v>
      </c>
      <c r="D80" s="1" t="s">
        <v>296</v>
      </c>
      <c r="E80" s="1" t="s">
        <v>297</v>
      </c>
      <c r="F80" s="1" t="s">
        <v>298</v>
      </c>
      <c r="G80" s="1" t="s">
        <v>489</v>
      </c>
      <c r="H80" s="1">
        <f>SUM('Franklin Protective'!LIFE)</f>
        <v>9546426.6887206286</v>
      </c>
      <c r="I80" s="1">
        <f>SUM('Franklin Protective'!ALLOCATED)</f>
        <v>3036995.4983911808</v>
      </c>
      <c r="J80" s="1">
        <f>SUM('Franklin Protective'!HEALTH)</f>
        <v>0</v>
      </c>
      <c r="K80" s="1">
        <f>SUM('Franklin Protective'!UNALLOCATED)</f>
        <v>0</v>
      </c>
      <c r="L80" s="1">
        <f>SUM('Franklin Protective'!LTC)</f>
        <v>0</v>
      </c>
      <c r="M80" s="1">
        <f t="shared" si="4"/>
        <v>12583422.18711181</v>
      </c>
      <c r="N80" s="6">
        <v>12583422.18711181</v>
      </c>
      <c r="O80" s="9">
        <f t="shared" si="5"/>
        <v>0</v>
      </c>
      <c r="R80" s="6">
        <f>SUM('Franklin Protective'!LIFE_CALLED)</f>
        <v>5884152</v>
      </c>
      <c r="S80" s="1">
        <f>SUM('Franklin Protective'!LIFE_REFUNDED)</f>
        <v>0</v>
      </c>
      <c r="U80" s="1">
        <f>SUM('Franklin Protective'!ALLOC_CALLED)</f>
        <v>2082992</v>
      </c>
      <c r="V80" s="1">
        <f>SUM('Franklin Protective'!ALLOC_REFUNDED)</f>
        <v>0</v>
      </c>
      <c r="X80" s="1">
        <f>SUM('Franklin Protective'!HEALTH_CALLED)</f>
        <v>52921</v>
      </c>
      <c r="Y80" s="1">
        <f>SUM('Franklin Protective'!HEALTH_REFUNDED)</f>
        <v>0</v>
      </c>
      <c r="AA80" s="1">
        <f>SUM('Franklin Protective'!UNALLOC_CALLED)</f>
        <v>0</v>
      </c>
      <c r="AB80" s="9">
        <f>SUM('Franklin Protective'!UNALLOC_REFUNDED)</f>
        <v>0</v>
      </c>
    </row>
    <row r="81" spans="1:28">
      <c r="A81" s="6" t="s">
        <v>490</v>
      </c>
      <c r="B81" s="1" t="s">
        <v>491</v>
      </c>
      <c r="C81" s="1" t="s">
        <v>492</v>
      </c>
      <c r="D81" s="1" t="s">
        <v>493</v>
      </c>
      <c r="E81" s="1" t="s">
        <v>494</v>
      </c>
      <c r="F81" s="1" t="s">
        <v>426</v>
      </c>
      <c r="G81" s="1" t="s">
        <v>495</v>
      </c>
      <c r="H81" s="1">
        <f>SUM('George Washington'!LIFE)</f>
        <v>1337189.0755588906</v>
      </c>
      <c r="I81" s="1">
        <f>SUM('George Washington'!ALLOCATED)</f>
        <v>77279.28077589313</v>
      </c>
      <c r="J81" s="1">
        <f>SUM('George Washington'!HEALTH)</f>
        <v>390514.74366521533</v>
      </c>
      <c r="K81" s="1">
        <f>SUM('George Washington'!UNALLOCATED)</f>
        <v>0</v>
      </c>
      <c r="L81" s="1">
        <f>SUM('George Washington'!LTC)</f>
        <v>0</v>
      </c>
      <c r="M81" s="1">
        <f t="shared" si="4"/>
        <v>1804983.0999999989</v>
      </c>
      <c r="N81" s="6">
        <v>1804983.0999999992</v>
      </c>
      <c r="O81" s="9">
        <f t="shared" si="5"/>
        <v>0</v>
      </c>
      <c r="R81" s="6">
        <f>SUM('George Washington'!LIFE_CALLED)</f>
        <v>5231876</v>
      </c>
      <c r="S81" s="1">
        <f>SUM('George Washington'!LIFE_REFUNDED)</f>
        <v>2288000.2824999997</v>
      </c>
      <c r="U81" s="1">
        <f>SUM('George Washington'!ALLOC_CALLED)</f>
        <v>214664</v>
      </c>
      <c r="V81" s="1">
        <f>SUM('George Washington'!ALLOC_REFUNDED)</f>
        <v>154649.16</v>
      </c>
      <c r="X81" s="1">
        <f>SUM('George Washington'!HEALTH_CALLED)</f>
        <v>13338293</v>
      </c>
      <c r="Y81" s="1">
        <f>SUM('George Washington'!HEALTH_REFUNDED)</f>
        <v>5683448.6675000004</v>
      </c>
      <c r="AA81" s="1">
        <f>SUM('George Washington'!UNALLOC_CALLED)</f>
        <v>0</v>
      </c>
      <c r="AB81" s="9">
        <f>SUM('George Washington'!UNALLOC_REFUNDED)</f>
        <v>0</v>
      </c>
    </row>
    <row r="82" spans="1:28">
      <c r="A82" s="6" t="s">
        <v>496</v>
      </c>
      <c r="B82" s="1" t="s">
        <v>497</v>
      </c>
      <c r="C82" s="1" t="s">
        <v>216</v>
      </c>
      <c r="D82" s="1" t="s">
        <v>498</v>
      </c>
      <c r="E82" s="1" t="s">
        <v>499</v>
      </c>
      <c r="G82" s="1" t="s">
        <v>500</v>
      </c>
      <c r="H82" s="1">
        <f>SUM('Golden State'!LIFE)</f>
        <v>1528853.5739999998</v>
      </c>
      <c r="I82" s="1">
        <f>SUM('Golden State'!ALLOCATED)</f>
        <v>12328.5</v>
      </c>
      <c r="J82" s="1">
        <f>SUM('Golden State'!HEALTH)</f>
        <v>59498.78</v>
      </c>
      <c r="K82" s="1">
        <f>SUM('Golden State'!UNALLOCATED)</f>
        <v>0</v>
      </c>
      <c r="L82" s="1">
        <f>SUM('Golden State'!LTC)</f>
        <v>0</v>
      </c>
      <c r="M82" s="1">
        <f t="shared" si="4"/>
        <v>1600680.8539999998</v>
      </c>
      <c r="N82" s="6">
        <v>1600680.8539999998</v>
      </c>
      <c r="O82" s="9">
        <f t="shared" si="5"/>
        <v>0</v>
      </c>
      <c r="R82" s="6">
        <f>SUM('Golden State'!LIFE_CALLED)</f>
        <v>500000</v>
      </c>
      <c r="S82" s="1">
        <f>SUM('Golden State'!LIFE_REFUNDED)</f>
        <v>0</v>
      </c>
      <c r="U82" s="1">
        <f>SUM('Golden State'!ALLOC_CALLED)</f>
        <v>100000</v>
      </c>
      <c r="V82" s="1">
        <f>SUM('Golden State'!ALLOC_REFUNDED)</f>
        <v>0</v>
      </c>
      <c r="X82" s="1">
        <f>SUM('Golden State'!HEALTH_CALLED)</f>
        <v>224926</v>
      </c>
      <c r="Y82" s="1">
        <f>SUM('Golden State'!HEALTH_REFUNDED)</f>
        <v>0</v>
      </c>
      <c r="AA82" s="1">
        <f>SUM('Golden State'!UNALLOC_CALLED)</f>
        <v>0</v>
      </c>
      <c r="AB82" s="9">
        <f>SUM('Golden State'!UNALLOC_REFUNDED)</f>
        <v>0</v>
      </c>
    </row>
    <row r="83" spans="1:28">
      <c r="A83" s="6" t="s">
        <v>501</v>
      </c>
      <c r="B83" s="1" t="s">
        <v>502</v>
      </c>
      <c r="C83" s="1" t="s">
        <v>337</v>
      </c>
      <c r="D83" s="1" t="s">
        <v>503</v>
      </c>
      <c r="E83" s="1" t="s">
        <v>504</v>
      </c>
      <c r="F83" s="1" t="s">
        <v>505</v>
      </c>
      <c r="G83" s="1" t="s">
        <v>506</v>
      </c>
      <c r="H83" s="1">
        <f>SUM('Guarantee Security'!LIFE)</f>
        <v>22786368.360161234</v>
      </c>
      <c r="I83" s="1">
        <f>SUM('Guarantee Security'!ALLOCATED)</f>
        <v>84132130.183011338</v>
      </c>
      <c r="J83" s="1">
        <f>SUM('Guarantee Security'!HEALTH)</f>
        <v>0</v>
      </c>
      <c r="K83" s="1">
        <f>SUM('Guarantee Security'!UNALLOCATED)</f>
        <v>0</v>
      </c>
      <c r="L83" s="1">
        <f>SUM('Guarantee Security'!LTC)</f>
        <v>0</v>
      </c>
      <c r="M83" s="1">
        <f t="shared" si="4"/>
        <v>106918498.54317257</v>
      </c>
      <c r="N83" s="6">
        <v>106918498.54317255</v>
      </c>
      <c r="O83" s="9">
        <f t="shared" si="5"/>
        <v>0</v>
      </c>
      <c r="R83" s="6">
        <f>SUM('Guarantee Security'!LIFE_CALLED)</f>
        <v>60125731</v>
      </c>
      <c r="S83" s="1">
        <f>SUM('Guarantee Security'!LIFE_REFUNDED)</f>
        <v>10014471.07</v>
      </c>
      <c r="U83" s="1">
        <f>SUM('Guarantee Security'!ALLOC_CALLED)</f>
        <v>175491859</v>
      </c>
      <c r="V83" s="1">
        <f>SUM('Guarantee Security'!ALLOC_REFUNDED)</f>
        <v>19412205.129999999</v>
      </c>
      <c r="X83" s="1">
        <f>SUM('Guarantee Security'!HEALTH_CALLED)</f>
        <v>0</v>
      </c>
      <c r="Y83" s="1">
        <f>SUM('Guarantee Security'!HEALTH_REFUNDED)</f>
        <v>0</v>
      </c>
      <c r="AA83" s="1">
        <f>SUM('Guarantee Security'!UNALLOC_CALLED)</f>
        <v>2000</v>
      </c>
      <c r="AB83" s="9">
        <f>SUM('Guarantee Security'!UNALLOC_REFUNDED)</f>
        <v>0</v>
      </c>
    </row>
    <row r="84" spans="1:28">
      <c r="A84" s="6" t="s">
        <v>507</v>
      </c>
      <c r="B84" s="1" t="s">
        <v>508</v>
      </c>
      <c r="C84" s="1" t="s">
        <v>509</v>
      </c>
      <c r="D84" s="1" t="s">
        <v>510</v>
      </c>
      <c r="E84" s="1" t="s">
        <v>511</v>
      </c>
      <c r="G84" s="1" t="s">
        <v>512</v>
      </c>
      <c r="H84" s="1">
        <f>SUM(Imerica!LIFE)</f>
        <v>0</v>
      </c>
      <c r="I84" s="1">
        <f>SUM(Imerica!ALLOCATED)</f>
        <v>0</v>
      </c>
      <c r="J84" s="1">
        <f>SUM(Imerica!HEALTH)</f>
        <v>11497817.278988643</v>
      </c>
      <c r="K84" s="1">
        <f>SUM(Imerica!UNALLOCATED)</f>
        <v>0</v>
      </c>
      <c r="L84" s="1">
        <f>SUM(Imerica!LTC)</f>
        <v>0</v>
      </c>
      <c r="M84" s="1">
        <f t="shared" si="4"/>
        <v>11497817.278988643</v>
      </c>
      <c r="N84" s="6">
        <v>11497817.278988643</v>
      </c>
      <c r="O84" s="9">
        <f t="shared" si="5"/>
        <v>0</v>
      </c>
      <c r="R84" s="6">
        <f>SUM(Imerica!LIFE_CALLED)</f>
        <v>0</v>
      </c>
      <c r="S84" s="1">
        <f>SUM(Imerica!LIFE_REFUNDED)</f>
        <v>0</v>
      </c>
      <c r="U84" s="1">
        <f>SUM(Imerica!ALLOC_CALLED)</f>
        <v>0</v>
      </c>
      <c r="V84" s="1">
        <f>SUM(Imerica!ALLOC_REFUNDED)</f>
        <v>0</v>
      </c>
      <c r="X84" s="1">
        <f>SUM(Imerica!HEALTH_CALLED)</f>
        <v>15692741</v>
      </c>
      <c r="Y84" s="1">
        <f>SUM(Imerica!HEALTH_REFUNDED)</f>
        <v>1450000</v>
      </c>
      <c r="AA84" s="1">
        <f>SUM(Imerica!UNALLOC_CALLED)</f>
        <v>0</v>
      </c>
      <c r="AB84" s="9">
        <f>SUM(Imerica!UNALLOC_REFUNDED)</f>
        <v>0</v>
      </c>
    </row>
    <row r="85" spans="1:28">
      <c r="A85" s="6" t="s">
        <v>513</v>
      </c>
      <c r="B85" s="1" t="s">
        <v>514</v>
      </c>
      <c r="C85" s="1" t="s">
        <v>310</v>
      </c>
      <c r="D85" s="1" t="s">
        <v>515</v>
      </c>
      <c r="E85" s="1" t="s">
        <v>516</v>
      </c>
      <c r="F85" s="1" t="s">
        <v>505</v>
      </c>
      <c r="G85" s="1" t="s">
        <v>517</v>
      </c>
      <c r="H85" s="1">
        <f>SUM('Inter-American'!LIFE)</f>
        <v>71930182.822873682</v>
      </c>
      <c r="I85" s="1">
        <f>SUM('Inter-American'!ALLOCATED)</f>
        <v>17952481.911415406</v>
      </c>
      <c r="J85" s="1">
        <f>SUM('Inter-American'!HEALTH)</f>
        <v>0</v>
      </c>
      <c r="K85" s="1">
        <f>SUM('Inter-American'!UNALLOCATED)</f>
        <v>17889139.495081443</v>
      </c>
      <c r="L85" s="1">
        <f>SUM('Inter-American'!LTC)</f>
        <v>0</v>
      </c>
      <c r="M85" s="1">
        <f t="shared" si="4"/>
        <v>107771804.22937052</v>
      </c>
      <c r="N85" s="6">
        <v>107771804.22937052</v>
      </c>
      <c r="O85" s="9">
        <f t="shared" si="5"/>
        <v>0</v>
      </c>
      <c r="R85" s="6">
        <f>SUM('Inter-American'!LIFE_CALLED)</f>
        <v>90759188</v>
      </c>
      <c r="S85" s="1">
        <f>SUM('Inter-American'!LIFE_REFUNDED)</f>
        <v>25834985.63335</v>
      </c>
      <c r="U85" s="1">
        <f>SUM('Inter-American'!ALLOC_CALLED)</f>
        <v>37166103</v>
      </c>
      <c r="V85" s="1">
        <f>SUM('Inter-American'!ALLOC_REFUNDED)</f>
        <v>19867169.688979998</v>
      </c>
      <c r="X85" s="1">
        <f>SUM('Inter-American'!HEALTH_CALLED)</f>
        <v>4032883</v>
      </c>
      <c r="Y85" s="1">
        <f>SUM('Inter-American'!HEALTH_REFUNDED)</f>
        <v>643059.62767000007</v>
      </c>
      <c r="AA85" s="1">
        <f>SUM('Inter-American'!UNALLOC_CALLED)</f>
        <v>41826413</v>
      </c>
      <c r="AB85" s="9">
        <f>SUM('Inter-American'!UNALLOC_REFUNDED)</f>
        <v>17982766.469999999</v>
      </c>
    </row>
    <row r="86" spans="1:28">
      <c r="A86" s="6" t="s">
        <v>518</v>
      </c>
      <c r="B86" s="1" t="s">
        <v>519</v>
      </c>
      <c r="C86" s="1" t="s">
        <v>234</v>
      </c>
      <c r="D86" s="1" t="s">
        <v>464</v>
      </c>
      <c r="E86" s="1" t="s">
        <v>520</v>
      </c>
      <c r="F86" s="1" t="s">
        <v>298</v>
      </c>
      <c r="G86" s="1" t="s">
        <v>521</v>
      </c>
      <c r="H86" s="1">
        <f>SUM('International Fin'!LIFE)</f>
        <v>1142532.7372618408</v>
      </c>
      <c r="I86" s="1">
        <f>SUM('International Fin'!ALLOCATED)</f>
        <v>731782.28871571959</v>
      </c>
      <c r="J86" s="1">
        <f>SUM('International Fin'!HEALTH)</f>
        <v>0</v>
      </c>
      <c r="K86" s="1">
        <f>SUM('International Fin'!UNALLOCATED)</f>
        <v>0</v>
      </c>
      <c r="L86" s="1">
        <f>SUM('International Fin'!LTC)</f>
        <v>0</v>
      </c>
      <c r="M86" s="1">
        <f t="shared" ref="M86:M112" si="6">SUM(H86:L86)</f>
        <v>1874315.0259775603</v>
      </c>
      <c r="N86" s="6">
        <v>1874315.0259775601</v>
      </c>
      <c r="O86" s="9">
        <f t="shared" ref="O86:O112" si="7">+M86-N86</f>
        <v>0</v>
      </c>
      <c r="R86" s="6">
        <f>SUM('International Fin'!LIFE_CALLED)</f>
        <v>4602083</v>
      </c>
      <c r="S86" s="1">
        <f>SUM('International Fin'!LIFE_REFUNDED)</f>
        <v>3175000</v>
      </c>
      <c r="U86" s="1">
        <f>SUM('International Fin'!ALLOC_CALLED)</f>
        <v>277880</v>
      </c>
      <c r="V86" s="1">
        <f>SUM('International Fin'!ALLOC_REFUNDED)</f>
        <v>0</v>
      </c>
      <c r="X86" s="1">
        <f>SUM('International Fin'!HEALTH_CALLED)</f>
        <v>152528</v>
      </c>
      <c r="Y86" s="1">
        <f>SUM('International Fin'!HEALTH_REFUNDED)</f>
        <v>125000</v>
      </c>
      <c r="AA86" s="1">
        <f>SUM('International Fin'!UNALLOC_CALLED)</f>
        <v>0</v>
      </c>
      <c r="AB86" s="9">
        <f>SUM('International Fin'!UNALLOC_REFUNDED)</f>
        <v>0</v>
      </c>
    </row>
    <row r="87" spans="1:28">
      <c r="A87" s="6" t="s">
        <v>522</v>
      </c>
      <c r="B87" s="1" t="s">
        <v>523</v>
      </c>
      <c r="C87" s="1" t="s">
        <v>203</v>
      </c>
      <c r="D87" s="1" t="s">
        <v>524</v>
      </c>
      <c r="E87" s="1" t="s">
        <v>525</v>
      </c>
      <c r="F87" s="1" t="s">
        <v>526</v>
      </c>
      <c r="G87" s="1" t="s">
        <v>527</v>
      </c>
      <c r="H87" s="1">
        <f>SUM('Investment Life of America'!LIFE)</f>
        <v>3600898.6111054136</v>
      </c>
      <c r="I87" s="1">
        <f>SUM('Investment Life of America'!ALLOCATED)</f>
        <v>12140925.673411671</v>
      </c>
      <c r="J87" s="1">
        <f>SUM('Investment Life of America'!HEALTH)</f>
        <v>16133.84</v>
      </c>
      <c r="K87" s="1">
        <f>SUM('Investment Life of America'!UNALLOCATED)</f>
        <v>0</v>
      </c>
      <c r="L87" s="1">
        <f>SUM('Investment Life of America'!LTC)</f>
        <v>0</v>
      </c>
      <c r="M87" s="1">
        <f t="shared" si="6"/>
        <v>15757958.124517085</v>
      </c>
      <c r="N87" s="6">
        <v>15757958.124517083</v>
      </c>
      <c r="O87" s="9">
        <f t="shared" si="7"/>
        <v>0</v>
      </c>
      <c r="R87" s="6">
        <f>SUM('Investment Life of America'!LIFE_CALLED)</f>
        <v>5270688</v>
      </c>
      <c r="S87" s="1">
        <f>SUM('Investment Life of America'!LIFE_REFUNDED)</f>
        <v>356691</v>
      </c>
      <c r="U87" s="1">
        <f>SUM('Investment Life of America'!ALLOC_CALLED)</f>
        <v>17846770</v>
      </c>
      <c r="V87" s="1">
        <f>SUM('Investment Life of America'!ALLOC_REFUNDED)</f>
        <v>1325580.3500000001</v>
      </c>
      <c r="X87" s="1">
        <f>SUM('Investment Life of America'!HEALTH_CALLED)</f>
        <v>0</v>
      </c>
      <c r="Y87" s="1">
        <f>SUM('Investment Life of America'!HEALTH_REFUNDED)</f>
        <v>0</v>
      </c>
      <c r="AA87" s="1">
        <f>SUM('Investment Life of America'!UNALLOC_CALLED)</f>
        <v>0</v>
      </c>
      <c r="AB87" s="9">
        <f>SUM('Investment Life of America'!UNALLOC_REFUNDED)</f>
        <v>0</v>
      </c>
    </row>
    <row r="88" spans="1:28">
      <c r="A88" s="6" t="s">
        <v>528</v>
      </c>
      <c r="B88" s="1" t="s">
        <v>529</v>
      </c>
      <c r="C88" s="1" t="s">
        <v>530</v>
      </c>
      <c r="D88" s="1" t="s">
        <v>531</v>
      </c>
      <c r="E88" s="1" t="s">
        <v>532</v>
      </c>
      <c r="F88" s="1" t="s">
        <v>533</v>
      </c>
      <c r="G88" s="1" t="s">
        <v>534</v>
      </c>
      <c r="H88" s="1">
        <f>SUM('Investors Equity'!LIFE)</f>
        <v>0</v>
      </c>
      <c r="I88" s="1">
        <f>SUM('Investors Equity'!ALLOCATED)</f>
        <v>37078074.870000005</v>
      </c>
      <c r="J88" s="1">
        <f>SUM('Investors Equity'!HEALTH)</f>
        <v>0</v>
      </c>
      <c r="K88" s="1">
        <f>SUM('Investors Equity'!UNALLOCATED)</f>
        <v>0</v>
      </c>
      <c r="L88" s="1">
        <f>SUM('Investors Equity'!LTC)</f>
        <v>0</v>
      </c>
      <c r="M88" s="1">
        <f t="shared" si="6"/>
        <v>37078074.870000005</v>
      </c>
      <c r="N88" s="6">
        <v>37078074.870000005</v>
      </c>
      <c r="O88" s="9">
        <f t="shared" si="7"/>
        <v>0</v>
      </c>
      <c r="R88" s="6">
        <f>SUM('Investors Equity'!LIFE_CALLED)</f>
        <v>27611280</v>
      </c>
      <c r="S88" s="1">
        <f>SUM('Investors Equity'!LIFE_REFUNDED)</f>
        <v>20999761</v>
      </c>
      <c r="U88" s="1">
        <f>SUM('Investors Equity'!ALLOC_CALLED)</f>
        <v>22525117</v>
      </c>
      <c r="V88" s="1">
        <f>SUM('Investors Equity'!ALLOC_REFUNDED)</f>
        <v>11243274</v>
      </c>
      <c r="X88" s="1">
        <f>SUM('Investors Equity'!HEALTH_CALLED)</f>
        <v>11732231</v>
      </c>
      <c r="Y88" s="1">
        <f>SUM('Investors Equity'!HEALTH_REFUNDED)</f>
        <v>11500000</v>
      </c>
      <c r="AA88" s="1">
        <f>SUM('Investors Equity'!UNALLOC_CALLED)</f>
        <v>0</v>
      </c>
      <c r="AB88" s="9">
        <f>SUM('Investors Equity'!UNALLOC_REFUNDED)</f>
        <v>0</v>
      </c>
    </row>
    <row r="89" spans="1:28">
      <c r="A89" s="6" t="s">
        <v>535</v>
      </c>
      <c r="B89" s="1" t="s">
        <v>536</v>
      </c>
      <c r="C89" s="1" t="s">
        <v>537</v>
      </c>
      <c r="D89" s="1" t="s">
        <v>538</v>
      </c>
      <c r="E89" s="1" t="s">
        <v>539</v>
      </c>
      <c r="F89" s="1" t="s">
        <v>540</v>
      </c>
      <c r="G89" s="1" t="s">
        <v>541</v>
      </c>
      <c r="H89" s="1">
        <f>SUM('Kentucky Central'!LIFE)</f>
        <v>-12441718.913903382</v>
      </c>
      <c r="I89" s="1">
        <f>SUM('Kentucky Central'!ALLOCATED)</f>
        <v>-59570.761363521255</v>
      </c>
      <c r="J89" s="1">
        <f>SUM('Kentucky Central'!HEALTH)</f>
        <v>0</v>
      </c>
      <c r="K89" s="1">
        <f>SUM('Kentucky Central'!UNALLOCATED)</f>
        <v>0</v>
      </c>
      <c r="L89" s="1">
        <f>SUM('Kentucky Central'!LTC)</f>
        <v>0</v>
      </c>
      <c r="M89" s="1">
        <f t="shared" si="6"/>
        <v>-12501289.675266903</v>
      </c>
      <c r="N89" s="6">
        <v>-12501289.675266905</v>
      </c>
      <c r="O89" s="9">
        <f t="shared" si="7"/>
        <v>0</v>
      </c>
      <c r="R89" s="6">
        <f>SUM('Kentucky Central'!LIFE_CALLED)</f>
        <v>122437040</v>
      </c>
      <c r="S89" s="1">
        <f>SUM('Kentucky Central'!LIFE_REFUNDED)</f>
        <v>92956402.418200001</v>
      </c>
      <c r="U89" s="1">
        <f>SUM('Kentucky Central'!ALLOC_CALLED)</f>
        <v>13028405</v>
      </c>
      <c r="V89" s="1">
        <f>SUM('Kentucky Central'!ALLOC_REFUNDED)</f>
        <v>7287007.0312000001</v>
      </c>
      <c r="X89" s="1">
        <f>SUM('Kentucky Central'!HEALTH_CALLED)</f>
        <v>141544</v>
      </c>
      <c r="Y89" s="1">
        <f>SUM('Kentucky Central'!HEALTH_REFUNDED)</f>
        <v>161507.8406</v>
      </c>
      <c r="AA89" s="1">
        <f>SUM('Kentucky Central'!UNALLOC_CALLED)</f>
        <v>0</v>
      </c>
      <c r="AB89" s="9">
        <f>SUM('Kentucky Central'!UNALLOC_REFUNDED)</f>
        <v>0</v>
      </c>
    </row>
    <row r="90" spans="1:28">
      <c r="A90" s="6" t="s">
        <v>542</v>
      </c>
      <c r="B90" s="1" t="s">
        <v>543</v>
      </c>
      <c r="C90" s="1" t="s">
        <v>198</v>
      </c>
      <c r="D90" s="1" t="s">
        <v>544</v>
      </c>
      <c r="E90" s="1" t="s">
        <v>545</v>
      </c>
      <c r="G90" s="1" t="s">
        <v>546</v>
      </c>
      <c r="H90" s="1">
        <f>SUM(Legion!LIFE)</f>
        <v>0</v>
      </c>
      <c r="I90" s="1">
        <f>SUM(Legion!ALLOCATED)</f>
        <v>0</v>
      </c>
      <c r="J90" s="1">
        <f>SUM(Legion!HEALTH)</f>
        <v>410967.5164547048</v>
      </c>
      <c r="K90" s="1">
        <f>SUM(Legion!UNALLOCATED)</f>
        <v>0</v>
      </c>
      <c r="L90" s="1">
        <f>SUM(Legion!LTC)</f>
        <v>0</v>
      </c>
      <c r="M90" s="1">
        <f t="shared" si="6"/>
        <v>410967.5164547048</v>
      </c>
      <c r="N90" s="6">
        <v>410967.5164547048</v>
      </c>
      <c r="O90" s="9">
        <f t="shared" si="7"/>
        <v>0</v>
      </c>
      <c r="R90" s="6">
        <f>SUM(Legion!LIFE_CALLED)</f>
        <v>0</v>
      </c>
      <c r="S90" s="1">
        <f>SUM(Legion!LIFE_REFUNDED)</f>
        <v>0</v>
      </c>
      <c r="U90" s="1">
        <f>SUM(Legion!ALLOC_CALLED)</f>
        <v>0</v>
      </c>
      <c r="V90" s="1">
        <f>SUM(Legion!ALLOC_REFUNDED)</f>
        <v>0</v>
      </c>
      <c r="X90" s="1">
        <f>SUM(Legion!HEALTH_CALLED)</f>
        <v>584325</v>
      </c>
      <c r="Y90" s="1">
        <f>SUM(Legion!HEALTH_REFUNDED)</f>
        <v>0</v>
      </c>
      <c r="AA90" s="1">
        <f>SUM(Legion!UNALLOC_CALLED)</f>
        <v>0</v>
      </c>
      <c r="AB90" s="9">
        <f>SUM(Legion!UNALLOC_REFUNDED)</f>
        <v>0</v>
      </c>
    </row>
    <row r="91" spans="1:28">
      <c r="A91" s="6" t="s">
        <v>547</v>
      </c>
      <c r="B91" s="1" t="s">
        <v>548</v>
      </c>
      <c r="C91" s="1" t="s">
        <v>203</v>
      </c>
      <c r="D91" s="1" t="s">
        <v>549</v>
      </c>
      <c r="E91" s="1" t="s">
        <v>550</v>
      </c>
      <c r="F91" s="1" t="s">
        <v>551</v>
      </c>
      <c r="G91" s="1" t="s">
        <v>552</v>
      </c>
      <c r="H91" s="1">
        <f>SUM('London Pac'!LIFE)</f>
        <v>0</v>
      </c>
      <c r="I91" s="1">
        <f>SUM('London Pac'!ALLOCATED)</f>
        <v>96324078.240000188</v>
      </c>
      <c r="J91" s="1">
        <f>SUM('London Pac'!HEALTH)</f>
        <v>0</v>
      </c>
      <c r="K91" s="1">
        <f>SUM('London Pac'!UNALLOCATED)</f>
        <v>0</v>
      </c>
      <c r="L91" s="1">
        <f>SUM('London Pac'!LTC)</f>
        <v>0</v>
      </c>
      <c r="M91" s="1">
        <f t="shared" si="6"/>
        <v>96324078.240000188</v>
      </c>
      <c r="N91" s="6">
        <v>96324078.240000188</v>
      </c>
      <c r="O91" s="9">
        <f t="shared" si="7"/>
        <v>0</v>
      </c>
      <c r="R91" s="6">
        <f>SUM('London Pac'!LIFE_CALLED)</f>
        <v>700638</v>
      </c>
      <c r="S91" s="1">
        <f>SUM('London Pac'!LIFE_REFUNDED)</f>
        <v>6000</v>
      </c>
      <c r="U91" s="1">
        <f>SUM('London Pac'!ALLOC_CALLED)</f>
        <v>88015647</v>
      </c>
      <c r="V91" s="1">
        <f>SUM('London Pac'!ALLOC_REFUNDED)</f>
        <v>10292000</v>
      </c>
      <c r="X91" s="1">
        <f>SUM('London Pac'!HEALTH_CALLED)</f>
        <v>0</v>
      </c>
      <c r="Y91" s="1">
        <f>SUM('London Pac'!HEALTH_REFUNDED)</f>
        <v>1716536</v>
      </c>
      <c r="AA91" s="1">
        <f>SUM('London Pac'!UNALLOC_CALLED)</f>
        <v>0</v>
      </c>
      <c r="AB91" s="9">
        <f>SUM('London Pac'!UNALLOC_REFUNDED)</f>
        <v>0</v>
      </c>
    </row>
    <row r="92" spans="1:28">
      <c r="A92" s="6" t="s">
        <v>553</v>
      </c>
      <c r="B92" s="1" t="s">
        <v>554</v>
      </c>
      <c r="C92" s="1" t="s">
        <v>332</v>
      </c>
      <c r="D92" s="1" t="s">
        <v>555</v>
      </c>
      <c r="E92" s="1" t="s">
        <v>556</v>
      </c>
      <c r="G92" s="1" t="s">
        <v>557</v>
      </c>
      <c r="H92" s="1">
        <f>SUM('Medical Savings'!LIFE)</f>
        <v>0</v>
      </c>
      <c r="I92" s="1">
        <f>SUM('Medical Savings'!ALLOCATED)</f>
        <v>0</v>
      </c>
      <c r="J92" s="1">
        <f>SUM('Medical Savings'!HEALTH)</f>
        <v>25705698.670000002</v>
      </c>
      <c r="K92" s="1">
        <f>SUM('Medical Savings'!UNALLOCATED)</f>
        <v>0</v>
      </c>
      <c r="L92" s="1">
        <f>SUM('Medical Savings'!LTC)</f>
        <v>0</v>
      </c>
      <c r="M92" s="1">
        <f t="shared" si="6"/>
        <v>25705698.670000002</v>
      </c>
      <c r="N92" s="6">
        <v>25705698.670000002</v>
      </c>
      <c r="O92" s="9">
        <f t="shared" si="7"/>
        <v>0</v>
      </c>
      <c r="R92" s="6">
        <f>SUM('Medical Savings'!LIFE_CALLED)</f>
        <v>0</v>
      </c>
      <c r="S92" s="1">
        <f>SUM('Medical Savings'!LIFE_REFUNDED)</f>
        <v>0</v>
      </c>
      <c r="U92" s="1">
        <f>SUM('Medical Savings'!ALLOC_CALLED)</f>
        <v>0</v>
      </c>
      <c r="V92" s="1">
        <f>SUM('Medical Savings'!ALLOC_REFUNDED)</f>
        <v>0</v>
      </c>
      <c r="X92" s="1">
        <f>SUM('Medical Savings'!HEALTH_CALLED)</f>
        <v>22285577</v>
      </c>
      <c r="Y92" s="1">
        <f>SUM('Medical Savings'!HEALTH_REFUNDED)</f>
        <v>31891</v>
      </c>
      <c r="AA92" s="1">
        <f>SUM('Medical Savings'!UNALLOC_CALLED)</f>
        <v>0</v>
      </c>
      <c r="AB92" s="9">
        <f>SUM('Medical Savings'!UNALLOC_REFUNDED)</f>
        <v>0</v>
      </c>
    </row>
    <row r="93" spans="1:28">
      <c r="A93" s="6" t="s">
        <v>558</v>
      </c>
      <c r="B93" s="1" t="s">
        <v>559</v>
      </c>
      <c r="C93" s="1" t="s">
        <v>560</v>
      </c>
      <c r="D93" s="1" t="s">
        <v>561</v>
      </c>
      <c r="E93" s="1" t="s">
        <v>562</v>
      </c>
      <c r="F93" s="1" t="s">
        <v>563</v>
      </c>
      <c r="G93" s="1" t="s">
        <v>564</v>
      </c>
      <c r="H93" s="1">
        <f>SUM('Midwest Life'!LIFE)</f>
        <v>886028.97456892044</v>
      </c>
      <c r="I93" s="1">
        <f>SUM('Midwest Life'!ALLOCATED)</f>
        <v>32048671.496619485</v>
      </c>
      <c r="J93" s="1">
        <f>SUM('Midwest Life'!HEALTH)</f>
        <v>82009.568811594945</v>
      </c>
      <c r="K93" s="1">
        <f>SUM('Midwest Life'!UNALLOCATED)</f>
        <v>0</v>
      </c>
      <c r="L93" s="1">
        <f>SUM('Midwest Life'!LTC)</f>
        <v>0</v>
      </c>
      <c r="M93" s="1">
        <f t="shared" si="6"/>
        <v>33016710.040000003</v>
      </c>
      <c r="N93" s="6">
        <v>33016710.039999999</v>
      </c>
      <c r="O93" s="9">
        <f t="shared" si="7"/>
        <v>0</v>
      </c>
      <c r="R93" s="6">
        <f>SUM('Midwest Life'!LIFE_CALLED)</f>
        <v>3798558</v>
      </c>
      <c r="S93" s="1">
        <f>SUM('Midwest Life'!LIFE_REFUNDED)</f>
        <v>1244000</v>
      </c>
      <c r="U93" s="1">
        <f>SUM('Midwest Life'!ALLOC_CALLED)</f>
        <v>75236595</v>
      </c>
      <c r="V93" s="1">
        <f>SUM('Midwest Life'!ALLOC_REFUNDED)</f>
        <v>12991485</v>
      </c>
      <c r="X93" s="1">
        <f>SUM('Midwest Life'!HEALTH_CALLED)</f>
        <v>4535768</v>
      </c>
      <c r="Y93" s="1">
        <f>SUM('Midwest Life'!HEALTH_REFUNDED)</f>
        <v>725908</v>
      </c>
      <c r="AA93" s="1">
        <f>SUM('Midwest Life'!UNALLOC_CALLED)</f>
        <v>0</v>
      </c>
      <c r="AB93" s="9">
        <f>SUM('Midwest Life'!UNALLOC_REFUNDED)</f>
        <v>0</v>
      </c>
    </row>
    <row r="94" spans="1:28">
      <c r="A94" s="6" t="s">
        <v>565</v>
      </c>
      <c r="B94" s="1" t="s">
        <v>566</v>
      </c>
      <c r="C94" s="1" t="s">
        <v>301</v>
      </c>
      <c r="D94" s="1" t="s">
        <v>567</v>
      </c>
      <c r="E94" s="1" t="s">
        <v>568</v>
      </c>
      <c r="F94" s="1" t="s">
        <v>569</v>
      </c>
      <c r="G94" s="1" t="s">
        <v>570</v>
      </c>
      <c r="H94" s="1">
        <f>SUM('Mutual Benefit'!LIFE)</f>
        <v>-381962.22322039324</v>
      </c>
      <c r="I94" s="1">
        <f>SUM('Mutual Benefit'!ALLOCATED)</f>
        <v>-1112649.6289279202</v>
      </c>
      <c r="J94" s="1">
        <f>SUM('Mutual Benefit'!HEALTH)</f>
        <v>0</v>
      </c>
      <c r="K94" s="1">
        <f>SUM('Mutual Benefit'!UNALLOCATED)</f>
        <v>-170796.59785140699</v>
      </c>
      <c r="L94" s="1">
        <f>SUM('Mutual Benefit'!LTC)</f>
        <v>0</v>
      </c>
      <c r="M94" s="1">
        <f t="shared" si="6"/>
        <v>-1665408.4499997206</v>
      </c>
      <c r="N94" s="6">
        <v>-1665408.4499997203</v>
      </c>
      <c r="O94" s="9">
        <f t="shared" si="7"/>
        <v>0</v>
      </c>
      <c r="R94" s="6">
        <f>SUM('Mutual Benefit'!LIFE_CALLED)</f>
        <v>113928847</v>
      </c>
      <c r="S94" s="1">
        <f>SUM('Mutual Benefit'!LIFE_REFUNDED)</f>
        <v>73393423.847253993</v>
      </c>
      <c r="U94" s="1">
        <f>SUM('Mutual Benefit'!ALLOC_CALLED)</f>
        <v>16270649</v>
      </c>
      <c r="V94" s="1">
        <f>SUM('Mutual Benefit'!ALLOC_REFUNDED)</f>
        <v>12224649.138025999</v>
      </c>
      <c r="X94" s="1">
        <f>SUM('Mutual Benefit'!HEALTH_CALLED)</f>
        <v>4132289</v>
      </c>
      <c r="Y94" s="1">
        <f>SUM('Mutual Benefit'!HEALTH_REFUNDED)</f>
        <v>4836956.3147200001</v>
      </c>
      <c r="AA94" s="1">
        <f>SUM('Mutual Benefit'!UNALLOC_CALLED)</f>
        <v>2139524</v>
      </c>
      <c r="AB94" s="9">
        <f>SUM('Mutual Benefit'!UNALLOC_REFUNDED)</f>
        <v>1843252.74</v>
      </c>
    </row>
    <row r="95" spans="1:28">
      <c r="A95" s="6" t="s">
        <v>571</v>
      </c>
      <c r="B95" s="1" t="s">
        <v>572</v>
      </c>
      <c r="C95" s="1" t="s">
        <v>332</v>
      </c>
      <c r="D95" s="1" t="s">
        <v>573</v>
      </c>
      <c r="E95" s="1" t="s">
        <v>218</v>
      </c>
      <c r="F95" s="1" t="s">
        <v>426</v>
      </c>
      <c r="G95" s="1" t="s">
        <v>506</v>
      </c>
      <c r="H95" s="1">
        <f>SUM('Mutual Security'!LIFE)</f>
        <v>3156843.32973589</v>
      </c>
      <c r="I95" s="1">
        <f>SUM('Mutual Security'!ALLOCATED)</f>
        <v>11290437.844675858</v>
      </c>
      <c r="J95" s="1">
        <f>SUM('Mutual Security'!HEALTH)</f>
        <v>-6405966.9312069416</v>
      </c>
      <c r="K95" s="1">
        <f>SUM('Mutual Security'!UNALLOCATED)</f>
        <v>4718689.2567951931</v>
      </c>
      <c r="L95" s="1">
        <f>SUM('Mutual Security'!LTC)</f>
        <v>0</v>
      </c>
      <c r="M95" s="1">
        <f t="shared" si="6"/>
        <v>12760003.5</v>
      </c>
      <c r="N95" s="6">
        <v>12760003.5</v>
      </c>
      <c r="O95" s="9">
        <f t="shared" si="7"/>
        <v>0</v>
      </c>
      <c r="R95" s="6">
        <f>SUM('Mutual Security'!LIFE_CALLED)</f>
        <v>53434308</v>
      </c>
      <c r="S95" s="1">
        <f>SUM('Mutual Security'!LIFE_REFUNDED)</f>
        <v>16260675.3488</v>
      </c>
      <c r="U95" s="1">
        <f>SUM('Mutual Security'!ALLOC_CALLED)</f>
        <v>117647747</v>
      </c>
      <c r="V95" s="1">
        <f>SUM('Mutual Security'!ALLOC_REFUNDED)</f>
        <v>23197622.820799999</v>
      </c>
      <c r="X95" s="1">
        <f>SUM('Mutual Security'!HEALTH_CALLED)</f>
        <v>3972146</v>
      </c>
      <c r="Y95" s="1">
        <f>SUM('Mutual Security'!HEALTH_REFUNDED)</f>
        <v>2032125.8303999999</v>
      </c>
      <c r="AA95" s="1">
        <f>SUM('Mutual Security'!UNALLOC_CALLED)</f>
        <v>96890</v>
      </c>
      <c r="AB95" s="9">
        <f>SUM('Mutual Security'!UNALLOC_REFUNDED)</f>
        <v>84000</v>
      </c>
    </row>
    <row r="96" spans="1:28">
      <c r="A96" s="6" t="s">
        <v>574</v>
      </c>
      <c r="B96" s="1" t="s">
        <v>575</v>
      </c>
      <c r="C96" s="1" t="s">
        <v>560</v>
      </c>
      <c r="D96" s="1" t="s">
        <v>576</v>
      </c>
      <c r="E96" s="1" t="s">
        <v>577</v>
      </c>
      <c r="F96" s="1" t="s">
        <v>578</v>
      </c>
      <c r="G96" s="1" t="s">
        <v>579</v>
      </c>
      <c r="H96" s="1">
        <f>SUM('National Affiliated'!LIFE)</f>
        <v>1176583.8239110187</v>
      </c>
      <c r="I96" s="1">
        <f>SUM('National Affiliated'!ALLOCATED)</f>
        <v>122869.26166202863</v>
      </c>
      <c r="J96" s="1">
        <f>SUM('National Affiliated'!HEALTH)</f>
        <v>9635.0672854646855</v>
      </c>
      <c r="K96" s="1">
        <f>SUM('National Affiliated'!UNALLOCATED)</f>
        <v>0</v>
      </c>
      <c r="L96" s="1">
        <f>SUM('National Affiliated'!LTC)</f>
        <v>0</v>
      </c>
      <c r="M96" s="1">
        <f t="shared" si="6"/>
        <v>1309088.152858512</v>
      </c>
      <c r="N96" s="6">
        <v>1309088.1528585122</v>
      </c>
      <c r="O96" s="9">
        <f t="shared" si="7"/>
        <v>0</v>
      </c>
      <c r="R96" s="6">
        <f>SUM('National Affiliated'!LIFE_CALLED)</f>
        <v>1144992</v>
      </c>
      <c r="S96" s="1">
        <f>SUM('National Affiliated'!LIFE_REFUNDED)</f>
        <v>41125</v>
      </c>
      <c r="U96" s="1">
        <f>SUM('National Affiliated'!ALLOC_CALLED)</f>
        <v>35389</v>
      </c>
      <c r="V96" s="1">
        <f>SUM('National Affiliated'!ALLOC_REFUNDED)</f>
        <v>0</v>
      </c>
      <c r="X96" s="1">
        <f>SUM('National Affiliated'!HEALTH_CALLED)</f>
        <v>606622</v>
      </c>
      <c r="Y96" s="1">
        <f>SUM('National Affiliated'!HEALTH_REFUNDED)</f>
        <v>1257</v>
      </c>
      <c r="AA96" s="1">
        <f>SUM('National Affiliated'!UNALLOC_CALLED)</f>
        <v>0</v>
      </c>
      <c r="AB96" s="9">
        <f>SUM('National Affiliated'!UNALLOC_REFUNDED)</f>
        <v>0</v>
      </c>
    </row>
    <row r="97" spans="1:28">
      <c r="A97" s="6" t="s">
        <v>580</v>
      </c>
      <c r="B97" s="1" t="s">
        <v>581</v>
      </c>
      <c r="C97" s="1" t="s">
        <v>198</v>
      </c>
      <c r="D97" s="1" t="s">
        <v>582</v>
      </c>
      <c r="E97" s="1" t="s">
        <v>583</v>
      </c>
      <c r="F97" s="1" t="s">
        <v>584</v>
      </c>
      <c r="G97" s="1" t="s">
        <v>585</v>
      </c>
      <c r="H97" s="1">
        <f>SUM('Natl American'!LIFE)</f>
        <v>2604.3387856944819</v>
      </c>
      <c r="I97" s="1">
        <f>SUM('Natl American'!ALLOCATED)</f>
        <v>13124792.083000876</v>
      </c>
      <c r="J97" s="1">
        <f>SUM('Natl American'!HEALTH)</f>
        <v>6047.8936443914545</v>
      </c>
      <c r="K97" s="1">
        <f>SUM('Natl American'!UNALLOCATED)</f>
        <v>0</v>
      </c>
      <c r="L97" s="1">
        <f>SUM('Natl American'!LTC)</f>
        <v>0</v>
      </c>
      <c r="M97" s="1">
        <f t="shared" si="6"/>
        <v>13133444.315430962</v>
      </c>
      <c r="N97" s="6">
        <v>13133444.315430963</v>
      </c>
      <c r="O97" s="9">
        <f t="shared" si="7"/>
        <v>0</v>
      </c>
      <c r="R97" s="6">
        <f>SUM('Natl American'!LIFE_CALLED)</f>
        <v>576171</v>
      </c>
      <c r="S97" s="1">
        <f>SUM('Natl American'!LIFE_REFUNDED)</f>
        <v>185418.76120000001</v>
      </c>
      <c r="U97" s="1">
        <f>SUM('Natl American'!ALLOC_CALLED)</f>
        <v>24494168</v>
      </c>
      <c r="V97" s="1">
        <f>SUM('Natl American'!ALLOC_REFUNDED)</f>
        <v>42107927.9296</v>
      </c>
      <c r="X97" s="1">
        <f>SUM('Natl American'!HEALTH_CALLED)</f>
        <v>1785577</v>
      </c>
      <c r="Y97" s="1">
        <f>SUM('Natl American'!HEALTH_REFUNDED)</f>
        <v>1644030.4391999999</v>
      </c>
      <c r="AA97" s="1">
        <f>SUM('Natl American'!UNALLOC_CALLED)</f>
        <v>0</v>
      </c>
      <c r="AB97" s="9">
        <f>SUM('Natl American'!UNALLOC_REFUNDED)</f>
        <v>0</v>
      </c>
    </row>
    <row r="98" spans="1:28">
      <c r="A98" s="6" t="s">
        <v>586</v>
      </c>
      <c r="B98" s="1" t="s">
        <v>587</v>
      </c>
      <c r="C98" s="1" t="s">
        <v>221</v>
      </c>
      <c r="D98" s="1" t="s">
        <v>588</v>
      </c>
      <c r="E98" s="1" t="s">
        <v>589</v>
      </c>
      <c r="F98" s="1" t="s">
        <v>590</v>
      </c>
      <c r="H98" s="1">
        <f>SUM('National Heritage'!LIFE)</f>
        <v>5523048.1293601664</v>
      </c>
      <c r="I98" s="1">
        <f>SUM('National Heritage'!ALLOCATED)</f>
        <v>146299730.71596977</v>
      </c>
      <c r="J98" s="1">
        <f>SUM('National Heritage'!HEALTH)</f>
        <v>0</v>
      </c>
      <c r="K98" s="1">
        <f>SUM('National Heritage'!UNALLOCATED)</f>
        <v>0</v>
      </c>
      <c r="L98" s="1">
        <f>SUM('National Heritage'!LTC)</f>
        <v>0</v>
      </c>
      <c r="M98" s="1">
        <f t="shared" si="6"/>
        <v>151822778.84532994</v>
      </c>
      <c r="N98" s="6">
        <v>151683158.06532997</v>
      </c>
      <c r="O98" s="9">
        <f t="shared" si="7"/>
        <v>139620.77999997139</v>
      </c>
      <c r="R98" s="6">
        <f>SUM('National Heritage'!LIFE_CALLED)</f>
        <v>13267750</v>
      </c>
      <c r="S98" s="1">
        <f>SUM('National Heritage'!LIFE_REFUNDED)</f>
        <v>252755.488132</v>
      </c>
      <c r="U98" s="1">
        <f>SUM('National Heritage'!ALLOC_CALLED)</f>
        <v>236361567</v>
      </c>
      <c r="V98" s="1">
        <f>SUM('National Heritage'!ALLOC_REFUNDED)</f>
        <v>21694354.321867999</v>
      </c>
      <c r="X98" s="1">
        <f>SUM('National Heritage'!HEALTH_CALLED)</f>
        <v>0</v>
      </c>
      <c r="Y98" s="1">
        <f>SUM('National Heritage'!HEALTH_REFUNDED)</f>
        <v>0</v>
      </c>
      <c r="AA98" s="1">
        <f>SUM('National Heritage'!UNALLOC_CALLED)</f>
        <v>2585649</v>
      </c>
      <c r="AB98" s="9">
        <f>SUM('National Heritage'!UNALLOC_REFUNDED)</f>
        <v>0</v>
      </c>
    </row>
    <row r="99" spans="1:28">
      <c r="A99" s="6" t="s">
        <v>591</v>
      </c>
      <c r="B99" s="1" t="s">
        <v>592</v>
      </c>
      <c r="C99" s="1" t="s">
        <v>301</v>
      </c>
      <c r="D99" s="1" t="s">
        <v>593</v>
      </c>
      <c r="E99" s="1" t="s">
        <v>594</v>
      </c>
      <c r="F99" s="1" t="s">
        <v>595</v>
      </c>
      <c r="G99" s="1" t="s">
        <v>596</v>
      </c>
      <c r="H99" s="1">
        <f>SUM('New Jersey Life'!LIFE)</f>
        <v>81903024.650000021</v>
      </c>
      <c r="I99" s="1">
        <f>SUM('New Jersey Life'!ALLOCATED)</f>
        <v>0</v>
      </c>
      <c r="J99" s="1">
        <f>SUM('New Jersey Life'!HEALTH)</f>
        <v>0</v>
      </c>
      <c r="K99" s="1">
        <f>SUM('New Jersey Life'!UNALLOCATED)</f>
        <v>0</v>
      </c>
      <c r="L99" s="1">
        <f>SUM('New Jersey Life'!LTC)</f>
        <v>0</v>
      </c>
      <c r="M99" s="1">
        <f t="shared" si="6"/>
        <v>81903024.650000021</v>
      </c>
      <c r="N99" s="6">
        <v>81903024.650000021</v>
      </c>
      <c r="O99" s="9">
        <f t="shared" si="7"/>
        <v>0</v>
      </c>
      <c r="R99" s="6">
        <f>SUM('New Jersey Life'!LIFE_CALLED)</f>
        <v>88482480</v>
      </c>
      <c r="S99" s="1">
        <f>SUM('New Jersey Life'!LIFE_REFUNDED)</f>
        <v>2590816.2341999998</v>
      </c>
      <c r="U99" s="1">
        <f>SUM('New Jersey Life'!ALLOC_CALLED)</f>
        <v>20683</v>
      </c>
      <c r="V99" s="1">
        <f>SUM('New Jersey Life'!ALLOC_REFUNDED)</f>
        <v>26777</v>
      </c>
      <c r="X99" s="1">
        <f>SUM('New Jersey Life'!HEALTH_CALLED)</f>
        <v>449</v>
      </c>
      <c r="Y99" s="1">
        <f>SUM('New Jersey Life'!HEALTH_REFUNDED)</f>
        <v>22.765800000006497</v>
      </c>
      <c r="AA99" s="1">
        <f>SUM('New Jersey Life'!UNALLOC_CALLED)</f>
        <v>0</v>
      </c>
      <c r="AB99" s="9">
        <f>SUM('New Jersey Life'!UNALLOC_REFUNDED)</f>
        <v>0</v>
      </c>
    </row>
    <row r="100" spans="1:28">
      <c r="A100" s="6" t="s">
        <v>597</v>
      </c>
      <c r="B100" s="1" t="s">
        <v>598</v>
      </c>
      <c r="C100" s="1" t="s">
        <v>417</v>
      </c>
      <c r="D100" s="1" t="s">
        <v>599</v>
      </c>
      <c r="E100" s="1" t="s">
        <v>600</v>
      </c>
      <c r="F100" s="1" t="s">
        <v>601</v>
      </c>
      <c r="G100" s="1" t="s">
        <v>602</v>
      </c>
      <c r="H100" s="1">
        <f>SUM('Old Colony Life'!LIFE)</f>
        <v>525995.35967304953</v>
      </c>
      <c r="I100" s="1">
        <f>SUM('Old Colony Life'!ALLOCATED)</f>
        <v>10650640.260326877</v>
      </c>
      <c r="J100" s="1">
        <f>SUM('Old Colony Life'!HEALTH)</f>
        <v>0</v>
      </c>
      <c r="K100" s="1">
        <f>SUM('Old Colony Life'!UNALLOCATED)</f>
        <v>0</v>
      </c>
      <c r="L100" s="1">
        <f>SUM('Old Colony Life'!LTC)</f>
        <v>0</v>
      </c>
      <c r="M100" s="1">
        <f t="shared" si="6"/>
        <v>11176635.619999927</v>
      </c>
      <c r="N100" s="6">
        <v>11176635.619999927</v>
      </c>
      <c r="O100" s="9">
        <f t="shared" si="7"/>
        <v>0</v>
      </c>
      <c r="R100" s="6">
        <f>SUM('Old Colony Life'!LIFE_CALLED)</f>
        <v>859210</v>
      </c>
      <c r="S100" s="1">
        <f>SUM('Old Colony Life'!LIFE_REFUNDED)</f>
        <v>42450.53</v>
      </c>
      <c r="U100" s="1">
        <f>SUM('Old Colony Life'!ALLOC_CALLED)</f>
        <v>13560314</v>
      </c>
      <c r="V100" s="1">
        <f>SUM('Old Colony Life'!ALLOC_REFUNDED)</f>
        <v>1359248.82</v>
      </c>
      <c r="X100" s="1">
        <f>SUM('Old Colony Life'!HEALTH_CALLED)</f>
        <v>53013</v>
      </c>
      <c r="Y100" s="1">
        <f>SUM('Old Colony Life'!HEALTH_REFUNDED)</f>
        <v>1</v>
      </c>
      <c r="AA100" s="1">
        <f>SUM('Old Colony Life'!UNALLOC_CALLED)</f>
        <v>0</v>
      </c>
      <c r="AB100" s="9">
        <f>SUM('Old Colony Life'!UNALLOC_REFUNDED)</f>
        <v>0</v>
      </c>
    </row>
    <row r="101" spans="1:28">
      <c r="A101" s="6" t="s">
        <v>603</v>
      </c>
      <c r="B101" s="1" t="s">
        <v>604</v>
      </c>
      <c r="C101" s="1" t="s">
        <v>605</v>
      </c>
      <c r="D101" s="1" t="s">
        <v>606</v>
      </c>
      <c r="E101" s="1" t="s">
        <v>607</v>
      </c>
      <c r="F101" s="1" t="s">
        <v>608</v>
      </c>
      <c r="G101" s="1" t="s">
        <v>609</v>
      </c>
      <c r="H101" s="1">
        <f>SUM('Old Faithful'!LIFE)</f>
        <v>649599.83585779928</v>
      </c>
      <c r="I101" s="1">
        <f>SUM('Old Faithful'!ALLOCATED)</f>
        <v>760326.7090813081</v>
      </c>
      <c r="J101" s="1">
        <f>SUM('Old Faithful'!HEALTH)</f>
        <v>64157.024160892492</v>
      </c>
      <c r="K101" s="1">
        <f>SUM('Old Faithful'!UNALLOCATED)</f>
        <v>0</v>
      </c>
      <c r="L101" s="1">
        <f>SUM('Old Faithful'!LTC)</f>
        <v>0</v>
      </c>
      <c r="M101" s="1">
        <f t="shared" si="6"/>
        <v>1474083.5690999997</v>
      </c>
      <c r="N101" s="6">
        <v>1474083.5691</v>
      </c>
      <c r="O101" s="9">
        <f t="shared" si="7"/>
        <v>0</v>
      </c>
      <c r="R101" s="6">
        <f>SUM('Old Faithful'!LIFE_CALLED)</f>
        <v>1985301</v>
      </c>
      <c r="S101" s="1">
        <f>SUM('Old Faithful'!LIFE_REFUNDED)</f>
        <v>0</v>
      </c>
      <c r="U101" s="1">
        <f>SUM('Old Faithful'!ALLOC_CALLED)</f>
        <v>3071552</v>
      </c>
      <c r="V101" s="1">
        <f>SUM('Old Faithful'!ALLOC_REFUNDED)</f>
        <v>0</v>
      </c>
      <c r="X101" s="1">
        <f>SUM('Old Faithful'!HEALTH_CALLED)</f>
        <v>35000</v>
      </c>
      <c r="Y101" s="1">
        <f>SUM('Old Faithful'!HEALTH_REFUNDED)</f>
        <v>0</v>
      </c>
      <c r="AA101" s="1">
        <f>SUM('Old Faithful'!UNALLOC_CALLED)</f>
        <v>0</v>
      </c>
      <c r="AB101" s="9">
        <f>SUM('Old Faithful'!UNALLOC_REFUNDED)</f>
        <v>0</v>
      </c>
    </row>
    <row r="102" spans="1:28">
      <c r="A102" s="6" t="s">
        <v>610</v>
      </c>
      <c r="B102" s="1" t="s">
        <v>611</v>
      </c>
      <c r="C102" s="1" t="s">
        <v>216</v>
      </c>
      <c r="D102" s="1" t="s">
        <v>612</v>
      </c>
      <c r="E102" s="1" t="s">
        <v>613</v>
      </c>
      <c r="F102" s="1" t="s">
        <v>613</v>
      </c>
      <c r="G102" s="1" t="s">
        <v>614</v>
      </c>
      <c r="H102" s="1">
        <f>SUM('Pacific Standard'!LIFE)</f>
        <v>12334766.906116879</v>
      </c>
      <c r="I102" s="1">
        <f>SUM('Pacific Standard'!ALLOCATED)</f>
        <v>16088740.853883121</v>
      </c>
      <c r="J102" s="1">
        <f>SUM('Pacific Standard'!HEALTH)</f>
        <v>0</v>
      </c>
      <c r="K102" s="1">
        <f>SUM('Pacific Standard'!UNALLOCATED)</f>
        <v>0</v>
      </c>
      <c r="L102" s="1">
        <f>SUM('Pacific Standard'!LTC)</f>
        <v>0</v>
      </c>
      <c r="M102" s="1">
        <f t="shared" si="6"/>
        <v>28423507.759999998</v>
      </c>
      <c r="N102" s="6">
        <v>28423507.759999994</v>
      </c>
      <c r="O102" s="9">
        <f t="shared" si="7"/>
        <v>0</v>
      </c>
      <c r="R102" s="6">
        <f>SUM('Pacific Standard'!LIFE_CALLED)</f>
        <v>19125582</v>
      </c>
      <c r="S102" s="1">
        <f>SUM('Pacific Standard'!LIFE_REFUNDED)</f>
        <v>1724917.1957</v>
      </c>
      <c r="U102" s="1">
        <f>SUM('Pacific Standard'!ALLOC_CALLED)</f>
        <v>14801323</v>
      </c>
      <c r="V102" s="1">
        <f>SUM('Pacific Standard'!ALLOC_REFUNDED)</f>
        <v>323011.6201</v>
      </c>
      <c r="X102" s="1">
        <f>SUM('Pacific Standard'!HEALTH_CALLED)</f>
        <v>30659</v>
      </c>
      <c r="Y102" s="1">
        <f>SUM('Pacific Standard'!HEALTH_REFUNDED)</f>
        <v>3117.0942000000005</v>
      </c>
      <c r="AA102" s="1">
        <f>SUM('Pacific Standard'!UNALLOC_CALLED)</f>
        <v>0</v>
      </c>
      <c r="AB102" s="9">
        <f>SUM('Pacific Standard'!UNALLOC_REFUNDED)</f>
        <v>0</v>
      </c>
    </row>
    <row r="103" spans="1:28">
      <c r="A103" s="6" t="s">
        <v>615</v>
      </c>
      <c r="B103" s="1" t="s">
        <v>616</v>
      </c>
      <c r="C103" s="1" t="s">
        <v>216</v>
      </c>
      <c r="D103" s="1" t="s">
        <v>617</v>
      </c>
      <c r="E103" s="1" t="s">
        <v>618</v>
      </c>
      <c r="G103" s="1" t="s">
        <v>461</v>
      </c>
      <c r="H103" s="1">
        <f>SUM(SeeChange!LIFE)</f>
        <v>0</v>
      </c>
      <c r="I103" s="1">
        <f>SUM(SeeChange!ALLOCATED)</f>
        <v>0</v>
      </c>
      <c r="J103" s="1">
        <f>SUM(SeeChange!HEALTH)</f>
        <v>12380466.671347052</v>
      </c>
      <c r="K103" s="1">
        <f>SUM(SeeChange!UNALLOCATED)</f>
        <v>0</v>
      </c>
      <c r="L103" s="1">
        <f>SUM(SeeChange!LTC)</f>
        <v>0</v>
      </c>
      <c r="M103" s="1">
        <f t="shared" si="6"/>
        <v>12380466.671347052</v>
      </c>
      <c r="N103" s="6">
        <v>12380466.671347052</v>
      </c>
      <c r="O103" s="9">
        <f t="shared" si="7"/>
        <v>0</v>
      </c>
      <c r="R103" s="6">
        <f>SUM(SeeChange!LIFE_CALLED)</f>
        <v>0</v>
      </c>
      <c r="S103" s="1">
        <f>SUM(SeeChange!LIFE_REFUNDED)</f>
        <v>0</v>
      </c>
      <c r="U103" s="1">
        <f>SUM(SeeChange!ALLOC_CALLED)</f>
        <v>0</v>
      </c>
      <c r="V103" s="1">
        <f>SUM(SeeChange!ALLOC_REFUNDED)</f>
        <v>0</v>
      </c>
      <c r="X103" s="1">
        <f>SUM(SeeChange!HEALTH_CALLED)</f>
        <v>14005894</v>
      </c>
      <c r="Y103" s="1">
        <f>SUM(SeeChange!HEALTH_REFUNDED)</f>
        <v>500000</v>
      </c>
      <c r="AA103" s="1">
        <f>SUM(SeeChange!UNALLOC_CALLED)</f>
        <v>0</v>
      </c>
      <c r="AB103" s="9">
        <f>SUM(SeeChange!UNALLOC_REFUNDED)</f>
        <v>0</v>
      </c>
    </row>
    <row r="104" spans="1:28">
      <c r="A104" s="6" t="s">
        <v>619</v>
      </c>
      <c r="B104" s="1" t="s">
        <v>620</v>
      </c>
      <c r="C104" s="1" t="s">
        <v>229</v>
      </c>
      <c r="D104" s="1" t="s">
        <v>621</v>
      </c>
      <c r="E104" s="1" t="s">
        <v>622</v>
      </c>
      <c r="F104" s="1" t="s">
        <v>623</v>
      </c>
      <c r="G104" s="1" t="s">
        <v>624</v>
      </c>
      <c r="H104" s="1">
        <f>SUM('States General'!LIFE)</f>
        <v>2000</v>
      </c>
      <c r="I104" s="1">
        <f>SUM('States General'!ALLOCATED)</f>
        <v>0</v>
      </c>
      <c r="J104" s="1">
        <f>SUM('States General'!HEALTH)</f>
        <v>4936099.3900000006</v>
      </c>
      <c r="K104" s="1">
        <f>SUM('States General'!UNALLOCATED)</f>
        <v>0</v>
      </c>
      <c r="L104" s="1">
        <f>SUM('States General'!LTC)</f>
        <v>0</v>
      </c>
      <c r="M104" s="1">
        <f t="shared" si="6"/>
        <v>4938099.3900000006</v>
      </c>
      <c r="N104" s="6">
        <v>4938099.3900000006</v>
      </c>
      <c r="O104" s="9">
        <f t="shared" si="7"/>
        <v>0</v>
      </c>
      <c r="R104" s="6">
        <f>SUM('States General'!LIFE_CALLED)</f>
        <v>226286</v>
      </c>
      <c r="S104" s="1">
        <f>SUM('States General'!LIFE_REFUNDED)</f>
        <v>0</v>
      </c>
      <c r="U104" s="1">
        <f>SUM('States General'!ALLOC_CALLED)</f>
        <v>0</v>
      </c>
      <c r="V104" s="1">
        <f>SUM('States General'!ALLOC_REFUNDED)</f>
        <v>0</v>
      </c>
      <c r="X104" s="1">
        <f>SUM('States General'!HEALTH_CALLED)</f>
        <v>3959304</v>
      </c>
      <c r="Y104" s="1">
        <f>SUM('States General'!HEALTH_REFUNDED)</f>
        <v>0</v>
      </c>
      <c r="AA104" s="1">
        <f>SUM('States General'!UNALLOC_CALLED)</f>
        <v>0</v>
      </c>
      <c r="AB104" s="9">
        <f>SUM('States General'!UNALLOC_REFUNDED)</f>
        <v>0</v>
      </c>
    </row>
    <row r="105" spans="1:28">
      <c r="A105" s="6" t="s">
        <v>625</v>
      </c>
      <c r="B105" s="1" t="s">
        <v>626</v>
      </c>
      <c r="C105" s="1" t="s">
        <v>229</v>
      </c>
      <c r="D105" s="1" t="s">
        <v>627</v>
      </c>
      <c r="E105" s="1" t="s">
        <v>628</v>
      </c>
      <c r="F105" s="1" t="s">
        <v>629</v>
      </c>
      <c r="G105" s="1" t="s">
        <v>630</v>
      </c>
      <c r="H105" s="1">
        <f>SUM(Statesman!LIFE)</f>
        <v>0</v>
      </c>
      <c r="I105" s="1">
        <f>SUM(Statesman!ALLOCATED)</f>
        <v>0</v>
      </c>
      <c r="J105" s="1">
        <f>SUM(Statesman!HEALTH)</f>
        <v>4051414.9099999983</v>
      </c>
      <c r="K105" s="1">
        <f>SUM(Statesman!UNALLOCATED)</f>
        <v>0</v>
      </c>
      <c r="L105" s="1">
        <f>SUM(Statesman!LTC)</f>
        <v>0</v>
      </c>
      <c r="M105" s="1">
        <f t="shared" si="6"/>
        <v>4051414.9099999983</v>
      </c>
      <c r="N105" s="6">
        <v>4051414.9099999983</v>
      </c>
      <c r="O105" s="9">
        <f t="shared" si="7"/>
        <v>0</v>
      </c>
      <c r="R105" s="6">
        <f>SUM(Statesman!LIFE_CALLED)</f>
        <v>645876</v>
      </c>
      <c r="S105" s="1">
        <f>SUM(Statesman!LIFE_REFUNDED)</f>
        <v>211787</v>
      </c>
      <c r="U105" s="1">
        <f>SUM(Statesman!ALLOC_CALLED)</f>
        <v>0</v>
      </c>
      <c r="V105" s="1">
        <f>SUM(Statesman!ALLOC_REFUNDED)</f>
        <v>0</v>
      </c>
      <c r="X105" s="1">
        <f>SUM(Statesman!HEALTH_CALLED)</f>
        <v>11548200</v>
      </c>
      <c r="Y105" s="1">
        <f>SUM(Statesman!HEALTH_REFUNDED)</f>
        <v>2534083</v>
      </c>
      <c r="AA105" s="1">
        <f>SUM(Statesman!UNALLOC_CALLED)</f>
        <v>0</v>
      </c>
      <c r="AB105" s="9">
        <f>SUM(Statesman!UNALLOC_REFUNDED)</f>
        <v>0</v>
      </c>
    </row>
    <row r="106" spans="1:28">
      <c r="A106" s="6" t="s">
        <v>631</v>
      </c>
      <c r="B106" s="1" t="s">
        <v>632</v>
      </c>
      <c r="C106" s="1" t="s">
        <v>198</v>
      </c>
      <c r="D106" s="1" t="s">
        <v>633</v>
      </c>
      <c r="E106" s="1" t="s">
        <v>634</v>
      </c>
      <c r="F106" s="1" t="s">
        <v>457</v>
      </c>
      <c r="G106" s="1" t="s">
        <v>635</v>
      </c>
      <c r="H106" s="1">
        <f>SUM('Summit National'!LIFE)</f>
        <v>3768842.6602135198</v>
      </c>
      <c r="I106" s="1">
        <f>SUM('Summit National'!ALLOCATED)</f>
        <v>815376.26978646184</v>
      </c>
      <c r="J106" s="1">
        <f>SUM('Summit National'!HEALTH)</f>
        <v>73031.100000000006</v>
      </c>
      <c r="K106" s="1">
        <f>SUM('Summit National'!UNALLOCATED)</f>
        <v>0</v>
      </c>
      <c r="L106" s="1">
        <f>SUM('Summit National'!LTC)</f>
        <v>0</v>
      </c>
      <c r="M106" s="1">
        <f t="shared" si="6"/>
        <v>4657250.0299999816</v>
      </c>
      <c r="N106" s="6">
        <v>4657250.0299999816</v>
      </c>
      <c r="O106" s="9">
        <f t="shared" si="7"/>
        <v>0</v>
      </c>
      <c r="R106" s="6">
        <f>SUM('Summit National'!LIFE_CALLED)</f>
        <v>71046715</v>
      </c>
      <c r="S106" s="1">
        <f>SUM('Summit National'!LIFE_REFUNDED)</f>
        <v>40054374.341363996</v>
      </c>
      <c r="U106" s="1">
        <f>SUM('Summit National'!ALLOC_CALLED)</f>
        <v>31672495</v>
      </c>
      <c r="V106" s="1">
        <f>SUM('Summit National'!ALLOC_REFUNDED)</f>
        <v>12506699.048636001</v>
      </c>
      <c r="X106" s="1">
        <f>SUM('Summit National'!HEALTH_CALLED)</f>
        <v>79818</v>
      </c>
      <c r="Y106" s="1">
        <f>SUM('Summit National'!HEALTH_REFUNDED)</f>
        <v>111672</v>
      </c>
      <c r="AA106" s="1">
        <f>SUM('Summit National'!UNALLOC_CALLED)</f>
        <v>0</v>
      </c>
      <c r="AB106" s="9">
        <f>SUM('Summit National'!UNALLOC_REFUNDED)</f>
        <v>0</v>
      </c>
    </row>
    <row r="107" spans="1:28">
      <c r="A107" s="6" t="s">
        <v>636</v>
      </c>
      <c r="B107" s="1" t="s">
        <v>637</v>
      </c>
      <c r="C107" s="1" t="s">
        <v>310</v>
      </c>
      <c r="E107" s="1" t="s">
        <v>638</v>
      </c>
      <c r="F107" s="1" t="s">
        <v>352</v>
      </c>
      <c r="G107" s="1" t="s">
        <v>639</v>
      </c>
      <c r="H107" s="1">
        <f>SUM(Supreme!LIFE)</f>
        <v>27905.711253215781</v>
      </c>
      <c r="I107" s="1">
        <f>SUM(Supreme!ALLOCATED)</f>
        <v>0</v>
      </c>
      <c r="J107" s="1">
        <f>SUM(Supreme!HEALTH)</f>
        <v>9624.5187467842243</v>
      </c>
      <c r="K107" s="1">
        <f>SUM(Supreme!UNALLOCATED)</f>
        <v>0</v>
      </c>
      <c r="L107" s="1">
        <f>SUM(Supreme!LTC)</f>
        <v>0</v>
      </c>
      <c r="M107" s="1">
        <f t="shared" si="6"/>
        <v>37530.230000000003</v>
      </c>
      <c r="N107" s="6">
        <v>37530.230000000003</v>
      </c>
      <c r="O107" s="9">
        <f t="shared" si="7"/>
        <v>0</v>
      </c>
      <c r="R107" s="6">
        <f>SUM(Supreme!LIFE_CALLED)</f>
        <v>80000</v>
      </c>
      <c r="S107" s="1">
        <f>SUM(Supreme!LIFE_REFUNDED)</f>
        <v>54000</v>
      </c>
      <c r="U107" s="1">
        <f>SUM(Supreme!ALLOC_CALLED)</f>
        <v>0</v>
      </c>
      <c r="V107" s="1">
        <f>SUM(Supreme!ALLOC_REFUNDED)</f>
        <v>0</v>
      </c>
      <c r="X107" s="1">
        <f>SUM(Supreme!HEALTH_CALLED)</f>
        <v>20000</v>
      </c>
      <c r="Y107" s="1">
        <f>SUM(Supreme!HEALTH_REFUNDED)</f>
        <v>24000</v>
      </c>
      <c r="AA107" s="1">
        <f>SUM(Supreme!UNALLOC_CALLED)</f>
        <v>0</v>
      </c>
      <c r="AB107" s="9">
        <f>SUM(Supreme!UNALLOC_REFUNDED)</f>
        <v>0</v>
      </c>
    </row>
    <row r="108" spans="1:28">
      <c r="A108" s="6" t="s">
        <v>640</v>
      </c>
      <c r="B108" s="1" t="s">
        <v>641</v>
      </c>
      <c r="C108" s="1" t="s">
        <v>642</v>
      </c>
      <c r="D108" s="1" t="s">
        <v>643</v>
      </c>
      <c r="E108" s="1" t="s">
        <v>644</v>
      </c>
      <c r="F108" s="1" t="s">
        <v>645</v>
      </c>
      <c r="G108" s="1" t="s">
        <v>646</v>
      </c>
      <c r="H108" s="1">
        <f>SUM(Underwriters!LIFE)</f>
        <v>0</v>
      </c>
      <c r="I108" s="1">
        <f>SUM(Underwriters!ALLOCATED)</f>
        <v>0</v>
      </c>
      <c r="J108" s="1">
        <f>SUM(Underwriters!HEALTH)</f>
        <v>8106994</v>
      </c>
      <c r="K108" s="1">
        <f>SUM(Underwriters!UNALLOCATED)</f>
        <v>0</v>
      </c>
      <c r="L108" s="1">
        <f>SUM(Underwriters!LTC)</f>
        <v>0</v>
      </c>
      <c r="M108" s="1">
        <f t="shared" si="6"/>
        <v>8106994</v>
      </c>
      <c r="N108" s="6">
        <v>8106994</v>
      </c>
      <c r="O108" s="9">
        <f t="shared" si="7"/>
        <v>0</v>
      </c>
      <c r="R108" s="6">
        <f>SUM(Underwriters!LIFE_CALLED)</f>
        <v>136845</v>
      </c>
      <c r="S108" s="1">
        <f>SUM(Underwriters!LIFE_REFUNDED)</f>
        <v>48177.093999999997</v>
      </c>
      <c r="U108" s="1">
        <f>SUM(Underwriters!ALLOC_CALLED)</f>
        <v>514100</v>
      </c>
      <c r="V108" s="1">
        <f>SUM(Underwriters!ALLOC_REFUNDED)</f>
        <v>0</v>
      </c>
      <c r="X108" s="1">
        <f>SUM(Underwriters!HEALTH_CALLED)</f>
        <v>7083431</v>
      </c>
      <c r="Y108" s="1">
        <f>SUM(Underwriters!HEALTH_REFUNDED)</f>
        <v>1408959.2960000001</v>
      </c>
      <c r="AA108" s="1">
        <f>SUM(Underwriters!UNALLOC_CALLED)</f>
        <v>0</v>
      </c>
      <c r="AB108" s="9">
        <f>SUM(Underwriters!UNALLOC_REFUNDED)</f>
        <v>0</v>
      </c>
    </row>
    <row r="109" spans="1:28">
      <c r="A109" s="6" t="s">
        <v>647</v>
      </c>
      <c r="B109" s="1" t="s">
        <v>648</v>
      </c>
      <c r="C109" s="1" t="s">
        <v>245</v>
      </c>
      <c r="D109" s="1" t="s">
        <v>649</v>
      </c>
      <c r="E109" s="1" t="s">
        <v>538</v>
      </c>
      <c r="F109" s="1" t="s">
        <v>395</v>
      </c>
      <c r="G109" s="1" t="s">
        <v>401</v>
      </c>
      <c r="H109" s="1">
        <f>SUM(Unison!LIFE)</f>
        <v>3344192.9688403099</v>
      </c>
      <c r="I109" s="1">
        <f>SUM(Unison!ALLOCATED)</f>
        <v>10066575.645620819</v>
      </c>
      <c r="J109" s="1">
        <f>SUM(Unison!HEALTH)</f>
        <v>4151.474452420307</v>
      </c>
      <c r="K109" s="1">
        <f>SUM(Unison!UNALLOCATED)</f>
        <v>0</v>
      </c>
      <c r="L109" s="1">
        <f>SUM(Unison!LTC)</f>
        <v>0</v>
      </c>
      <c r="M109" s="1">
        <f t="shared" si="6"/>
        <v>13414920.088913551</v>
      </c>
      <c r="N109" s="6">
        <v>13414920.088913549</v>
      </c>
      <c r="O109" s="9">
        <f t="shared" si="7"/>
        <v>0</v>
      </c>
      <c r="R109" s="6">
        <f>SUM(Unison!LIFE_CALLED)</f>
        <v>12164294</v>
      </c>
      <c r="S109" s="1">
        <f>SUM(Unison!LIFE_REFUNDED)</f>
        <v>4473210.9462700002</v>
      </c>
      <c r="U109" s="1">
        <f>SUM(Unison!ALLOC_CALLED)</f>
        <v>9814075</v>
      </c>
      <c r="V109" s="1">
        <f>SUM(Unison!ALLOC_REFUNDED)</f>
        <v>1493192.4337299999</v>
      </c>
      <c r="X109" s="1">
        <f>SUM(Unison!HEALTH_CALLED)</f>
        <v>81022</v>
      </c>
      <c r="Y109" s="1">
        <f>SUM(Unison!HEALTH_REFUNDED)</f>
        <v>100117</v>
      </c>
      <c r="AA109" s="1">
        <f>SUM(Unison!UNALLOC_CALLED)</f>
        <v>0</v>
      </c>
      <c r="AB109" s="9">
        <f>SUM(Unison!UNALLOC_REFUNDED)</f>
        <v>0</v>
      </c>
    </row>
    <row r="110" spans="1:28">
      <c r="A110" s="6" t="s">
        <v>650</v>
      </c>
      <c r="B110" s="1" t="s">
        <v>651</v>
      </c>
      <c r="C110" s="1" t="s">
        <v>381</v>
      </c>
      <c r="D110" s="1" t="s">
        <v>652</v>
      </c>
      <c r="E110" s="1" t="s">
        <v>653</v>
      </c>
      <c r="F110" s="1" t="s">
        <v>654</v>
      </c>
      <c r="G110" s="1" t="s">
        <v>655</v>
      </c>
      <c r="H110" s="1">
        <f>SUM('United Republic'!LIFE)</f>
        <v>13024.421721024919</v>
      </c>
      <c r="I110" s="1">
        <f>SUM('United Republic'!ALLOCATED)</f>
        <v>198.8324883999733</v>
      </c>
      <c r="J110" s="1">
        <f>SUM('United Republic'!HEALTH)</f>
        <v>0</v>
      </c>
      <c r="K110" s="1">
        <f>SUM('United Republic'!UNALLOCATED)</f>
        <v>27443.965790575112</v>
      </c>
      <c r="L110" s="1">
        <f>SUM('United Republic'!LTC)</f>
        <v>0</v>
      </c>
      <c r="M110" s="1">
        <f t="shared" si="6"/>
        <v>40667.22</v>
      </c>
      <c r="N110" s="6">
        <v>40667.22</v>
      </c>
      <c r="O110" s="9">
        <f t="shared" si="7"/>
        <v>0</v>
      </c>
      <c r="R110" s="6">
        <f>SUM('United Republic'!LIFE_CALLED)</f>
        <v>57000</v>
      </c>
      <c r="S110" s="1">
        <f>SUM('United Republic'!LIFE_REFUNDED)</f>
        <v>0</v>
      </c>
      <c r="U110" s="1">
        <f>SUM('United Republic'!ALLOC_CALLED)</f>
        <v>0</v>
      </c>
      <c r="V110" s="1">
        <f>SUM('United Republic'!ALLOC_REFUNDED)</f>
        <v>0</v>
      </c>
      <c r="X110" s="1">
        <f>SUM('United Republic'!HEALTH_CALLED)</f>
        <v>0</v>
      </c>
      <c r="Y110" s="1">
        <f>SUM('United Republic'!HEALTH_REFUNDED)</f>
        <v>0</v>
      </c>
      <c r="AA110" s="1">
        <f>SUM('United Republic'!UNALLOC_CALLED)</f>
        <v>0</v>
      </c>
      <c r="AB110" s="9">
        <f>SUM('United Republic'!UNALLOC_REFUNDED)</f>
        <v>0</v>
      </c>
    </row>
    <row r="111" spans="1:28">
      <c r="A111" s="6" t="s">
        <v>656</v>
      </c>
      <c r="B111" s="1" t="s">
        <v>657</v>
      </c>
      <c r="C111" s="1" t="s">
        <v>658</v>
      </c>
      <c r="D111" s="1" t="s">
        <v>659</v>
      </c>
      <c r="E111" s="1" t="s">
        <v>660</v>
      </c>
      <c r="F111" s="1" t="s">
        <v>661</v>
      </c>
      <c r="G111" s="1" t="s">
        <v>662</v>
      </c>
      <c r="H111" s="1">
        <f>SUM(Universe!LIFE)</f>
        <v>0</v>
      </c>
      <c r="I111" s="1">
        <f>SUM(Universe!ALLOCATED)</f>
        <v>0</v>
      </c>
      <c r="J111" s="1">
        <f>SUM(Universe!HEALTH)</f>
        <v>10397891.84</v>
      </c>
      <c r="K111" s="1">
        <f>SUM(Universe!UNALLOCATED)</f>
        <v>0</v>
      </c>
      <c r="L111" s="1">
        <f>SUM(Universe!LTC)</f>
        <v>0</v>
      </c>
      <c r="M111" s="1">
        <f t="shared" si="6"/>
        <v>10397891.84</v>
      </c>
      <c r="N111" s="6">
        <v>10397891.84</v>
      </c>
      <c r="O111" s="9">
        <f t="shared" si="7"/>
        <v>0</v>
      </c>
      <c r="R111" s="6">
        <f>SUM(Universe!LIFE_CALLED)</f>
        <v>122316</v>
      </c>
      <c r="S111" s="1">
        <f>SUM(Universe!LIFE_REFUNDED)</f>
        <v>718.197</v>
      </c>
      <c r="U111" s="1">
        <f>SUM(Universe!ALLOC_CALLED)</f>
        <v>5000</v>
      </c>
      <c r="V111" s="1">
        <f>SUM(Universe!ALLOC_REFUNDED)</f>
        <v>0</v>
      </c>
      <c r="X111" s="1">
        <f>SUM(Universe!HEALTH_CALLED)</f>
        <v>7662381</v>
      </c>
      <c r="Y111" s="1">
        <f>SUM(Universe!HEALTH_REFUNDED)</f>
        <v>851691.65300000005</v>
      </c>
      <c r="AA111" s="1">
        <f>SUM(Universe!UNALLOC_CALLED)</f>
        <v>0</v>
      </c>
      <c r="AB111" s="9">
        <f>SUM(Universe!UNALLOC_REFUNDED)</f>
        <v>0</v>
      </c>
    </row>
    <row r="112" spans="1:28">
      <c r="A112" s="6" t="s">
        <v>663</v>
      </c>
      <c r="B112" s="1" t="s">
        <v>664</v>
      </c>
      <c r="C112" s="1" t="s">
        <v>198</v>
      </c>
      <c r="D112" s="1" t="s">
        <v>544</v>
      </c>
      <c r="E112" s="1" t="s">
        <v>545</v>
      </c>
      <c r="F112" s="1" t="s">
        <v>352</v>
      </c>
      <c r="G112" s="1" t="s">
        <v>546</v>
      </c>
      <c r="H112" s="1">
        <f>SUM(Villanova!LIFE)</f>
        <v>0</v>
      </c>
      <c r="I112" s="1">
        <f>SUM(Villanova!ALLOCATED)</f>
        <v>0</v>
      </c>
      <c r="J112" s="1">
        <f>SUM(Villanova!HEALTH)</f>
        <v>0</v>
      </c>
      <c r="K112" s="1">
        <f>SUM(Villanova!UNALLOCATED)</f>
        <v>0</v>
      </c>
      <c r="L112" s="1">
        <f>SUM(Villanova!LTC)</f>
        <v>0</v>
      </c>
      <c r="M112" s="1">
        <f t="shared" si="6"/>
        <v>0</v>
      </c>
      <c r="N112" s="6">
        <v>0</v>
      </c>
      <c r="O112" s="9">
        <f t="shared" si="7"/>
        <v>0</v>
      </c>
      <c r="R112" s="6">
        <f>SUM(Villanova!LIFE_CALLED)</f>
        <v>0</v>
      </c>
      <c r="S112" s="1">
        <f>SUM(Villanova!LIFE_REFUNDED)</f>
        <v>170000</v>
      </c>
      <c r="U112" s="1">
        <f>SUM(Villanova!ALLOC_CALLED)</f>
        <v>0</v>
      </c>
      <c r="V112" s="1">
        <f>SUM(Villanova!ALLOC_REFUNDED)</f>
        <v>0</v>
      </c>
      <c r="X112" s="1">
        <f>SUM(Villanova!HEALTH_CALLED)</f>
        <v>400000</v>
      </c>
      <c r="Y112" s="1">
        <f>SUM(Villanova!HEALTH_REFUNDED)</f>
        <v>0</v>
      </c>
      <c r="AA112" s="1">
        <f>SUM(Villanova!UNALLOC_CALLED)</f>
        <v>0</v>
      </c>
      <c r="AB112" s="9">
        <f>SUM(Villanova!UNALLOC_REFUNDED)</f>
        <v>0</v>
      </c>
    </row>
    <row r="113" spans="1:28" ht="6.9" customHeight="1" thickBot="1">
      <c r="A113" s="8"/>
      <c r="B113" s="5"/>
      <c r="C113" s="5"/>
      <c r="D113" s="5"/>
      <c r="E113" s="5"/>
      <c r="F113" s="5"/>
      <c r="G113" s="5"/>
      <c r="H113" s="5"/>
      <c r="I113" s="5"/>
      <c r="J113" s="5"/>
      <c r="K113" s="5"/>
      <c r="L113" s="5"/>
      <c r="M113" s="5"/>
      <c r="N113" s="8"/>
      <c r="O113" s="11"/>
      <c r="R113" s="8"/>
      <c r="S113" s="5"/>
      <c r="T113" s="5"/>
      <c r="U113" s="5"/>
      <c r="V113" s="5"/>
      <c r="W113" s="5"/>
      <c r="X113" s="5"/>
      <c r="Y113" s="5"/>
      <c r="Z113" s="5"/>
      <c r="AA113" s="5"/>
      <c r="AB113" s="11"/>
    </row>
    <row r="114" spans="1:28" ht="15" thickBot="1">
      <c r="A114" s="31" t="s">
        <v>665</v>
      </c>
      <c r="B114" s="30"/>
      <c r="C114" s="30"/>
      <c r="D114" s="30"/>
      <c r="E114" s="30"/>
      <c r="F114" s="30"/>
      <c r="G114" s="30"/>
      <c r="H114" s="30">
        <f>SUM(EC_LIFE)</f>
        <v>292899306.14661783</v>
      </c>
      <c r="I114" s="30">
        <f>SUM(EC_ALLOCATED)</f>
        <v>764842286.01808488</v>
      </c>
      <c r="J114" s="30">
        <f>SUM(EC_HEALTH)</f>
        <v>189468117.7137382</v>
      </c>
      <c r="K114" s="30">
        <f>SUM(EC_UNALLOCATED)</f>
        <v>22452017.039440565</v>
      </c>
      <c r="L114" s="30">
        <f>SUM(EC_LTC)</f>
        <v>0</v>
      </c>
      <c r="M114" s="30">
        <f>SUM(EC_TOTAL)</f>
        <v>1269661726.9178813</v>
      </c>
      <c r="N114" s="33">
        <f>SUM(EC_TOTAL_PREV)</f>
        <v>1269554570.1378813</v>
      </c>
      <c r="O114" s="32">
        <f>SUM(EC_CHANGE)</f>
        <v>107156.77999997133</v>
      </c>
      <c r="R114" s="33">
        <f>SUM(EC_LIFE_CALLED)</f>
        <v>921379756</v>
      </c>
      <c r="S114" s="30">
        <f>SUM(EC_LIFE_REFUNDED)</f>
        <v>323555613.17595947</v>
      </c>
      <c r="T114" s="30"/>
      <c r="U114" s="30">
        <f>SUM(EC_ALLOC_CALLED)</f>
        <v>1136530931</v>
      </c>
      <c r="V114" s="30">
        <f>SUM(EC_ALLOC_REFUNDED)</f>
        <v>269336981.73427838</v>
      </c>
      <c r="W114" s="30"/>
      <c r="X114" s="30">
        <f>SUM(EC_HEALTH_CALLED)</f>
        <v>390161636.5</v>
      </c>
      <c r="Y114" s="30">
        <f>SUM(EC_HEALTH_REFUNDED)</f>
        <v>112272921.93976203</v>
      </c>
      <c r="Z114" s="30"/>
      <c r="AA114" s="30">
        <f>SUM(EC_UNALLOC_CALLED)</f>
        <v>235647234</v>
      </c>
      <c r="AB114" s="32">
        <f>SUM(EC_UNALLOC_REFUNDED)</f>
        <v>98513911.999999985</v>
      </c>
    </row>
    <row r="116" spans="1:28">
      <c r="A116" s="27" t="s">
        <v>666</v>
      </c>
      <c r="B116" s="26"/>
      <c r="C116" s="26"/>
      <c r="D116" s="26"/>
      <c r="E116" s="26"/>
      <c r="F116" s="26"/>
      <c r="G116" s="26"/>
      <c r="H116" s="26"/>
      <c r="I116" s="26"/>
      <c r="J116" s="26"/>
      <c r="K116" s="26"/>
      <c r="L116" s="26"/>
      <c r="M116" s="26"/>
      <c r="N116" s="29"/>
      <c r="O116" s="28"/>
      <c r="R116" s="29"/>
      <c r="S116" s="26"/>
      <c r="T116" s="26"/>
      <c r="U116" s="26"/>
      <c r="V116" s="26"/>
      <c r="W116" s="26"/>
      <c r="X116" s="26"/>
      <c r="Y116" s="26"/>
      <c r="Z116" s="26"/>
      <c r="AA116" s="26"/>
      <c r="AB116" s="28"/>
    </row>
    <row r="117" spans="1:28" ht="6.9" customHeight="1">
      <c r="A117" s="6"/>
      <c r="N117" s="6"/>
      <c r="O117" s="9"/>
      <c r="R117" s="6"/>
      <c r="AB117" s="9"/>
    </row>
    <row r="118" spans="1:28">
      <c r="A118" s="6" t="s">
        <v>667</v>
      </c>
      <c r="B118" s="1" t="s">
        <v>668</v>
      </c>
      <c r="C118" s="1" t="s">
        <v>424</v>
      </c>
      <c r="D118" s="1" t="s">
        <v>669</v>
      </c>
      <c r="H118" s="1">
        <f>SUM('American Community'!LIFE)</f>
        <v>3248.7721903966681</v>
      </c>
      <c r="I118" s="1">
        <f>SUM('American Community'!ALLOCATED)</f>
        <v>0</v>
      </c>
      <c r="J118" s="1">
        <f>SUM('American Community'!HEALTH)</f>
        <v>269964.59780960332</v>
      </c>
      <c r="K118" s="1">
        <f>SUM('American Community'!UNALLOCATED)</f>
        <v>0</v>
      </c>
      <c r="L118" s="1">
        <f>SUM('American Community'!LTC)</f>
        <v>0</v>
      </c>
      <c r="M118" s="1">
        <f t="shared" ref="M118:M125" si="8">SUM(H118:L118)</f>
        <v>273213.37</v>
      </c>
      <c r="N118" s="6">
        <v>273213.37</v>
      </c>
      <c r="O118" s="9">
        <f t="shared" ref="O118:O125" si="9">+M118-N118</f>
        <v>0</v>
      </c>
      <c r="R118" s="6">
        <f>SUM('American Community'!LIFE_CALLED)</f>
        <v>0</v>
      </c>
      <c r="S118" s="1">
        <f>SUM('American Community'!LIFE_REFUNDED)</f>
        <v>0</v>
      </c>
      <c r="U118" s="1">
        <f>SUM('American Community'!ALLOC_CALLED)</f>
        <v>0</v>
      </c>
      <c r="V118" s="1">
        <f>SUM('American Community'!ALLOC_REFUNDED)</f>
        <v>0</v>
      </c>
      <c r="X118" s="1">
        <f>SUM('American Community'!HEALTH_CALLED)</f>
        <v>0</v>
      </c>
      <c r="Y118" s="1">
        <f>SUM('American Community'!HEALTH_REFUNDED)</f>
        <v>0</v>
      </c>
      <c r="AA118" s="1">
        <f>SUM('American Community'!UNALLOC_CALLED)</f>
        <v>0</v>
      </c>
      <c r="AB118" s="9">
        <f>SUM('American Community'!UNALLOC_REFUNDED)</f>
        <v>0</v>
      </c>
    </row>
    <row r="119" spans="1:28" ht="13.8" customHeight="1">
      <c r="A119" s="6" t="s">
        <v>670</v>
      </c>
      <c r="B119" s="1" t="s">
        <v>671</v>
      </c>
      <c r="C119" s="1" t="s">
        <v>417</v>
      </c>
      <c r="D119" s="1" t="s">
        <v>672</v>
      </c>
      <c r="F119" s="134" t="s">
        <v>673</v>
      </c>
      <c r="G119" s="134"/>
      <c r="H119" s="1">
        <f>SUM('Confed Life &amp; Annty (CLIAC)'!LIFE)</f>
        <v>0</v>
      </c>
      <c r="I119" s="1">
        <f>SUM('Confed Life &amp; Annty (CLIAC)'!ALLOCATED)</f>
        <v>0</v>
      </c>
      <c r="J119" s="1">
        <f>SUM('Confed Life &amp; Annty (CLIAC)'!HEALTH)</f>
        <v>0</v>
      </c>
      <c r="K119" s="1">
        <f>SUM('Confed Life &amp; Annty (CLIAC)'!UNALLOCATED)</f>
        <v>0</v>
      </c>
      <c r="L119" s="1">
        <f>SUM('Confed Life &amp; Annty (CLIAC)'!LTC)</f>
        <v>0</v>
      </c>
      <c r="M119" s="1">
        <f t="shared" si="8"/>
        <v>0</v>
      </c>
      <c r="N119" s="6">
        <v>0</v>
      </c>
      <c r="O119" s="9">
        <f t="shared" si="9"/>
        <v>0</v>
      </c>
      <c r="R119" s="6">
        <f>SUM('Confed Life &amp; Annty (CLIAC)'!LIFE_CALLED)</f>
        <v>0</v>
      </c>
      <c r="S119" s="1">
        <f>SUM('Confed Life &amp; Annty (CLIAC)'!LIFE_REFUNDED)</f>
        <v>0</v>
      </c>
      <c r="U119" s="1">
        <f>SUM('Confed Life &amp; Annty (CLIAC)'!ALLOC_CALLED)</f>
        <v>0</v>
      </c>
      <c r="V119" s="1">
        <f>SUM('Confed Life &amp; Annty (CLIAC)'!ALLOC_REFUNDED)</f>
        <v>0</v>
      </c>
      <c r="X119" s="1">
        <f>SUM('Confed Life &amp; Annty (CLIAC)'!HEALTH_CALLED)</f>
        <v>0</v>
      </c>
      <c r="Y119" s="1">
        <f>SUM('Confed Life &amp; Annty (CLIAC)'!HEALTH_REFUNDED)</f>
        <v>0</v>
      </c>
      <c r="AA119" s="1">
        <f>SUM('Confed Life &amp; Annty (CLIAC)'!UNALLOC_CALLED)</f>
        <v>0</v>
      </c>
      <c r="AB119" s="9">
        <f>SUM('Confed Life &amp; Annty (CLIAC)'!UNALLOC_REFUNDED)</f>
        <v>0</v>
      </c>
    </row>
    <row r="120" spans="1:28" ht="15" customHeight="1">
      <c r="A120" s="6" t="s">
        <v>674</v>
      </c>
      <c r="B120" s="1" t="s">
        <v>675</v>
      </c>
      <c r="C120" s="1" t="s">
        <v>198</v>
      </c>
      <c r="D120" s="1" t="s">
        <v>676</v>
      </c>
      <c r="F120" s="134" t="s">
        <v>705</v>
      </c>
      <c r="G120" s="134"/>
      <c r="H120" s="1">
        <f>SUM('Fidelity Mutual'!LIFE)</f>
        <v>1134134.3122653055</v>
      </c>
      <c r="I120" s="1">
        <f>SUM('Fidelity Mutual'!ALLOCATED)</f>
        <v>114162.15182068512</v>
      </c>
      <c r="J120" s="1">
        <f>SUM('Fidelity Mutual'!HEALTH)</f>
        <v>0</v>
      </c>
      <c r="K120" s="1">
        <f>SUM('Fidelity Mutual'!UNALLOCATED)</f>
        <v>28074.675914009502</v>
      </c>
      <c r="L120" s="1">
        <f>SUM('Fidelity Mutual'!LTC)</f>
        <v>0</v>
      </c>
      <c r="M120" s="1">
        <f t="shared" si="8"/>
        <v>1276371.1400000001</v>
      </c>
      <c r="N120" s="6">
        <v>1276371.1400000013</v>
      </c>
      <c r="O120" s="9">
        <f t="shared" si="9"/>
        <v>0</v>
      </c>
      <c r="R120" s="6">
        <f>SUM('Fidelity Mutual'!LIFE_CALLED)</f>
        <v>41049</v>
      </c>
      <c r="S120" s="1">
        <f>SUM('Fidelity Mutual'!LIFE_REFUNDED)</f>
        <v>0</v>
      </c>
      <c r="U120" s="1">
        <f>SUM('Fidelity Mutual'!ALLOC_CALLED)</f>
        <v>3876</v>
      </c>
      <c r="V120" s="1">
        <f>SUM('Fidelity Mutual'!ALLOC_REFUNDED)</f>
        <v>0</v>
      </c>
      <c r="X120" s="1">
        <f>SUM('Fidelity Mutual'!HEALTH_CALLED)</f>
        <v>0</v>
      </c>
      <c r="Y120" s="1">
        <f>SUM('Fidelity Mutual'!HEALTH_REFUNDED)</f>
        <v>0</v>
      </c>
      <c r="AA120" s="1">
        <f>SUM('Fidelity Mutual'!UNALLOC_CALLED)</f>
        <v>0</v>
      </c>
      <c r="AB120" s="9">
        <f>SUM('Fidelity Mutual'!UNALLOC_REFUNDED)</f>
        <v>0</v>
      </c>
    </row>
    <row r="121" spans="1:28">
      <c r="A121" s="6" t="s">
        <v>677</v>
      </c>
      <c r="B121" s="1" t="s">
        <v>678</v>
      </c>
      <c r="C121" s="1" t="s">
        <v>216</v>
      </c>
      <c r="D121" s="1" t="s">
        <v>679</v>
      </c>
      <c r="F121" s="134" t="s">
        <v>680</v>
      </c>
      <c r="G121" s="134"/>
      <c r="H121" s="1">
        <f>SUM('First Capital'!LIFE)</f>
        <v>43288.647479271953</v>
      </c>
      <c r="I121" s="1">
        <f>SUM('First Capital'!ALLOCATED)</f>
        <v>4041.0925207280943</v>
      </c>
      <c r="J121" s="1">
        <f>SUM('First Capital'!HEALTH)</f>
        <v>0</v>
      </c>
      <c r="K121" s="1">
        <f>SUM('First Capital'!UNALLOCATED)</f>
        <v>0</v>
      </c>
      <c r="L121" s="1">
        <f>SUM('First Capital'!LTC)</f>
        <v>0</v>
      </c>
      <c r="M121" s="1">
        <f t="shared" si="8"/>
        <v>47329.740000000049</v>
      </c>
      <c r="N121" s="6">
        <v>47329.740000000042</v>
      </c>
      <c r="O121" s="9">
        <f t="shared" si="9"/>
        <v>0</v>
      </c>
      <c r="R121" s="6">
        <f>SUM('First Capital'!LIFE_CALLED)</f>
        <v>611924</v>
      </c>
      <c r="S121" s="1">
        <f>SUM('First Capital'!LIFE_REFUNDED)</f>
        <v>17671</v>
      </c>
      <c r="U121" s="1">
        <f>SUM('First Capital'!ALLOC_CALLED)</f>
        <v>712595</v>
      </c>
      <c r="V121" s="1">
        <f>SUM('First Capital'!ALLOC_REFUNDED)</f>
        <v>2463</v>
      </c>
      <c r="X121" s="1">
        <f>SUM('First Capital'!HEALTH_CALLED)</f>
        <v>10</v>
      </c>
      <c r="Y121" s="1">
        <f>SUM('First Capital'!HEALTH_REFUNDED)</f>
        <v>0</v>
      </c>
      <c r="AA121" s="1">
        <f>SUM('First Capital'!UNALLOC_CALLED)</f>
        <v>0</v>
      </c>
      <c r="AB121" s="9">
        <f>SUM('First Capital'!UNALLOC_REFUNDED)</f>
        <v>0</v>
      </c>
    </row>
    <row r="122" spans="1:28">
      <c r="A122" s="6" t="s">
        <v>681</v>
      </c>
      <c r="B122" s="1" t="s">
        <v>682</v>
      </c>
      <c r="C122" s="1" t="s">
        <v>245</v>
      </c>
      <c r="D122" s="1" t="s">
        <v>683</v>
      </c>
      <c r="F122" s="134" t="s">
        <v>705</v>
      </c>
      <c r="G122" s="134"/>
      <c r="H122" s="1">
        <f>SUM(Midcontinent!LIFE)</f>
        <v>366333.17945871997</v>
      </c>
      <c r="I122" s="1">
        <f>SUM(Midcontinent!ALLOCATED)</f>
        <v>1431.9459078688583</v>
      </c>
      <c r="J122" s="1">
        <f>SUM(Midcontinent!HEALTH)</f>
        <v>405.66463341108988</v>
      </c>
      <c r="K122" s="1">
        <f>SUM(Midcontinent!UNALLOCATED)</f>
        <v>0</v>
      </c>
      <c r="L122" s="1">
        <f>SUM(Midcontinent!LTC)</f>
        <v>0</v>
      </c>
      <c r="M122" s="1">
        <f t="shared" si="8"/>
        <v>368170.78999999992</v>
      </c>
      <c r="N122" s="6">
        <v>368170.78999999992</v>
      </c>
      <c r="O122" s="9">
        <f t="shared" si="9"/>
        <v>0</v>
      </c>
      <c r="R122" s="6">
        <f>SUM(Midcontinent!LIFE_CALLED)</f>
        <v>9571</v>
      </c>
      <c r="S122" s="1">
        <f>SUM(Midcontinent!LIFE_REFUNDED)</f>
        <v>0</v>
      </c>
      <c r="U122" s="1">
        <f>SUM(Midcontinent!ALLOC_CALLED)</f>
        <v>0</v>
      </c>
      <c r="V122" s="1">
        <f>SUM(Midcontinent!ALLOC_REFUNDED)</f>
        <v>0</v>
      </c>
      <c r="X122" s="1">
        <f>SUM(Midcontinent!HEALTH_CALLED)</f>
        <v>0</v>
      </c>
      <c r="Y122" s="1">
        <f>SUM(Midcontinent!HEALTH_REFUNDED)</f>
        <v>0</v>
      </c>
      <c r="AA122" s="1">
        <f>SUM(Midcontinent!UNALLOC_CALLED)</f>
        <v>0</v>
      </c>
      <c r="AB122" s="9">
        <f>SUM(Midcontinent!UNALLOC_REFUNDED)</f>
        <v>0</v>
      </c>
    </row>
    <row r="123" spans="1:28">
      <c r="A123" s="6" t="s">
        <v>684</v>
      </c>
      <c r="B123" s="1" t="s">
        <v>685</v>
      </c>
      <c r="C123" s="1" t="s">
        <v>424</v>
      </c>
      <c r="D123" s="1" t="s">
        <v>686</v>
      </c>
      <c r="H123" s="1">
        <f>SUM('Pavonia Life'!LIFE)</f>
        <v>96300489.852400944</v>
      </c>
      <c r="I123" s="1">
        <f>SUM('Pavonia Life'!ALLOCATED)</f>
        <v>0</v>
      </c>
      <c r="J123" s="1">
        <f>SUM('Pavonia Life'!HEALTH)</f>
        <v>1465362.1075990763</v>
      </c>
      <c r="K123" s="1">
        <f>SUM('Pavonia Life'!UNALLOCATED)</f>
        <v>0</v>
      </c>
      <c r="L123" s="1">
        <f>SUM('Pavonia Life'!LTC)</f>
        <v>0</v>
      </c>
      <c r="M123" s="1">
        <f t="shared" si="8"/>
        <v>97765851.960000023</v>
      </c>
      <c r="N123" s="6">
        <v>97765851.959999979</v>
      </c>
      <c r="O123" s="9">
        <f t="shared" si="9"/>
        <v>0</v>
      </c>
      <c r="R123" s="6">
        <f>SUM('Pavonia Life'!LIFE_CALLED)</f>
        <v>0</v>
      </c>
      <c r="S123" s="1">
        <f>SUM('Pavonia Life'!LIFE_REFUNDED)</f>
        <v>0</v>
      </c>
      <c r="U123" s="1">
        <f>SUM('Pavonia Life'!ALLOC_CALLED)</f>
        <v>0</v>
      </c>
      <c r="V123" s="1">
        <f>SUM('Pavonia Life'!ALLOC_REFUNDED)</f>
        <v>0</v>
      </c>
      <c r="X123" s="1">
        <f>SUM('Pavonia Life'!HEALTH_CALLED)</f>
        <v>0</v>
      </c>
      <c r="Y123" s="1">
        <f>SUM('Pavonia Life'!HEALTH_REFUNDED)</f>
        <v>0</v>
      </c>
      <c r="AA123" s="1">
        <f>SUM('Pavonia Life'!UNALLOC_CALLED)</f>
        <v>0</v>
      </c>
      <c r="AB123" s="9">
        <f>SUM('Pavonia Life'!UNALLOC_REFUNDED)</f>
        <v>0</v>
      </c>
    </row>
    <row r="124" spans="1:28">
      <c r="A124" s="6" t="s">
        <v>687</v>
      </c>
      <c r="B124" s="1" t="s">
        <v>688</v>
      </c>
      <c r="C124" s="1" t="s">
        <v>470</v>
      </c>
      <c r="D124" s="1" t="s">
        <v>689</v>
      </c>
      <c r="F124" s="134" t="s">
        <v>705</v>
      </c>
      <c r="G124" s="134"/>
      <c r="H124" s="1">
        <f>SUM(Settlers!LIFE)</f>
        <v>101244.24722669797</v>
      </c>
      <c r="I124" s="1">
        <f>SUM(Settlers!ALLOCATED)</f>
        <v>0</v>
      </c>
      <c r="J124" s="1">
        <f>SUM(Settlers!HEALTH)</f>
        <v>26320.752773302029</v>
      </c>
      <c r="K124" s="1">
        <f>SUM(Settlers!UNALLOCATED)</f>
        <v>0</v>
      </c>
      <c r="L124" s="1">
        <f>SUM(Settlers!LTC)</f>
        <v>0</v>
      </c>
      <c r="M124" s="1">
        <f t="shared" si="8"/>
        <v>127565</v>
      </c>
      <c r="N124" s="6">
        <v>127564.99999999999</v>
      </c>
      <c r="O124" s="9">
        <f t="shared" si="9"/>
        <v>0</v>
      </c>
      <c r="R124" s="6">
        <f>SUM(Settlers!LIFE_CALLED)</f>
        <v>97500</v>
      </c>
      <c r="S124" s="1">
        <f>SUM(Settlers!LIFE_REFUNDED)</f>
        <v>0</v>
      </c>
      <c r="U124" s="1">
        <f>SUM(Settlers!ALLOC_CALLED)</f>
        <v>0</v>
      </c>
      <c r="V124" s="1">
        <f>SUM(Settlers!ALLOC_REFUNDED)</f>
        <v>0</v>
      </c>
      <c r="X124" s="1">
        <f>SUM(Settlers!HEALTH_CALLED)</f>
        <v>15000</v>
      </c>
      <c r="Y124" s="1">
        <f>SUM(Settlers!HEALTH_REFUNDED)</f>
        <v>0</v>
      </c>
      <c r="AA124" s="1">
        <f>SUM(Settlers!UNALLOC_CALLED)</f>
        <v>0</v>
      </c>
      <c r="AB124" s="9">
        <f>SUM(Settlers!UNALLOC_REFUNDED)</f>
        <v>0</v>
      </c>
    </row>
    <row r="125" spans="1:28">
      <c r="A125" s="6" t="s">
        <v>690</v>
      </c>
      <c r="B125" s="1" t="s">
        <v>691</v>
      </c>
      <c r="C125" s="1" t="s">
        <v>470</v>
      </c>
      <c r="D125" s="1" t="s">
        <v>692</v>
      </c>
      <c r="H125" s="1">
        <f>SUM(Shenandoah!LIFE)</f>
        <v>228565.34642946458</v>
      </c>
      <c r="I125" s="1">
        <f>SUM(Shenandoah!ALLOCATED)</f>
        <v>186292.59836527158</v>
      </c>
      <c r="J125" s="1">
        <f>SUM(Shenandoah!HEALTH)</f>
        <v>151601.61520526381</v>
      </c>
      <c r="K125" s="1">
        <f>SUM(Shenandoah!UNALLOCATED)</f>
        <v>0</v>
      </c>
      <c r="L125" s="1">
        <f>SUM(Shenandoah!LTC)</f>
        <v>0</v>
      </c>
      <c r="M125" s="1">
        <f t="shared" si="8"/>
        <v>566459.55999999994</v>
      </c>
      <c r="N125" s="6">
        <v>566459.56000000006</v>
      </c>
      <c r="O125" s="9">
        <f t="shared" si="9"/>
        <v>0</v>
      </c>
      <c r="R125" s="6">
        <f>SUM(Shenandoah!LIFE_CALLED)</f>
        <v>63000</v>
      </c>
      <c r="S125" s="1">
        <f>SUM(Shenandoah!LIFE_REFUNDED)</f>
        <v>0</v>
      </c>
      <c r="U125" s="1">
        <f>SUM(Shenandoah!ALLOC_CALLED)</f>
        <v>40500</v>
      </c>
      <c r="V125" s="1">
        <f>SUM(Shenandoah!ALLOC_REFUNDED)</f>
        <v>0</v>
      </c>
      <c r="X125" s="1">
        <f>SUM(Shenandoah!HEALTH_CALLED)</f>
        <v>46500</v>
      </c>
      <c r="Y125" s="1">
        <f>SUM(Shenandoah!HEALTH_REFUNDED)</f>
        <v>0</v>
      </c>
      <c r="AA125" s="1">
        <f>SUM(Shenandoah!UNALLOC_CALLED)</f>
        <v>0</v>
      </c>
      <c r="AB125" s="9">
        <f>SUM(Shenandoah!UNALLOC_REFUNDED)</f>
        <v>0</v>
      </c>
    </row>
    <row r="126" spans="1:28" ht="6.9" customHeight="1" thickBot="1">
      <c r="A126" s="8"/>
      <c r="B126" s="5"/>
      <c r="C126" s="5"/>
      <c r="D126" s="5"/>
      <c r="E126" s="5"/>
      <c r="F126" s="5"/>
      <c r="G126" s="5"/>
      <c r="H126" s="5"/>
      <c r="I126" s="5"/>
      <c r="J126" s="5"/>
      <c r="K126" s="5"/>
      <c r="L126" s="5"/>
      <c r="M126" s="5"/>
      <c r="N126" s="8"/>
      <c r="O126" s="11"/>
      <c r="R126" s="8"/>
      <c r="S126" s="5"/>
      <c r="T126" s="5"/>
      <c r="U126" s="5"/>
      <c r="V126" s="5"/>
      <c r="W126" s="5"/>
      <c r="X126" s="5"/>
      <c r="Y126" s="5"/>
      <c r="Z126" s="5"/>
      <c r="AA126" s="5"/>
      <c r="AB126" s="11"/>
    </row>
    <row r="127" spans="1:28" ht="15" thickBot="1">
      <c r="A127" s="31" t="s">
        <v>693</v>
      </c>
      <c r="B127" s="30"/>
      <c r="C127" s="30"/>
      <c r="D127" s="30"/>
      <c r="E127" s="30"/>
      <c r="F127" s="30"/>
      <c r="G127" s="30"/>
      <c r="H127" s="30">
        <f>SUM(RE_LIFE)</f>
        <v>98177304.357450798</v>
      </c>
      <c r="I127" s="30">
        <f>SUM(RE_ALLOCATED)</f>
        <v>305927.78861455363</v>
      </c>
      <c r="J127" s="30">
        <f>SUM(RE_HEALTH)</f>
        <v>1913654.7380206566</v>
      </c>
      <c r="K127" s="30">
        <f>SUM(RE_UNALLOCATED)</f>
        <v>28074.675914009502</v>
      </c>
      <c r="L127" s="30">
        <f>SUM(RE_LTC)</f>
        <v>0</v>
      </c>
      <c r="M127" s="30">
        <f>SUM(RE_TOTAL)</f>
        <v>100424961.56000003</v>
      </c>
      <c r="N127" s="33">
        <f>SUM(RE_TOTAL_PREV)</f>
        <v>100424961.55999999</v>
      </c>
      <c r="O127" s="32">
        <f>SUM(RE_CHANGE)</f>
        <v>0</v>
      </c>
      <c r="R127" s="33">
        <f>SUM(RE_LIFE_CALLED)</f>
        <v>823044</v>
      </c>
      <c r="S127" s="30">
        <f>SUM(RE_LIFE_REFUNDED)</f>
        <v>17671</v>
      </c>
      <c r="T127" s="30"/>
      <c r="U127" s="30">
        <f>SUM(RE_ALLOC_CALLED)</f>
        <v>756971</v>
      </c>
      <c r="V127" s="30">
        <f>SUM(RE_ALLOC_REFUNDED)</f>
        <v>2463</v>
      </c>
      <c r="W127" s="30"/>
      <c r="X127" s="30">
        <f>SUM(RE_HEALTH_CALLED)</f>
        <v>61510</v>
      </c>
      <c r="Y127" s="30">
        <f>SUM(RE_HEALTH_REFUNDED)</f>
        <v>0</v>
      </c>
      <c r="Z127" s="30"/>
      <c r="AA127" s="30">
        <f>SUM(RE_UNALLOC_CALLED)</f>
        <v>0</v>
      </c>
      <c r="AB127" s="32">
        <f>SUM(RE_UNALLOC_REFUNDED)</f>
        <v>0</v>
      </c>
    </row>
    <row r="129" spans="1:28" ht="15" thickBot="1">
      <c r="A129" s="31" t="s">
        <v>694</v>
      </c>
      <c r="B129" s="30"/>
      <c r="C129" s="30"/>
      <c r="D129" s="30"/>
      <c r="E129" s="30"/>
      <c r="F129" s="30"/>
      <c r="G129" s="30"/>
      <c r="H129" s="30">
        <f>SUM(PL_LIFE)+SUM(OP_LIFE)+SUM(CL_LIFE)+SUM(EC_LIFE)+SUM(RE_LIFE)</f>
        <v>2192135214.3774199</v>
      </c>
      <c r="I129" s="30">
        <f>SUM(PL_ALLOCATED)+SUM(OP_ALLOCATED)+SUM(CL_ALLOCATED)+SUM(EC_ALLOCATED)+SUM(RE_ALLOCATED)</f>
        <v>4578819005.5334187</v>
      </c>
      <c r="J129" s="30">
        <f>SUM(PL_HEALTH)+SUM(OP_HEALTH)+SUM(CL_HEALTH)+SUM(EC_HEALTH)+SUM(RE_HEALTH)</f>
        <v>3390847101.9367013</v>
      </c>
      <c r="K129" s="30">
        <f>SUM(PL_UNALLOCATED)+SUM(OP_UNALLOCATED)+SUM(CL_UNALLOCATED)+SUM(EC_UNALLOCATED)+SUM(RE_UNALLOCATED)</f>
        <v>54353511.782339342</v>
      </c>
      <c r="L129" s="30">
        <f>SUM(PL_LTC)+SUM(OP_LTC)+SUM(CL_LTC)+SUM(EC_LTC)+SUM(RE_LTC)</f>
        <v>14210295.868651351</v>
      </c>
      <c r="M129" s="30">
        <f>SUM(PL_TOTAL)+SUM(OP_TOTAL)+SUM(CL_TOTAL)+SUM(EC_TOTAL)+SUM(RE_TOTAL)</f>
        <v>10230365129.498529</v>
      </c>
      <c r="N129" s="33">
        <f>SUM(PL_TOTAL_PREV)+SUM(OP_TOTAL_PREV)+SUM(CL_TOTAL_PREV)+SUM(EC_TOTAL_PREV)+SUM(RE_TOTAL_PREV)</f>
        <v>10416476564.95075</v>
      </c>
      <c r="O129" s="32">
        <f>SUM(PL_CHANGE)+SUM(OP_CHANGE)+SUM(CL_CHANGE)+SUM(EC_CHANGE)+SUM(RE_CHANGE)</f>
        <v>-186111435.45221922</v>
      </c>
      <c r="R129" s="33">
        <f>SUM(PL_LIFE_CALLED)+SUM(OP_LIFE_CALLED)+SUM(CL_LIFE_CALLED)+SUM(EC_LIFE_CALLED)+SUM(RE_LIFE_CALLED)</f>
        <v>2980515108</v>
      </c>
      <c r="S129" s="30">
        <f>SUM(PL_LIFE_REFUNDED)+SUM(OP_LIFE_REFUNDED)+SUM(CL_LIFE_REFUNDED)+SUM(EC_LIFE_REFUNDED)+SUM(RE_LIFE_REFUNDED)</f>
        <v>332098058.17595947</v>
      </c>
      <c r="T129" s="30"/>
      <c r="U129" s="30">
        <f>SUM(PL_ALLOC_CALLED)+SUM(OP_ALLOC_CALLED)+SUM(CL_ALLOC_CALLED)+SUM(EC_ALLOC_CALLED)+SUM(RE_ALLOC_CALLED)</f>
        <v>2894069538</v>
      </c>
      <c r="V129" s="30">
        <f>SUM(PL_ALLOC_REFUNDED)+SUM(OP_ALLOC_REFUNDED)+SUM(CL_ALLOC_REFUNDED)+SUM(EC_ALLOC_REFUNDED)+SUM(RE_ALLOC_REFUNDED)</f>
        <v>336323793.18427837</v>
      </c>
      <c r="W129" s="30"/>
      <c r="X129" s="30">
        <f>SUM(PL_HEALTH_CALLED)+SUM(OP_HEALTH_CALLED)+SUM(CL_HEALTH_CALLED)+SUM(EC_HEALTH_CALLED)+SUM(RE_HEALTH_CALLED)</f>
        <v>3190022630.5</v>
      </c>
      <c r="Y129" s="30">
        <f>SUM(PL_HEALTH_REFUNDED)+SUM(OP_HEALTH_REFUNDED)+SUM(CL_HEALTH_REFUNDED)+SUM(EC_HEALTH_REFUNDED)+SUM(RE_HEALTH_REFUNDED)</f>
        <v>221292523.93976203</v>
      </c>
      <c r="Z129" s="30"/>
      <c r="AA129" s="30">
        <f>SUM(PL_UNALLOC_CALLED)+SUM(OP_UNALLOC_CALLED)+SUM(CL_UNALLOC_CALLED)+SUM(EC_UNALLOC_CALLED)+SUM(RE_UNALLOC_CALLED)</f>
        <v>278013015</v>
      </c>
      <c r="AB129" s="32">
        <f>SUM(PL_UNALLOC_REFUNDED)+SUM(OP_UNALLOC_REFUNDED)+SUM(CL_UNALLOC_REFUNDED)+SUM(EC_UNALLOC_REFUNDED)+SUM(RE_UNALLOC_REFUNDED)</f>
        <v>121683438.81999999</v>
      </c>
    </row>
  </sheetData>
  <mergeCells count="11">
    <mergeCell ref="F119:G119"/>
    <mergeCell ref="F120:G120"/>
    <mergeCell ref="F121:G121"/>
    <mergeCell ref="F122:G122"/>
    <mergeCell ref="F124:G124"/>
    <mergeCell ref="A2:O2"/>
    <mergeCell ref="R2:AB2"/>
    <mergeCell ref="R3:S3"/>
    <mergeCell ref="U3:V3"/>
    <mergeCell ref="X3:Y3"/>
    <mergeCell ref="AA3:AB3"/>
  </mergeCells>
  <pageMargins left="0" right="0" top="0.4" bottom="0.4" header="0" footer="0"/>
  <pageSetup paperSize="5" scale="47" orientation="landscape" r:id="rId1"/>
  <headerFooter>
    <oddHeader>&amp;L&amp;D&amp;T
[File]&amp;F&amp;C&amp;"Calibri,Bold"&amp;24&amp;KFF0000Overview:  Estimated GA Costs&amp;RUNAUDITED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L61"/>
  <sheetViews>
    <sheetView zoomScale="75" workbookViewId="0">
      <selection activeCell="M49" sqref="M49"/>
    </sheetView>
  </sheetViews>
  <sheetFormatPr defaultColWidth="9.109375" defaultRowHeight="14.4"/>
  <cols>
    <col min="1" max="1" width="20" style="1" customWidth="1"/>
    <col min="2" max="8" width="15" style="1" customWidth="1"/>
    <col min="9" max="9" width="5" style="1" customWidth="1"/>
    <col min="10" max="10" width="9.109375" style="1" customWidth="1"/>
    <col min="11" max="11" width="40" style="1" customWidth="1"/>
    <col min="12" max="12" width="15" style="1" customWidth="1"/>
    <col min="13" max="13" width="9.109375" style="1" customWidth="1"/>
    <col min="14" max="16384" width="9.109375" style="1"/>
  </cols>
  <sheetData>
    <row r="1" spans="1:12">
      <c r="A1" s="135" t="s">
        <v>695</v>
      </c>
      <c r="B1" s="135"/>
      <c r="C1" s="135"/>
      <c r="D1" s="135"/>
      <c r="E1" s="135"/>
      <c r="F1" s="135"/>
      <c r="G1" s="135"/>
    </row>
    <row r="3" spans="1:12">
      <c r="B3" s="3"/>
      <c r="C3" s="3" t="s">
        <v>696</v>
      </c>
      <c r="D3" s="3"/>
      <c r="E3" s="3" t="s">
        <v>697</v>
      </c>
      <c r="F3" s="3"/>
      <c r="G3" s="3"/>
    </row>
    <row r="4" spans="1:12">
      <c r="B4" s="3" t="s">
        <v>3</v>
      </c>
      <c r="C4" s="3" t="s">
        <v>698</v>
      </c>
      <c r="D4" s="3" t="s">
        <v>5</v>
      </c>
      <c r="E4" s="3" t="s">
        <v>698</v>
      </c>
      <c r="F4" s="3" t="s">
        <v>7</v>
      </c>
      <c r="G4" s="3" t="s">
        <v>8</v>
      </c>
    </row>
    <row r="6" spans="1:12">
      <c r="A6" s="1" t="s">
        <v>11</v>
      </c>
      <c r="B6" s="1">
        <f>+'Monarch Life'!B6</f>
        <v>716.85757678409254</v>
      </c>
      <c r="C6" s="1">
        <f>+'Monarch Life'!C6</f>
        <v>712.41637412866589</v>
      </c>
      <c r="D6" s="1">
        <f>+'Monarch Life'!D6</f>
        <v>278.153237583595</v>
      </c>
      <c r="E6" s="1">
        <f>+'Monarch Life'!E6</f>
        <v>0</v>
      </c>
      <c r="F6" s="1">
        <f>+'Monarch Life'!F6</f>
        <v>0</v>
      </c>
      <c r="G6" s="1">
        <f t="shared" ref="G6:G37" si="0">SUM(B6:F6)</f>
        <v>1707.4271884963534</v>
      </c>
      <c r="H6" s="1">
        <f>+'Monarch Life'!G6</f>
        <v>1707.4271884963534</v>
      </c>
      <c r="I6" s="1">
        <f t="shared" ref="I6:I37" si="1">G6-H6</f>
        <v>0</v>
      </c>
      <c r="K6" s="1" t="s">
        <v>190</v>
      </c>
      <c r="L6" s="1">
        <f>Summary!TOTAL_66265</f>
        <v>510037.1399999999</v>
      </c>
    </row>
    <row r="7" spans="1:12">
      <c r="A7" s="1" t="s">
        <v>12</v>
      </c>
      <c r="B7" s="1">
        <f>+'Monarch Life'!B7</f>
        <v>614.19234833766143</v>
      </c>
      <c r="C7" s="1">
        <f>+'Monarch Life'!C7</f>
        <v>2.6652368420856729</v>
      </c>
      <c r="D7" s="1">
        <f>+'Monarch Life'!D7</f>
        <v>76.815677703275156</v>
      </c>
      <c r="E7" s="1">
        <f>+'Monarch Life'!E7</f>
        <v>0</v>
      </c>
      <c r="F7" s="1">
        <f>+'Monarch Life'!F7</f>
        <v>0</v>
      </c>
      <c r="G7" s="1">
        <f t="shared" si="0"/>
        <v>693.67326288302218</v>
      </c>
      <c r="H7" s="1">
        <f>+'Monarch Life'!G7</f>
        <v>693.67326288302218</v>
      </c>
      <c r="I7" s="1">
        <f t="shared" si="1"/>
        <v>0</v>
      </c>
    </row>
    <row r="8" spans="1:12">
      <c r="A8" s="1" t="s">
        <v>13</v>
      </c>
      <c r="B8" s="1">
        <f>+'Monarch Life'!B8</f>
        <v>4518.7443822261394</v>
      </c>
      <c r="C8" s="1">
        <f>+'Monarch Life'!C8</f>
        <v>2000.3773726108168</v>
      </c>
      <c r="D8" s="1">
        <f>+'Monarch Life'!D8</f>
        <v>2079.4538195001646</v>
      </c>
      <c r="E8" s="1">
        <f>+'Monarch Life'!E8</f>
        <v>0</v>
      </c>
      <c r="F8" s="1">
        <f>+'Monarch Life'!F8</f>
        <v>0</v>
      </c>
      <c r="G8" s="1">
        <f t="shared" si="0"/>
        <v>8598.575574337121</v>
      </c>
      <c r="H8" s="1">
        <f>+'Monarch Life'!G8</f>
        <v>8598.575574337121</v>
      </c>
      <c r="I8" s="1">
        <f t="shared" si="1"/>
        <v>0</v>
      </c>
      <c r="K8" s="1" t="s">
        <v>8</v>
      </c>
      <c r="L8" s="1">
        <f>SUM(REC_TOTAL)</f>
        <v>510037.1399999999</v>
      </c>
    </row>
    <row r="9" spans="1:12">
      <c r="A9" s="1" t="s">
        <v>15</v>
      </c>
      <c r="B9" s="1">
        <f>+'Monarch Life'!B9</f>
        <v>829.13334191259196</v>
      </c>
      <c r="C9" s="1">
        <f>+'Monarch Life'!C9</f>
        <v>314.78659604115273</v>
      </c>
      <c r="D9" s="1">
        <f>+'Monarch Life'!D9</f>
        <v>400.98951466715789</v>
      </c>
      <c r="E9" s="1">
        <f>+'Monarch Life'!E9</f>
        <v>0</v>
      </c>
      <c r="F9" s="1">
        <f>+'Monarch Life'!F9</f>
        <v>0</v>
      </c>
      <c r="G9" s="1">
        <f t="shared" si="0"/>
        <v>1544.9094526209026</v>
      </c>
      <c r="H9" s="1">
        <f>+'Monarch Life'!G9</f>
        <v>1544.9094526209026</v>
      </c>
      <c r="I9" s="1">
        <f t="shared" si="1"/>
        <v>0</v>
      </c>
      <c r="K9" s="1" t="s">
        <v>699</v>
      </c>
      <c r="L9" s="1">
        <f>SUM(TOTAL)</f>
        <v>510037.13999999984</v>
      </c>
    </row>
    <row r="10" spans="1:12">
      <c r="A10" s="1" t="s">
        <v>16</v>
      </c>
      <c r="B10" s="1">
        <f>+'Monarch Life'!B10</f>
        <v>23883.763473535946</v>
      </c>
      <c r="C10" s="1">
        <f>+'Monarch Life'!C10</f>
        <v>4014.352235427657</v>
      </c>
      <c r="D10" s="1">
        <f>+'Monarch Life'!D10</f>
        <v>23026.420442887309</v>
      </c>
      <c r="E10" s="1">
        <f>+'Monarch Life'!E10</f>
        <v>0</v>
      </c>
      <c r="F10" s="1">
        <f>+'Monarch Life'!F10</f>
        <v>0</v>
      </c>
      <c r="G10" s="1">
        <f t="shared" si="0"/>
        <v>50924.536151850916</v>
      </c>
      <c r="H10" s="1">
        <f>+'Monarch Life'!G10</f>
        <v>50924.536151850916</v>
      </c>
      <c r="I10" s="1">
        <f t="shared" si="1"/>
        <v>0</v>
      </c>
      <c r="L10" s="1">
        <f>SUM(TOTAL)-SUM(REC_TOTAL)</f>
        <v>0</v>
      </c>
    </row>
    <row r="11" spans="1:12">
      <c r="A11" s="1" t="s">
        <v>18</v>
      </c>
      <c r="B11" s="1">
        <f>+'Monarch Life'!B11</f>
        <v>4521.9305862352239</v>
      </c>
      <c r="C11" s="1">
        <f>+'Monarch Life'!C11</f>
        <v>1090.1352740976226</v>
      </c>
      <c r="D11" s="1">
        <f>+'Monarch Life'!D11</f>
        <v>2622.826731892746</v>
      </c>
      <c r="E11" s="1">
        <f>+'Monarch Life'!E11</f>
        <v>0</v>
      </c>
      <c r="F11" s="1">
        <f>+'Monarch Life'!F11</f>
        <v>0</v>
      </c>
      <c r="G11" s="1">
        <f t="shared" si="0"/>
        <v>8234.892592225593</v>
      </c>
      <c r="H11" s="1">
        <f>+'Monarch Life'!G11</f>
        <v>8234.892592225593</v>
      </c>
      <c r="I11" s="1">
        <f t="shared" si="1"/>
        <v>0</v>
      </c>
    </row>
    <row r="12" spans="1:12">
      <c r="A12" s="1" t="s">
        <v>19</v>
      </c>
      <c r="B12" s="1">
        <f>+'Monarch Life'!B12</f>
        <v>5583.9690469360812</v>
      </c>
      <c r="C12" s="1">
        <f>+'Monarch Life'!C12</f>
        <v>1580.1623546498879</v>
      </c>
      <c r="D12" s="1">
        <f>+'Monarch Life'!D12</f>
        <v>6715.2796268991888</v>
      </c>
      <c r="E12" s="1">
        <f>+'Monarch Life'!E12</f>
        <v>0</v>
      </c>
      <c r="F12" s="1">
        <f>+'Monarch Life'!F12</f>
        <v>0</v>
      </c>
      <c r="G12" s="1">
        <f t="shared" si="0"/>
        <v>13879.411028485158</v>
      </c>
      <c r="H12" s="1">
        <f>+'Monarch Life'!G12</f>
        <v>13879.411028485158</v>
      </c>
      <c r="I12" s="1">
        <f t="shared" si="1"/>
        <v>0</v>
      </c>
    </row>
    <row r="13" spans="1:12">
      <c r="A13" s="1" t="s">
        <v>21</v>
      </c>
      <c r="B13" s="1">
        <f>+'Monarch Life'!B13</f>
        <v>383.91796300817265</v>
      </c>
      <c r="C13" s="1">
        <f>+'Monarch Life'!C13</f>
        <v>153.75012122624136</v>
      </c>
      <c r="D13" s="1">
        <f>+'Monarch Life'!D13</f>
        <v>337.35118880231272</v>
      </c>
      <c r="E13" s="1">
        <f>+'Monarch Life'!E13</f>
        <v>0</v>
      </c>
      <c r="F13" s="1">
        <f>+'Monarch Life'!F13</f>
        <v>0</v>
      </c>
      <c r="G13" s="1">
        <f t="shared" si="0"/>
        <v>875.01927303672664</v>
      </c>
      <c r="H13" s="1">
        <f>+'Monarch Life'!G13</f>
        <v>875.01927303672664</v>
      </c>
      <c r="I13" s="1">
        <f t="shared" si="1"/>
        <v>0</v>
      </c>
    </row>
    <row r="14" spans="1:12">
      <c r="A14" s="1" t="s">
        <v>23</v>
      </c>
      <c r="B14" s="1">
        <f>+'Monarch Life'!B14</f>
        <v>671.32080736114619</v>
      </c>
      <c r="C14" s="1">
        <f>+'Monarch Life'!C14</f>
        <v>146.81545525405431</v>
      </c>
      <c r="D14" s="1">
        <f>+'Monarch Life'!D14</f>
        <v>543.44525624376058</v>
      </c>
      <c r="E14" s="1">
        <f>+'Monarch Life'!E14</f>
        <v>0</v>
      </c>
      <c r="F14" s="1">
        <f>+'Monarch Life'!F14</f>
        <v>0</v>
      </c>
      <c r="G14" s="1">
        <f t="shared" si="0"/>
        <v>1361.5815188589611</v>
      </c>
      <c r="H14" s="1">
        <f>+'Monarch Life'!G14</f>
        <v>1361.5815188589611</v>
      </c>
      <c r="I14" s="1">
        <f t="shared" si="1"/>
        <v>0</v>
      </c>
    </row>
    <row r="15" spans="1:12">
      <c r="A15" s="1" t="s">
        <v>25</v>
      </c>
      <c r="B15" s="1">
        <f>+'Monarch Life'!B15</f>
        <v>14566.853465609074</v>
      </c>
      <c r="C15" s="1">
        <f>+'Monarch Life'!C15</f>
        <v>5962.8901926315448</v>
      </c>
      <c r="D15" s="1">
        <f>+'Monarch Life'!D15</f>
        <v>9471.6249614500994</v>
      </c>
      <c r="E15" s="1">
        <f>+'Monarch Life'!E15</f>
        <v>0</v>
      </c>
      <c r="F15" s="1">
        <f>+'Monarch Life'!F15</f>
        <v>0</v>
      </c>
      <c r="G15" s="1">
        <f t="shared" si="0"/>
        <v>30001.368619690718</v>
      </c>
      <c r="H15" s="1">
        <f>+'Monarch Life'!G15</f>
        <v>30001.368619690718</v>
      </c>
      <c r="I15" s="1">
        <f t="shared" si="1"/>
        <v>0</v>
      </c>
    </row>
    <row r="16" spans="1:12">
      <c r="A16" s="1" t="s">
        <v>27</v>
      </c>
      <c r="B16" s="1">
        <f>+'Monarch Life'!B16</f>
        <v>1895.6418554509248</v>
      </c>
      <c r="C16" s="1">
        <f>+'Monarch Life'!C16</f>
        <v>1776.5641991231032</v>
      </c>
      <c r="D16" s="1">
        <f>+'Monarch Life'!D16</f>
        <v>1307.3770111219535</v>
      </c>
      <c r="E16" s="1">
        <f>+'Monarch Life'!E16</f>
        <v>0</v>
      </c>
      <c r="F16" s="1">
        <f>+'Monarch Life'!F16</f>
        <v>0</v>
      </c>
      <c r="G16" s="1">
        <f t="shared" si="0"/>
        <v>4979.5830656959815</v>
      </c>
      <c r="H16" s="1">
        <f>+'Monarch Life'!G16</f>
        <v>4979.5830656959815</v>
      </c>
      <c r="I16" s="1">
        <f t="shared" si="1"/>
        <v>0</v>
      </c>
    </row>
    <row r="17" spans="1:9">
      <c r="A17" s="1" t="s">
        <v>29</v>
      </c>
      <c r="B17" s="1">
        <f>+'Monarch Life'!B17</f>
        <v>1388.6676065905997</v>
      </c>
      <c r="C17" s="1">
        <f>+'Monarch Life'!C17</f>
        <v>209.24930700136284</v>
      </c>
      <c r="D17" s="1">
        <f>+'Monarch Life'!D17</f>
        <v>220.49799696567447</v>
      </c>
      <c r="E17" s="1">
        <f>+'Monarch Life'!E17</f>
        <v>0</v>
      </c>
      <c r="F17" s="1">
        <f>+'Monarch Life'!F17</f>
        <v>0</v>
      </c>
      <c r="G17" s="1">
        <f t="shared" si="0"/>
        <v>1818.4149105576371</v>
      </c>
      <c r="H17" s="1">
        <f>+'Monarch Life'!G17</f>
        <v>1818.4149105576371</v>
      </c>
      <c r="I17" s="1">
        <f t="shared" si="1"/>
        <v>0</v>
      </c>
    </row>
    <row r="18" spans="1:9">
      <c r="A18" s="1" t="s">
        <v>30</v>
      </c>
      <c r="B18" s="1">
        <f>+'Monarch Life'!B18</f>
        <v>521.05674832049124</v>
      </c>
      <c r="C18" s="1">
        <f>+'Monarch Life'!C18</f>
        <v>0.55641094367877197</v>
      </c>
      <c r="D18" s="1">
        <f>+'Monarch Life'!D18</f>
        <v>129.44874604175246</v>
      </c>
      <c r="E18" s="1">
        <f>+'Monarch Life'!E18</f>
        <v>0</v>
      </c>
      <c r="F18" s="1">
        <f>+'Monarch Life'!F18</f>
        <v>0</v>
      </c>
      <c r="G18" s="1">
        <f t="shared" si="0"/>
        <v>651.06190530592244</v>
      </c>
      <c r="H18" s="1">
        <f>+'Monarch Life'!G18</f>
        <v>651.06190530592244</v>
      </c>
      <c r="I18" s="1">
        <f t="shared" si="1"/>
        <v>0</v>
      </c>
    </row>
    <row r="19" spans="1:9">
      <c r="A19" s="1" t="s">
        <v>32</v>
      </c>
      <c r="B19" s="1">
        <f>+'Monarch Life'!B19</f>
        <v>7363.2739786566799</v>
      </c>
      <c r="C19" s="1">
        <f>+'Monarch Life'!C19</f>
        <v>2761.7794534840332</v>
      </c>
      <c r="D19" s="1">
        <f>+'Monarch Life'!D19</f>
        <v>6102.9370721055375</v>
      </c>
      <c r="E19" s="1">
        <f>+'Monarch Life'!E19</f>
        <v>0</v>
      </c>
      <c r="F19" s="1">
        <f>+'Monarch Life'!F19</f>
        <v>0</v>
      </c>
      <c r="G19" s="1">
        <f t="shared" si="0"/>
        <v>16227.990504246252</v>
      </c>
      <c r="H19" s="1">
        <f>+'Monarch Life'!G19</f>
        <v>16227.990504246252</v>
      </c>
      <c r="I19" s="1">
        <f t="shared" si="1"/>
        <v>0</v>
      </c>
    </row>
    <row r="20" spans="1:9">
      <c r="A20" s="1" t="s">
        <v>34</v>
      </c>
      <c r="B20" s="1">
        <f>+'Monarch Life'!B20</f>
        <v>2353.927933405193</v>
      </c>
      <c r="C20" s="1">
        <f>+'Monarch Life'!C20</f>
        <v>968.4202807223802</v>
      </c>
      <c r="D20" s="1">
        <f>+'Monarch Life'!D20</f>
        <v>1906.9572262062966</v>
      </c>
      <c r="E20" s="1">
        <f>+'Monarch Life'!E20</f>
        <v>0</v>
      </c>
      <c r="F20" s="1">
        <f>+'Monarch Life'!F20</f>
        <v>0</v>
      </c>
      <c r="G20" s="1">
        <f t="shared" si="0"/>
        <v>5229.3054403338701</v>
      </c>
      <c r="H20" s="1">
        <f>+'Monarch Life'!G20</f>
        <v>5229.3054403338701</v>
      </c>
      <c r="I20" s="1">
        <f t="shared" si="1"/>
        <v>0</v>
      </c>
    </row>
    <row r="21" spans="1:9">
      <c r="A21" s="1" t="s">
        <v>36</v>
      </c>
      <c r="B21" s="1">
        <f>+'Monarch Life'!B21</f>
        <v>3139.1115154991403</v>
      </c>
      <c r="C21" s="1">
        <f>+'Monarch Life'!C21</f>
        <v>1001.3569817393825</v>
      </c>
      <c r="D21" s="1">
        <f>+'Monarch Life'!D21</f>
        <v>1870.7058065449257</v>
      </c>
      <c r="E21" s="1">
        <f>+'Monarch Life'!E21</f>
        <v>0</v>
      </c>
      <c r="F21" s="1">
        <f>+'Monarch Life'!F21</f>
        <v>0</v>
      </c>
      <c r="G21" s="1">
        <f t="shared" si="0"/>
        <v>6011.1743037834485</v>
      </c>
      <c r="H21" s="1">
        <f>+'Monarch Life'!G21</f>
        <v>6011.1743037834485</v>
      </c>
      <c r="I21" s="1">
        <f t="shared" si="1"/>
        <v>0</v>
      </c>
    </row>
    <row r="22" spans="1:9">
      <c r="A22" s="1" t="s">
        <v>38</v>
      </c>
      <c r="B22" s="1">
        <f>+'Monarch Life'!B22</f>
        <v>2913.3905262885833</v>
      </c>
      <c r="C22" s="1">
        <f>+'Monarch Life'!C22</f>
        <v>970.02712226240965</v>
      </c>
      <c r="D22" s="1">
        <f>+'Monarch Life'!D22</f>
        <v>4392.1043776434626</v>
      </c>
      <c r="E22" s="1">
        <f>+'Monarch Life'!E22</f>
        <v>0</v>
      </c>
      <c r="F22" s="1">
        <f>+'Monarch Life'!F22</f>
        <v>0</v>
      </c>
      <c r="G22" s="1">
        <f t="shared" si="0"/>
        <v>8275.522026194456</v>
      </c>
      <c r="H22" s="1">
        <f>+'Monarch Life'!G22</f>
        <v>8275.522026194456</v>
      </c>
      <c r="I22" s="1">
        <f t="shared" si="1"/>
        <v>0</v>
      </c>
    </row>
    <row r="23" spans="1:9">
      <c r="A23" s="1" t="s">
        <v>40</v>
      </c>
      <c r="B23" s="1">
        <f>+'Monarch Life'!B23</f>
        <v>658.70472017318787</v>
      </c>
      <c r="C23" s="1">
        <f>+'Monarch Life'!C23</f>
        <v>835.61283235898532</v>
      </c>
      <c r="D23" s="1">
        <f>+'Monarch Life'!D23</f>
        <v>1197.1347074539535</v>
      </c>
      <c r="E23" s="1">
        <f>+'Monarch Life'!E23</f>
        <v>0</v>
      </c>
      <c r="F23" s="1">
        <f>+'Monarch Life'!F23</f>
        <v>0</v>
      </c>
      <c r="G23" s="1">
        <f t="shared" si="0"/>
        <v>2691.4522599861266</v>
      </c>
      <c r="H23" s="1">
        <f>+'Monarch Life'!G23</f>
        <v>2691.4522599861266</v>
      </c>
      <c r="I23" s="1">
        <f t="shared" si="1"/>
        <v>0</v>
      </c>
    </row>
    <row r="24" spans="1:9">
      <c r="A24" s="1" t="s">
        <v>42</v>
      </c>
      <c r="B24" s="1">
        <f>+'Monarch Life'!B24</f>
        <v>0</v>
      </c>
      <c r="C24" s="1">
        <f>+'Monarch Life'!C24</f>
        <v>0</v>
      </c>
      <c r="D24" s="1">
        <f>+'Monarch Life'!D24</f>
        <v>0</v>
      </c>
      <c r="E24" s="1">
        <f>+'Monarch Life'!E24</f>
        <v>0</v>
      </c>
      <c r="F24" s="1">
        <f>+'Monarch Life'!F24</f>
        <v>0</v>
      </c>
      <c r="G24" s="1">
        <f t="shared" si="0"/>
        <v>0</v>
      </c>
      <c r="H24" s="1">
        <f>+'Monarch Life'!G24</f>
        <v>0</v>
      </c>
      <c r="I24" s="1">
        <f t="shared" si="1"/>
        <v>0</v>
      </c>
    </row>
    <row r="25" spans="1:9">
      <c r="A25" s="1" t="s">
        <v>44</v>
      </c>
      <c r="B25" s="1">
        <f>+'Monarch Life'!B25</f>
        <v>1136.691056486432</v>
      </c>
      <c r="C25" s="1">
        <f>+'Monarch Life'!C25</f>
        <v>766.36476210422688</v>
      </c>
      <c r="D25" s="1">
        <f>+'Monarch Life'!D25</f>
        <v>666.50813948887946</v>
      </c>
      <c r="E25" s="1">
        <f>+'Monarch Life'!E25</f>
        <v>0</v>
      </c>
      <c r="F25" s="1">
        <f>+'Monarch Life'!F25</f>
        <v>0</v>
      </c>
      <c r="G25" s="1">
        <f t="shared" si="0"/>
        <v>2569.5639580795382</v>
      </c>
      <c r="H25" s="1">
        <f>+'Monarch Life'!G25</f>
        <v>2569.5639580795382</v>
      </c>
      <c r="I25" s="1">
        <f t="shared" si="1"/>
        <v>0</v>
      </c>
    </row>
    <row r="26" spans="1:9">
      <c r="A26" s="1" t="s">
        <v>45</v>
      </c>
      <c r="B26" s="1">
        <f>+'Monarch Life'!B26</f>
        <v>4494.5535051173647</v>
      </c>
      <c r="C26" s="1">
        <f>+'Monarch Life'!C26</f>
        <v>1277.8759987904484</v>
      </c>
      <c r="D26" s="1">
        <f>+'Monarch Life'!D26</f>
        <v>8041.5780455055183</v>
      </c>
      <c r="E26" s="1">
        <f>+'Monarch Life'!E26</f>
        <v>0</v>
      </c>
      <c r="F26" s="1">
        <f>+'Monarch Life'!F26</f>
        <v>0</v>
      </c>
      <c r="G26" s="1">
        <f t="shared" si="0"/>
        <v>13814.007549413331</v>
      </c>
      <c r="H26" s="1">
        <f>+'Monarch Life'!G26</f>
        <v>13814.007549413331</v>
      </c>
      <c r="I26" s="1">
        <f t="shared" si="1"/>
        <v>0</v>
      </c>
    </row>
    <row r="27" spans="1:9">
      <c r="A27" s="1" t="s">
        <v>47</v>
      </c>
      <c r="B27" s="1">
        <f>+'Monarch Life'!B27</f>
        <v>9857.7795683310542</v>
      </c>
      <c r="C27" s="1">
        <f>+'Monarch Life'!C27</f>
        <v>17501.327264501575</v>
      </c>
      <c r="D27" s="1">
        <f>+'Monarch Life'!D27</f>
        <v>6997.5389159593542</v>
      </c>
      <c r="E27" s="1">
        <f>+'Monarch Life'!E27</f>
        <v>0</v>
      </c>
      <c r="F27" s="1">
        <f>+'Monarch Life'!F27</f>
        <v>0</v>
      </c>
      <c r="G27" s="1">
        <f t="shared" si="0"/>
        <v>34356.645748791983</v>
      </c>
      <c r="H27" s="1">
        <f>+'Monarch Life'!G27</f>
        <v>34356.645748791983</v>
      </c>
      <c r="I27" s="1">
        <f t="shared" si="1"/>
        <v>0</v>
      </c>
    </row>
    <row r="28" spans="1:9">
      <c r="A28" s="1" t="s">
        <v>49</v>
      </c>
      <c r="B28" s="1">
        <f>+'Monarch Life'!B28</f>
        <v>10457.470096850535</v>
      </c>
      <c r="C28" s="1">
        <f>+'Monarch Life'!C28</f>
        <v>2309.8049924249908</v>
      </c>
      <c r="D28" s="1">
        <f>+'Monarch Life'!D28</f>
        <v>8637.4998796863056</v>
      </c>
      <c r="E28" s="1">
        <f>+'Monarch Life'!E28</f>
        <v>0</v>
      </c>
      <c r="F28" s="1">
        <f>+'Monarch Life'!F28</f>
        <v>0</v>
      </c>
      <c r="G28" s="1">
        <f t="shared" si="0"/>
        <v>21404.774968961829</v>
      </c>
      <c r="H28" s="1">
        <f>+'Monarch Life'!G28</f>
        <v>21404.774968961829</v>
      </c>
      <c r="I28" s="1">
        <f t="shared" si="1"/>
        <v>0</v>
      </c>
    </row>
    <row r="29" spans="1:9">
      <c r="A29" s="1" t="s">
        <v>50</v>
      </c>
      <c r="B29" s="1">
        <f>+'Monarch Life'!B29</f>
        <v>3776.0875114241239</v>
      </c>
      <c r="C29" s="1">
        <f>+'Monarch Life'!C29</f>
        <v>1818.4939890555024</v>
      </c>
      <c r="D29" s="1">
        <f>+'Monarch Life'!D29</f>
        <v>5249.5135219902486</v>
      </c>
      <c r="E29" s="1">
        <f>+'Monarch Life'!E29</f>
        <v>0</v>
      </c>
      <c r="F29" s="1">
        <f>+'Monarch Life'!F29</f>
        <v>0</v>
      </c>
      <c r="G29" s="1">
        <f t="shared" si="0"/>
        <v>10844.095022469875</v>
      </c>
      <c r="H29" s="1">
        <f>+'Monarch Life'!G29</f>
        <v>10844.095022469875</v>
      </c>
      <c r="I29" s="1">
        <f t="shared" si="1"/>
        <v>0</v>
      </c>
    </row>
    <row r="30" spans="1:9">
      <c r="A30" s="1" t="s">
        <v>51</v>
      </c>
      <c r="B30" s="1">
        <f>+'Monarch Life'!B30</f>
        <v>298.47532124556477</v>
      </c>
      <c r="C30" s="1">
        <f>+'Monarch Life'!C30</f>
        <v>510.52113930868143</v>
      </c>
      <c r="D30" s="1">
        <f>+'Monarch Life'!D30</f>
        <v>295.92595103799653</v>
      </c>
      <c r="E30" s="1">
        <f>+'Monarch Life'!E30</f>
        <v>0</v>
      </c>
      <c r="F30" s="1">
        <f>+'Monarch Life'!F30</f>
        <v>0</v>
      </c>
      <c r="G30" s="1">
        <f t="shared" si="0"/>
        <v>1104.9224115922427</v>
      </c>
      <c r="H30" s="1">
        <f>+'Monarch Life'!G30</f>
        <v>1104.9224115922427</v>
      </c>
      <c r="I30" s="1">
        <f t="shared" si="1"/>
        <v>0</v>
      </c>
    </row>
    <row r="31" spans="1:9">
      <c r="A31" s="1" t="s">
        <v>52</v>
      </c>
      <c r="B31" s="1">
        <f>+'Monarch Life'!B31</f>
        <v>3720.541933113615</v>
      </c>
      <c r="C31" s="1">
        <f>+'Monarch Life'!C31</f>
        <v>780.1814965584698</v>
      </c>
      <c r="D31" s="1">
        <f>+'Monarch Life'!D31</f>
        <v>3168.3299724017866</v>
      </c>
      <c r="E31" s="1">
        <f>+'Monarch Life'!E31</f>
        <v>0</v>
      </c>
      <c r="F31" s="1">
        <f>+'Monarch Life'!F31</f>
        <v>0</v>
      </c>
      <c r="G31" s="1">
        <f t="shared" si="0"/>
        <v>7669.0534020738705</v>
      </c>
      <c r="H31" s="1">
        <f>+'Monarch Life'!G31</f>
        <v>7669.0534020738705</v>
      </c>
      <c r="I31" s="1">
        <f t="shared" si="1"/>
        <v>0</v>
      </c>
    </row>
    <row r="32" spans="1:9">
      <c r="A32" s="1" t="s">
        <v>53</v>
      </c>
      <c r="B32" s="1">
        <f>+'Monarch Life'!B32</f>
        <v>527.25423789615263</v>
      </c>
      <c r="C32" s="1">
        <f>+'Monarch Life'!C32</f>
        <v>239.75033886654504</v>
      </c>
      <c r="D32" s="1">
        <f>+'Monarch Life'!D32</f>
        <v>256.65896689181966</v>
      </c>
      <c r="E32" s="1">
        <f>+'Monarch Life'!E32</f>
        <v>0</v>
      </c>
      <c r="F32" s="1">
        <f>+'Monarch Life'!F32</f>
        <v>0</v>
      </c>
      <c r="G32" s="1">
        <f t="shared" si="0"/>
        <v>1023.6635436545173</v>
      </c>
      <c r="H32" s="1">
        <f>+'Monarch Life'!G32</f>
        <v>1023.6635436545173</v>
      </c>
      <c r="I32" s="1">
        <f t="shared" si="1"/>
        <v>0</v>
      </c>
    </row>
    <row r="33" spans="1:9">
      <c r="A33" s="1" t="s">
        <v>54</v>
      </c>
      <c r="B33" s="1">
        <f>+'Monarch Life'!B33</f>
        <v>1973.5387042535958</v>
      </c>
      <c r="C33" s="1">
        <f>+'Monarch Life'!C33</f>
        <v>582.80721493537726</v>
      </c>
      <c r="D33" s="1">
        <f>+'Monarch Life'!D33</f>
        <v>900.12885357671519</v>
      </c>
      <c r="E33" s="1">
        <f>+'Monarch Life'!E33</f>
        <v>0</v>
      </c>
      <c r="F33" s="1">
        <f>+'Monarch Life'!F33</f>
        <v>0</v>
      </c>
      <c r="G33" s="1">
        <f t="shared" si="0"/>
        <v>3456.4747727656886</v>
      </c>
      <c r="H33" s="1">
        <f>+'Monarch Life'!G33</f>
        <v>3456.4747727656886</v>
      </c>
      <c r="I33" s="1">
        <f t="shared" si="1"/>
        <v>0</v>
      </c>
    </row>
    <row r="34" spans="1:9">
      <c r="A34" s="1" t="s">
        <v>55</v>
      </c>
      <c r="B34" s="1">
        <f>+'Monarch Life'!B34</f>
        <v>1604.4208968434129</v>
      </c>
      <c r="C34" s="1">
        <f>+'Monarch Life'!C34</f>
        <v>456.49758240572999</v>
      </c>
      <c r="D34" s="1">
        <f>+'Monarch Life'!D34</f>
        <v>607.74165924225588</v>
      </c>
      <c r="E34" s="1">
        <f>+'Monarch Life'!E34</f>
        <v>0</v>
      </c>
      <c r="F34" s="1">
        <f>+'Monarch Life'!F34</f>
        <v>0</v>
      </c>
      <c r="G34" s="1">
        <f t="shared" si="0"/>
        <v>2668.6601384913988</v>
      </c>
      <c r="H34" s="1">
        <f>+'Monarch Life'!G34</f>
        <v>2668.6601384913988</v>
      </c>
      <c r="I34" s="1">
        <f t="shared" si="1"/>
        <v>0</v>
      </c>
    </row>
    <row r="35" spans="1:9">
      <c r="A35" s="1" t="s">
        <v>56</v>
      </c>
      <c r="B35" s="1">
        <f>+'Monarch Life'!B35</f>
        <v>1548.9440017210175</v>
      </c>
      <c r="C35" s="1">
        <f>+'Monarch Life'!C35</f>
        <v>396.61592752390476</v>
      </c>
      <c r="D35" s="1">
        <f>+'Monarch Life'!D35</f>
        <v>884.62698331780905</v>
      </c>
      <c r="E35" s="1">
        <f>+'Monarch Life'!E35</f>
        <v>0</v>
      </c>
      <c r="F35" s="1">
        <f>+'Monarch Life'!F35</f>
        <v>0</v>
      </c>
      <c r="G35" s="1">
        <f t="shared" si="0"/>
        <v>2830.1869125627313</v>
      </c>
      <c r="H35" s="1">
        <f>+'Monarch Life'!G35</f>
        <v>2830.1869125627313</v>
      </c>
      <c r="I35" s="1">
        <f t="shared" si="1"/>
        <v>0</v>
      </c>
    </row>
    <row r="36" spans="1:9">
      <c r="A36" s="1" t="s">
        <v>57</v>
      </c>
      <c r="B36" s="1">
        <f>+'Monarch Life'!B36</f>
        <v>6365.9907327746796</v>
      </c>
      <c r="C36" s="1">
        <f>+'Monarch Life'!C36</f>
        <v>4756.088166164368</v>
      </c>
      <c r="D36" s="1">
        <f>+'Monarch Life'!D36</f>
        <v>23797.433154592301</v>
      </c>
      <c r="E36" s="1">
        <f>+'Monarch Life'!E36</f>
        <v>0</v>
      </c>
      <c r="F36" s="1">
        <f>+'Monarch Life'!F36</f>
        <v>0</v>
      </c>
      <c r="G36" s="1">
        <f t="shared" si="0"/>
        <v>34919.512053531347</v>
      </c>
      <c r="H36" s="1">
        <f>+'Monarch Life'!G36</f>
        <v>34919.512053531347</v>
      </c>
      <c r="I36" s="1">
        <f t="shared" si="1"/>
        <v>0</v>
      </c>
    </row>
    <row r="37" spans="1:9">
      <c r="A37" s="1" t="s">
        <v>58</v>
      </c>
      <c r="B37" s="1">
        <f>+'Monarch Life'!B37</f>
        <v>1826.6295723365595</v>
      </c>
      <c r="C37" s="1">
        <f>+'Monarch Life'!C37</f>
        <v>354.97298805928648</v>
      </c>
      <c r="D37" s="1">
        <f>+'Monarch Life'!D37</f>
        <v>330.48561304481331</v>
      </c>
      <c r="E37" s="1">
        <f>+'Monarch Life'!E37</f>
        <v>0</v>
      </c>
      <c r="F37" s="1">
        <f>+'Monarch Life'!F37</f>
        <v>0</v>
      </c>
      <c r="G37" s="1">
        <f t="shared" si="0"/>
        <v>2512.0881734406594</v>
      </c>
      <c r="H37" s="1">
        <f>+'Monarch Life'!G37</f>
        <v>2512.0881734406594</v>
      </c>
      <c r="I37" s="1">
        <f t="shared" si="1"/>
        <v>0</v>
      </c>
    </row>
    <row r="38" spans="1:9">
      <c r="A38" s="1" t="s">
        <v>59</v>
      </c>
      <c r="B38" s="1">
        <f>+'Monarch Life'!B38</f>
        <v>26925.403090403644</v>
      </c>
      <c r="C38" s="1">
        <f>+'Monarch Life'!C38</f>
        <v>16158.977306434506</v>
      </c>
      <c r="D38" s="1">
        <f>+'Monarch Life'!D38</f>
        <v>39705.52352825056</v>
      </c>
      <c r="E38" s="1">
        <f>+'Monarch Life'!E38</f>
        <v>0</v>
      </c>
      <c r="F38" s="1">
        <f>+'Monarch Life'!F38</f>
        <v>0</v>
      </c>
      <c r="G38" s="1">
        <f t="shared" ref="G38:G58" si="2">SUM(B38:F38)</f>
        <v>82789.903925088714</v>
      </c>
      <c r="H38" s="1">
        <f>+'Monarch Life'!G38</f>
        <v>82789.903925088714</v>
      </c>
      <c r="I38" s="1">
        <f t="shared" ref="I38:I58" si="3">G38-H38</f>
        <v>0</v>
      </c>
    </row>
    <row r="39" spans="1:9">
      <c r="A39" s="1" t="s">
        <v>60</v>
      </c>
      <c r="B39" s="1">
        <f>+'Monarch Life'!B39</f>
        <v>3093.0978282277169</v>
      </c>
      <c r="C39" s="1">
        <f>+'Monarch Life'!C39</f>
        <v>1424.5005956819582</v>
      </c>
      <c r="D39" s="1">
        <f>+'Monarch Life'!D39</f>
        <v>6077.7651857264336</v>
      </c>
      <c r="E39" s="1">
        <f>+'Monarch Life'!E39</f>
        <v>0</v>
      </c>
      <c r="F39" s="1">
        <f>+'Monarch Life'!F39</f>
        <v>0</v>
      </c>
      <c r="G39" s="1">
        <f t="shared" si="2"/>
        <v>10595.363609636108</v>
      </c>
      <c r="H39" s="1">
        <f>+'Monarch Life'!G39</f>
        <v>10595.363609636108</v>
      </c>
      <c r="I39" s="1">
        <f t="shared" si="3"/>
        <v>0</v>
      </c>
    </row>
    <row r="40" spans="1:9">
      <c r="A40" s="1" t="s">
        <v>61</v>
      </c>
      <c r="B40" s="1">
        <f>+'Monarch Life'!B40</f>
        <v>106.08736032296417</v>
      </c>
      <c r="C40" s="1">
        <f>+'Monarch Life'!C40</f>
        <v>593.56342817047346</v>
      </c>
      <c r="D40" s="1">
        <f>+'Monarch Life'!D40</f>
        <v>27.715175729617304</v>
      </c>
      <c r="E40" s="1">
        <f>+'Monarch Life'!E40</f>
        <v>0</v>
      </c>
      <c r="F40" s="1">
        <f>+'Monarch Life'!F40</f>
        <v>0</v>
      </c>
      <c r="G40" s="1">
        <f t="shared" si="2"/>
        <v>727.3659642230549</v>
      </c>
      <c r="H40" s="1">
        <f>+'Monarch Life'!G40</f>
        <v>727.3659642230549</v>
      </c>
      <c r="I40" s="1">
        <f t="shared" si="3"/>
        <v>0</v>
      </c>
    </row>
    <row r="41" spans="1:9">
      <c r="A41" s="1" t="s">
        <v>62</v>
      </c>
      <c r="B41" s="1">
        <f>+'Monarch Life'!B41</f>
        <v>6789.3631624933532</v>
      </c>
      <c r="C41" s="1">
        <f>+'Monarch Life'!C41</f>
        <v>1851.70365903469</v>
      </c>
      <c r="D41" s="1">
        <f>+'Monarch Life'!D41</f>
        <v>4702.2338709289515</v>
      </c>
      <c r="E41" s="1">
        <f>+'Monarch Life'!E41</f>
        <v>0</v>
      </c>
      <c r="F41" s="1">
        <f>+'Monarch Life'!F41</f>
        <v>0</v>
      </c>
      <c r="G41" s="1">
        <f t="shared" si="2"/>
        <v>13343.300692456996</v>
      </c>
      <c r="H41" s="1">
        <f>+'Monarch Life'!G41</f>
        <v>13343.300692456996</v>
      </c>
      <c r="I41" s="1">
        <f t="shared" si="3"/>
        <v>0</v>
      </c>
    </row>
    <row r="42" spans="1:9">
      <c r="A42" s="1" t="s">
        <v>63</v>
      </c>
      <c r="B42" s="1">
        <f>+'Monarch Life'!B42</f>
        <v>1190.9563868047865</v>
      </c>
      <c r="C42" s="1">
        <f>+'Monarch Life'!C42</f>
        <v>746.81641021838982</v>
      </c>
      <c r="D42" s="1">
        <f>+'Monarch Life'!D42</f>
        <v>367.20435935669508</v>
      </c>
      <c r="E42" s="1">
        <f>+'Monarch Life'!E42</f>
        <v>0</v>
      </c>
      <c r="F42" s="1">
        <f>+'Monarch Life'!F42</f>
        <v>0</v>
      </c>
      <c r="G42" s="1">
        <f t="shared" si="2"/>
        <v>2304.9771563798713</v>
      </c>
      <c r="H42" s="1">
        <f>+'Monarch Life'!G42</f>
        <v>2304.9771563798713</v>
      </c>
      <c r="I42" s="1">
        <f t="shared" si="3"/>
        <v>0</v>
      </c>
    </row>
    <row r="43" spans="1:9">
      <c r="A43" s="1" t="s">
        <v>64</v>
      </c>
      <c r="B43" s="1">
        <f>+'Monarch Life'!B43</f>
        <v>2156.103113465389</v>
      </c>
      <c r="C43" s="1">
        <f>+'Monarch Life'!C43</f>
        <v>860.46040138871649</v>
      </c>
      <c r="D43" s="1">
        <f>+'Monarch Life'!D43</f>
        <v>1571.5896382150283</v>
      </c>
      <c r="E43" s="1">
        <f>+'Monarch Life'!E43</f>
        <v>0</v>
      </c>
      <c r="F43" s="1">
        <f>+'Monarch Life'!F43</f>
        <v>0</v>
      </c>
      <c r="G43" s="1">
        <f t="shared" si="2"/>
        <v>4588.1531530691336</v>
      </c>
      <c r="H43" s="1">
        <f>+'Monarch Life'!G43</f>
        <v>4588.1531530691336</v>
      </c>
      <c r="I43" s="1">
        <f t="shared" si="3"/>
        <v>0</v>
      </c>
    </row>
    <row r="44" spans="1:9">
      <c r="A44" s="1" t="s">
        <v>65</v>
      </c>
      <c r="B44" s="1">
        <f>+'Monarch Life'!B44</f>
        <v>12328.186156564565</v>
      </c>
      <c r="C44" s="1">
        <f>+'Monarch Life'!C44</f>
        <v>3148.8298100653569</v>
      </c>
      <c r="D44" s="1">
        <f>+'Monarch Life'!D44</f>
        <v>8353.6334988142517</v>
      </c>
      <c r="E44" s="1">
        <f>+'Monarch Life'!E44</f>
        <v>0</v>
      </c>
      <c r="F44" s="1">
        <f>+'Monarch Life'!F44</f>
        <v>0</v>
      </c>
      <c r="G44" s="1">
        <f t="shared" si="2"/>
        <v>23830.649465444174</v>
      </c>
      <c r="H44" s="1">
        <f>+'Monarch Life'!G44</f>
        <v>23830.649465444174</v>
      </c>
      <c r="I44" s="1">
        <f t="shared" si="3"/>
        <v>0</v>
      </c>
    </row>
    <row r="45" spans="1:9">
      <c r="A45" s="1" t="s">
        <v>66</v>
      </c>
      <c r="B45" s="1">
        <f>+'Monarch Life'!B45</f>
        <v>0</v>
      </c>
      <c r="C45" s="1">
        <f>+'Monarch Life'!C45</f>
        <v>0</v>
      </c>
      <c r="D45" s="1">
        <f>+'Monarch Life'!D45</f>
        <v>0</v>
      </c>
      <c r="E45" s="1">
        <f>+'Monarch Life'!E45</f>
        <v>0</v>
      </c>
      <c r="F45" s="1">
        <f>+'Monarch Life'!F45</f>
        <v>0</v>
      </c>
      <c r="G45" s="1">
        <f t="shared" si="2"/>
        <v>0</v>
      </c>
      <c r="H45" s="1">
        <f>+'Monarch Life'!G45</f>
        <v>0</v>
      </c>
      <c r="I45" s="1">
        <f t="shared" si="3"/>
        <v>0</v>
      </c>
    </row>
    <row r="46" spans="1:9">
      <c r="A46" s="1" t="s">
        <v>67</v>
      </c>
      <c r="B46" s="1">
        <f>+'Monarch Life'!B46</f>
        <v>745.60491000693912</v>
      </c>
      <c r="C46" s="1">
        <f>+'Monarch Life'!C46</f>
        <v>471.91536211676117</v>
      </c>
      <c r="D46" s="1">
        <f>+'Monarch Life'!D46</f>
        <v>1406.5465851823617</v>
      </c>
      <c r="E46" s="1">
        <f>+'Monarch Life'!E46</f>
        <v>0</v>
      </c>
      <c r="F46" s="1">
        <f>+'Monarch Life'!F46</f>
        <v>0</v>
      </c>
      <c r="G46" s="1">
        <f t="shared" si="2"/>
        <v>2624.066857306062</v>
      </c>
      <c r="H46" s="1">
        <f>+'Monarch Life'!G46</f>
        <v>2624.066857306062</v>
      </c>
      <c r="I46" s="1">
        <f t="shared" si="3"/>
        <v>0</v>
      </c>
    </row>
    <row r="47" spans="1:9">
      <c r="A47" s="1" t="s">
        <v>68</v>
      </c>
      <c r="B47" s="1">
        <f>+'Monarch Life'!B47</f>
        <v>1320.5504032556123</v>
      </c>
      <c r="C47" s="1">
        <f>+'Monarch Life'!C47</f>
        <v>951.67192843508712</v>
      </c>
      <c r="D47" s="1">
        <f>+'Monarch Life'!D47</f>
        <v>4130.3818847195971</v>
      </c>
      <c r="E47" s="1">
        <f>+'Monarch Life'!E47</f>
        <v>0</v>
      </c>
      <c r="F47" s="1">
        <f>+'Monarch Life'!F47</f>
        <v>0</v>
      </c>
      <c r="G47" s="1">
        <f t="shared" si="2"/>
        <v>6402.6042164102964</v>
      </c>
      <c r="H47" s="1">
        <f>+'Monarch Life'!G47</f>
        <v>6402.6042164102964</v>
      </c>
      <c r="I47" s="1">
        <f t="shared" si="3"/>
        <v>0</v>
      </c>
    </row>
    <row r="48" spans="1:9">
      <c r="A48" s="1" t="s">
        <v>69</v>
      </c>
      <c r="B48" s="1">
        <f>+'Monarch Life'!B48</f>
        <v>848.21420279562165</v>
      </c>
      <c r="C48" s="1">
        <f>+'Monarch Life'!C48</f>
        <v>361.34419852114661</v>
      </c>
      <c r="D48" s="1">
        <f>+'Monarch Life'!D48</f>
        <v>376.97144707711567</v>
      </c>
      <c r="E48" s="1">
        <f>+'Monarch Life'!E48</f>
        <v>0</v>
      </c>
      <c r="F48" s="1">
        <f>+'Monarch Life'!F48</f>
        <v>0</v>
      </c>
      <c r="G48" s="1">
        <f t="shared" si="2"/>
        <v>1586.5298483938839</v>
      </c>
      <c r="H48" s="1">
        <f>+'Monarch Life'!G48</f>
        <v>1586.5298483938839</v>
      </c>
      <c r="I48" s="1">
        <f t="shared" si="3"/>
        <v>0</v>
      </c>
    </row>
    <row r="49" spans="1:9">
      <c r="A49" s="1" t="s">
        <v>70</v>
      </c>
      <c r="B49" s="1">
        <f>+'Monarch Life'!B49</f>
        <v>1231.7101468785718</v>
      </c>
      <c r="C49" s="1">
        <f>+'Monarch Life'!C49</f>
        <v>1073.2042848413312</v>
      </c>
      <c r="D49" s="1">
        <f>+'Monarch Life'!D49</f>
        <v>1156.5151500663787</v>
      </c>
      <c r="E49" s="1">
        <f>+'Monarch Life'!E49</f>
        <v>0</v>
      </c>
      <c r="F49" s="1">
        <f>+'Monarch Life'!F49</f>
        <v>0</v>
      </c>
      <c r="G49" s="1">
        <f t="shared" si="2"/>
        <v>3461.4295817862817</v>
      </c>
      <c r="H49" s="1">
        <f>+'Monarch Life'!G49</f>
        <v>3461.4295817862817</v>
      </c>
      <c r="I49" s="1">
        <f t="shared" si="3"/>
        <v>0</v>
      </c>
    </row>
    <row r="50" spans="1:9">
      <c r="A50" s="1" t="s">
        <v>71</v>
      </c>
      <c r="B50" s="1">
        <f>+'Monarch Life'!B50</f>
        <v>11261.306160715478</v>
      </c>
      <c r="C50" s="1">
        <f>+'Monarch Life'!C50</f>
        <v>2379.1294007823108</v>
      </c>
      <c r="D50" s="1">
        <f>+'Monarch Life'!D50</f>
        <v>3567.6161670217584</v>
      </c>
      <c r="E50" s="1">
        <f>+'Monarch Life'!E50</f>
        <v>0</v>
      </c>
      <c r="F50" s="1">
        <f>+'Monarch Life'!F50</f>
        <v>0</v>
      </c>
      <c r="G50" s="1">
        <f t="shared" si="2"/>
        <v>17208.051728519546</v>
      </c>
      <c r="H50" s="1">
        <f>+'Monarch Life'!G50</f>
        <v>17208.051728519546</v>
      </c>
      <c r="I50" s="1">
        <f t="shared" si="3"/>
        <v>0</v>
      </c>
    </row>
    <row r="51" spans="1:9">
      <c r="A51" s="1" t="s">
        <v>72</v>
      </c>
      <c r="B51" s="1">
        <f>+'Monarch Life'!B51</f>
        <v>1442.3431330245105</v>
      </c>
      <c r="C51" s="1">
        <f>+'Monarch Life'!C51</f>
        <v>516.7041961946677</v>
      </c>
      <c r="D51" s="1">
        <f>+'Monarch Life'!D51</f>
        <v>193.32170932642842</v>
      </c>
      <c r="E51" s="1">
        <f>+'Monarch Life'!E51</f>
        <v>0</v>
      </c>
      <c r="F51" s="1">
        <f>+'Monarch Life'!F51</f>
        <v>0</v>
      </c>
      <c r="G51" s="1">
        <f t="shared" si="2"/>
        <v>2152.3690385456066</v>
      </c>
      <c r="H51" s="1">
        <f>+'Monarch Life'!G51</f>
        <v>2152.3690385456066</v>
      </c>
      <c r="I51" s="1">
        <f t="shared" si="3"/>
        <v>0</v>
      </c>
    </row>
    <row r="52" spans="1:9">
      <c r="A52" s="1" t="s">
        <v>73</v>
      </c>
      <c r="B52" s="1">
        <f>+'Monarch Life'!B52</f>
        <v>566.77002892529231</v>
      </c>
      <c r="C52" s="1">
        <f>+'Monarch Life'!C52</f>
        <v>107.99133571914219</v>
      </c>
      <c r="D52" s="1">
        <f>+'Monarch Life'!D52</f>
        <v>538.17588359673596</v>
      </c>
      <c r="E52" s="1">
        <f>+'Monarch Life'!E52</f>
        <v>0</v>
      </c>
      <c r="F52" s="1">
        <f>+'Monarch Life'!F52</f>
        <v>0</v>
      </c>
      <c r="G52" s="1">
        <f t="shared" si="2"/>
        <v>1212.9372482411704</v>
      </c>
      <c r="H52" s="1">
        <f>+'Monarch Life'!G52</f>
        <v>1212.9372482411704</v>
      </c>
      <c r="I52" s="1">
        <f t="shared" si="3"/>
        <v>0</v>
      </c>
    </row>
    <row r="53" spans="1:9">
      <c r="A53" s="1" t="s">
        <v>74</v>
      </c>
      <c r="B53" s="1">
        <f>+'Monarch Life'!B53</f>
        <v>2558.0776924849124</v>
      </c>
      <c r="C53" s="1">
        <f>+'Monarch Life'!C53</f>
        <v>1195.7997292158043</v>
      </c>
      <c r="D53" s="1">
        <f>+'Monarch Life'!D53</f>
        <v>1991.719118578945</v>
      </c>
      <c r="E53" s="1">
        <f>+'Monarch Life'!E53</f>
        <v>0</v>
      </c>
      <c r="F53" s="1">
        <f>+'Monarch Life'!F53</f>
        <v>0</v>
      </c>
      <c r="G53" s="1">
        <f t="shared" si="2"/>
        <v>5745.5965402796619</v>
      </c>
      <c r="H53" s="1">
        <f>+'Monarch Life'!G53</f>
        <v>5745.5965402796619</v>
      </c>
      <c r="I53" s="1">
        <f t="shared" si="3"/>
        <v>0</v>
      </c>
    </row>
    <row r="54" spans="1:9">
      <c r="A54" s="1" t="s">
        <v>75</v>
      </c>
      <c r="B54" s="1">
        <f>+'Monarch Life'!B54</f>
        <v>7371.8552720731832</v>
      </c>
      <c r="C54" s="1">
        <f>+'Monarch Life'!C54</f>
        <v>1663.7469866272638</v>
      </c>
      <c r="D54" s="1">
        <f>+'Monarch Life'!D54</f>
        <v>4958.760339062469</v>
      </c>
      <c r="E54" s="1">
        <f>+'Monarch Life'!E54</f>
        <v>0</v>
      </c>
      <c r="F54" s="1">
        <f>+'Monarch Life'!F54</f>
        <v>0</v>
      </c>
      <c r="G54" s="1">
        <f t="shared" si="2"/>
        <v>13994.362597762916</v>
      </c>
      <c r="H54" s="1">
        <f>+'Monarch Life'!G54</f>
        <v>13994.362597762916</v>
      </c>
      <c r="I54" s="1">
        <f t="shared" si="3"/>
        <v>0</v>
      </c>
    </row>
    <row r="55" spans="1:9">
      <c r="A55" s="1" t="s">
        <v>76</v>
      </c>
      <c r="B55" s="1">
        <f>+'Monarch Life'!B55</f>
        <v>602.65907063569477</v>
      </c>
      <c r="C55" s="1">
        <f>+'Monarch Life'!C55</f>
        <v>326.41167360363619</v>
      </c>
      <c r="D55" s="1">
        <f>+'Monarch Life'!D55</f>
        <v>766.46490260759924</v>
      </c>
      <c r="E55" s="1">
        <f>+'Monarch Life'!E55</f>
        <v>0</v>
      </c>
      <c r="F55" s="1">
        <f>+'Monarch Life'!F55</f>
        <v>0</v>
      </c>
      <c r="G55" s="1">
        <f t="shared" si="2"/>
        <v>1695.5356468469301</v>
      </c>
      <c r="H55" s="1">
        <f>+'Monarch Life'!G55</f>
        <v>1695.5356468469301</v>
      </c>
      <c r="I55" s="1">
        <f t="shared" si="3"/>
        <v>0</v>
      </c>
    </row>
    <row r="56" spans="1:9">
      <c r="A56" s="1" t="s">
        <v>77</v>
      </c>
      <c r="B56" s="1">
        <f>+'Monarch Life'!B56</f>
        <v>5378.3101664235464</v>
      </c>
      <c r="C56" s="1">
        <f>+'Monarch Life'!C56</f>
        <v>3030.4374310674975</v>
      </c>
      <c r="D56" s="1">
        <f>+'Monarch Life'!D56</f>
        <v>4485.6473977002233</v>
      </c>
      <c r="E56" s="1">
        <f>+'Monarch Life'!E56</f>
        <v>0</v>
      </c>
      <c r="F56" s="1">
        <f>+'Monarch Life'!F56</f>
        <v>0</v>
      </c>
      <c r="G56" s="1">
        <f t="shared" si="2"/>
        <v>12894.394995191269</v>
      </c>
      <c r="H56" s="1">
        <f>+'Monarch Life'!G56</f>
        <v>12894.394995191269</v>
      </c>
      <c r="I56" s="1">
        <f t="shared" si="3"/>
        <v>0</v>
      </c>
    </row>
    <row r="57" spans="1:9">
      <c r="A57" s="1" t="s">
        <v>78</v>
      </c>
      <c r="B57" s="1">
        <f>+'Monarch Life'!B57</f>
        <v>0</v>
      </c>
      <c r="C57" s="1">
        <f>+'Monarch Life'!C57</f>
        <v>0</v>
      </c>
      <c r="D57" s="1">
        <f>+'Monarch Life'!D57</f>
        <v>0</v>
      </c>
      <c r="E57" s="1">
        <f>+'Monarch Life'!E57</f>
        <v>0</v>
      </c>
      <c r="F57" s="1">
        <f>+'Monarch Life'!F57</f>
        <v>0</v>
      </c>
      <c r="G57" s="1">
        <f t="shared" si="2"/>
        <v>0</v>
      </c>
      <c r="H57" s="1">
        <f>+'Monarch Life'!G57</f>
        <v>0</v>
      </c>
      <c r="I57" s="1">
        <f t="shared" si="3"/>
        <v>0</v>
      </c>
    </row>
    <row r="58" spans="1:9">
      <c r="A58" s="1" t="s">
        <v>79</v>
      </c>
      <c r="B58" s="1">
        <f>+'Monarch Life'!B58</f>
        <v>0</v>
      </c>
      <c r="C58" s="1">
        <f>+'Monarch Life'!C58</f>
        <v>0</v>
      </c>
      <c r="D58" s="1">
        <f>+'Monarch Life'!D58</f>
        <v>0</v>
      </c>
      <c r="E58" s="1">
        <f>+'Monarch Life'!E58</f>
        <v>0</v>
      </c>
      <c r="F58" s="1">
        <f>+'Monarch Life'!F58</f>
        <v>0</v>
      </c>
      <c r="G58" s="1">
        <f t="shared" si="2"/>
        <v>0</v>
      </c>
      <c r="H58" s="1">
        <f>+'Monarch Life'!G58</f>
        <v>0</v>
      </c>
      <c r="I58" s="1">
        <f t="shared" si="3"/>
        <v>0</v>
      </c>
    </row>
    <row r="61" spans="1:9">
      <c r="A61" s="1" t="s">
        <v>8</v>
      </c>
      <c r="B61" s="1">
        <f>SUM(LIFE)</f>
        <v>210029.4333002269</v>
      </c>
      <c r="C61" s="1">
        <f>SUM(ALLOCATED)</f>
        <v>93116.427799362893</v>
      </c>
      <c r="D61" s="1">
        <f>SUM(HEALTH)</f>
        <v>206891.27890041014</v>
      </c>
      <c r="E61" s="1">
        <f>SUM(UNALLOCATED)</f>
        <v>0</v>
      </c>
      <c r="F61" s="1">
        <f>SUM(LTC)</f>
        <v>0</v>
      </c>
      <c r="G61" s="1">
        <f>SUM(TOTAL)</f>
        <v>510037.13999999984</v>
      </c>
      <c r="H61" s="1">
        <f>SUM(TOTAL_CROSSCHECK)</f>
        <v>510037.13999999984</v>
      </c>
      <c r="I61" s="1">
        <f>SUM(RECON)</f>
        <v>0</v>
      </c>
    </row>
  </sheetData>
  <mergeCells count="1">
    <mergeCell ref="A1:G1"/>
  </mergeCells>
  <pageMargins left="0" right="0" top="0.5" bottom="0.5" header="0.3" footer="0.3"/>
  <pageSetup paperSize="5" scale="60"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L61"/>
  <sheetViews>
    <sheetView zoomScale="75" workbookViewId="0">
      <selection activeCell="M49" sqref="M49"/>
    </sheetView>
  </sheetViews>
  <sheetFormatPr defaultColWidth="9.109375" defaultRowHeight="14.4"/>
  <cols>
    <col min="1" max="1" width="20" style="1" customWidth="1"/>
    <col min="2" max="8" width="15" style="1" customWidth="1"/>
    <col min="9" max="9" width="8.44140625" style="1" bestFit="1" customWidth="1"/>
    <col min="10" max="10" width="9.109375" style="1" customWidth="1"/>
    <col min="11" max="11" width="40" style="1" customWidth="1"/>
    <col min="12" max="12" width="15" style="1" customWidth="1"/>
    <col min="13" max="13" width="9.109375" style="1" customWidth="1"/>
    <col min="14" max="16384" width="9.109375" style="1"/>
  </cols>
  <sheetData>
    <row r="1" spans="1:12">
      <c r="A1" s="135" t="s">
        <v>700</v>
      </c>
      <c r="B1" s="135"/>
      <c r="C1" s="135"/>
      <c r="D1" s="135"/>
      <c r="E1" s="135"/>
      <c r="F1" s="135"/>
      <c r="G1" s="135"/>
    </row>
    <row r="3" spans="1:12">
      <c r="B3" s="3"/>
      <c r="C3" s="3" t="s">
        <v>696</v>
      </c>
      <c r="D3" s="3"/>
      <c r="E3" s="3" t="s">
        <v>697</v>
      </c>
      <c r="F3" s="3"/>
      <c r="G3" s="3"/>
    </row>
    <row r="4" spans="1:12">
      <c r="B4" s="3" t="s">
        <v>3</v>
      </c>
      <c r="C4" s="3" t="s">
        <v>698</v>
      </c>
      <c r="D4" s="3" t="s">
        <v>5</v>
      </c>
      <c r="E4" s="3" t="s">
        <v>698</v>
      </c>
      <c r="F4" s="3" t="s">
        <v>7</v>
      </c>
      <c r="G4" s="3" t="s">
        <v>8</v>
      </c>
    </row>
    <row r="6" spans="1:12">
      <c r="A6" s="1" t="s">
        <v>11</v>
      </c>
      <c r="B6" s="1">
        <f>+'American Network'!B6+'Bankers Life'!B6+'Booker T Washington'!B6+'CO Bankers'!B6+'Executive Life'!B6+Freestone!B6+'Life Health America'!B6+'Lincoln Memorial'!B6+'National States'!B6+'North Carolina Mutual'!B6+'Pen  Treaty'!B6+'Red Rock'!B6+'Senior American'!B6+'Southland National Life'!B6+Time!B6+'Universal Life'!B6</f>
        <v>84675193.60051243</v>
      </c>
      <c r="C6" s="1">
        <f>+'American Network'!C6+'Bankers Life'!C6+'Booker T Washington'!C6+'CO Bankers'!C6+'Executive Life'!C6+Freestone!C6+'Life Health America'!C6+'Lincoln Memorial'!C6+'National States'!C6+'North Carolina Mutual'!C6+'Pen  Treaty'!C6+'Red Rock'!C6+'Senior American'!C6+'Southland National Life'!C6+Time!C6+'Universal Life'!C6</f>
        <v>31150656.809443045</v>
      </c>
      <c r="D6" s="1">
        <f>+'American Network'!D6+'Bankers Life'!D6+'Booker T Washington'!D6+'CO Bankers'!D6+'Executive Life'!D6+Freestone!D6+'Life Health America'!D6+'Lincoln Memorial'!D6+'National States'!D6+'North Carolina Mutual'!D6+'Pen  Treaty'!D6+'Red Rock'!D6+'Senior American'!D6+'Southland National Life'!D6+Time!D6+'Universal Life'!D6</f>
        <v>8361285.0623896765</v>
      </c>
      <c r="E6" s="1">
        <f>+'American Network'!E6+'Bankers Life'!E6+'Booker T Washington'!E6+'CO Bankers'!E6+'Executive Life'!E6+Freestone!E6+'Life Health America'!E6+'Lincoln Memorial'!E6+'National States'!E6+'North Carolina Mutual'!E6+'Pen  Treaty'!E6+'Red Rock'!E6+'Senior American'!E6+'Southland National Life'!E6+Time!E6+'Universal Life'!E6</f>
        <v>0</v>
      </c>
      <c r="F6" s="1">
        <f>+'American Network'!F6+'Bankers Life'!F6+'Booker T Washington'!F6+'CO Bankers'!F6+'Executive Life'!F6+Freestone!F6+'Life Health America'!F6+'Lincoln Memorial'!F6+'National States'!F6+'North Carolina Mutual'!F6+'Pen  Treaty'!F6+'Red Rock'!F6+'Senior American'!F6+'Southland National Life'!F6+Time!F6+'Universal Life'!F6</f>
        <v>0</v>
      </c>
      <c r="G6" s="1">
        <f t="shared" ref="G6:G37" si="0">SUM(B6:F6)</f>
        <v>124187135.47234514</v>
      </c>
      <c r="H6" s="1">
        <f>+'American Network'!G6+'Bankers Life'!G6+'Booker T Washington'!G6+'CO Bankers'!G6+'Executive Life'!G6+Freestone!G6+'Life Health America'!G6+'Lincoln Memorial'!G6+'National States'!G6+'North Carolina Mutual'!G6+'Pen  Treaty'!G6+'Red Rock'!G6+'Senior American'!G6+'Southland National Life'!G6+Time!G6+'Universal Life'!G6</f>
        <v>124187135.47234516</v>
      </c>
      <c r="I6" s="1">
        <f t="shared" ref="I6:I37" si="1">G6-H6</f>
        <v>0</v>
      </c>
      <c r="K6" s="1" t="s">
        <v>196</v>
      </c>
      <c r="L6" s="1">
        <f>Summary!TOTAL_81078</f>
        <v>341417618.03803885</v>
      </c>
    </row>
    <row r="7" spans="1:12">
      <c r="A7" s="1" t="s">
        <v>12</v>
      </c>
      <c r="B7" s="1">
        <f>+'American Network'!B7+'Bankers Life'!B7+'Booker T Washington'!B7+'CO Bankers'!B7+'Executive Life'!B7+Freestone!B7+'Life Health America'!B7+'Lincoln Memorial'!B7+'National States'!B7+'North Carolina Mutual'!B7+'Pen  Treaty'!B7+'Red Rock'!B7+'Senior American'!B7+'Southland National Life'!B7+Time!B7+'Universal Life'!B7</f>
        <v>641493.73490557598</v>
      </c>
      <c r="C7" s="1">
        <f>+'American Network'!C7+'Bankers Life'!C7+'Booker T Washington'!C7+'CO Bankers'!C7+'Executive Life'!C7+Freestone!C7+'Life Health America'!C7+'Lincoln Memorial'!C7+'National States'!C7+'North Carolina Mutual'!C7+'Pen  Treaty'!C7+'Red Rock'!C7+'Senior American'!C7+'Southland National Life'!C7+Time!C7+'Universal Life'!C7</f>
        <v>6393624.8966524396</v>
      </c>
      <c r="D7" s="1">
        <f>+'American Network'!D7+'Bankers Life'!D7+'Booker T Washington'!D7+'CO Bankers'!D7+'Executive Life'!D7+Freestone!D7+'Life Health America'!D7+'Lincoln Memorial'!D7+'National States'!D7+'North Carolina Mutual'!D7+'Pen  Treaty'!D7+'Red Rock'!D7+'Senior American'!D7+'Southland National Life'!D7+Time!D7+'Universal Life'!D7</f>
        <v>1218363.2961579782</v>
      </c>
      <c r="E7" s="1">
        <f>+'American Network'!E7+'Bankers Life'!E7+'Booker T Washington'!E7+'CO Bankers'!E7+'Executive Life'!E7+Freestone!E7+'Life Health America'!E7+'Lincoln Memorial'!E7+'National States'!E7+'North Carolina Mutual'!E7+'Pen  Treaty'!E7+'Red Rock'!E7+'Senior American'!E7+'Southland National Life'!E7+Time!E7+'Universal Life'!E7</f>
        <v>0</v>
      </c>
      <c r="F7" s="1">
        <f>+'American Network'!F7+'Bankers Life'!F7+'Booker T Washington'!F7+'CO Bankers'!F7+'Executive Life'!F7+Freestone!F7+'Life Health America'!F7+'Lincoln Memorial'!F7+'National States'!F7+'North Carolina Mutual'!F7+'Pen  Treaty'!F7+'Red Rock'!F7+'Senior American'!F7+'Southland National Life'!F7+Time!F7+'Universal Life'!F7</f>
        <v>0</v>
      </c>
      <c r="G7" s="1">
        <f t="shared" si="0"/>
        <v>8253481.9277159944</v>
      </c>
      <c r="H7" s="1">
        <f>+'American Network'!G7+'Bankers Life'!G7+'Booker T Washington'!G7+'CO Bankers'!G7+'Executive Life'!G7+Freestone!G7+'Life Health America'!G7+'Lincoln Memorial'!G7+'National States'!G7+'North Carolina Mutual'!G7+'Pen  Treaty'!G7+'Red Rock'!G7+'Senior American'!G7+'Southland National Life'!G7+Time!G7+'Universal Life'!G7</f>
        <v>8253481.9277159926</v>
      </c>
      <c r="I7" s="1">
        <f t="shared" si="1"/>
        <v>0</v>
      </c>
      <c r="K7" s="1" t="s">
        <v>201</v>
      </c>
      <c r="L7" s="1">
        <f>Summary!TOTAL_81043</f>
        <v>321678386.90501571</v>
      </c>
    </row>
    <row r="8" spans="1:12">
      <c r="A8" s="1" t="s">
        <v>13</v>
      </c>
      <c r="B8" s="1">
        <f>+'American Network'!B8+'Bankers Life'!B8+'Booker T Washington'!B8+'CO Bankers'!B8+'Executive Life'!B8+Freestone!B8+'Life Health America'!B8+'Lincoln Memorial'!B8+'National States'!B8+'North Carolina Mutual'!B8+'Pen  Treaty'!B8+'Red Rock'!B8+'Senior American'!B8+'Southland National Life'!B8+Time!B8+'Universal Life'!B8</f>
        <v>24439137.234096084</v>
      </c>
      <c r="C8" s="1">
        <f>+'American Network'!C8+'Bankers Life'!C8+'Booker T Washington'!C8+'CO Bankers'!C8+'Executive Life'!C8+Freestone!C8+'Life Health America'!C8+'Lincoln Memorial'!C8+'National States'!C8+'North Carolina Mutual'!C8+'Pen  Treaty'!C8+'Red Rock'!C8+'Senior American'!C8+'Southland National Life'!C8+Time!C8+'Universal Life'!C8</f>
        <v>42364799.327469841</v>
      </c>
      <c r="D8" s="1">
        <f>+'American Network'!D8+'Bankers Life'!D8+'Booker T Washington'!D8+'CO Bankers'!D8+'Executive Life'!D8+Freestone!D8+'Life Health America'!D8+'Lincoln Memorial'!D8+'National States'!D8+'North Carolina Mutual'!D8+'Pen  Treaty'!D8+'Red Rock'!D8+'Senior American'!D8+'Southland National Life'!D8+Time!D8+'Universal Life'!D8</f>
        <v>128868465.46752854</v>
      </c>
      <c r="E8" s="1">
        <f>+'American Network'!E8+'Bankers Life'!E8+'Booker T Washington'!E8+'CO Bankers'!E8+'Executive Life'!E8+Freestone!E8+'Life Health America'!E8+'Lincoln Memorial'!E8+'National States'!E8+'North Carolina Mutual'!E8+'Pen  Treaty'!E8+'Red Rock'!E8+'Senior American'!E8+'Southland National Life'!E8+Time!E8+'Universal Life'!E8</f>
        <v>0</v>
      </c>
      <c r="F8" s="1">
        <f>+'American Network'!F8+'Bankers Life'!F8+'Booker T Washington'!F8+'CO Bankers'!F8+'Executive Life'!F8+Freestone!F8+'Life Health America'!F8+'Lincoln Memorial'!F8+'National States'!F8+'North Carolina Mutual'!F8+'Pen  Treaty'!F8+'Red Rock'!F8+'Senior American'!F8+'Southland National Life'!F8+Time!F8+'Universal Life'!F8</f>
        <v>1967856.5995589423</v>
      </c>
      <c r="G8" s="1">
        <f t="shared" si="0"/>
        <v>197640258.62865341</v>
      </c>
      <c r="H8" s="1">
        <f>+'American Network'!G8+'Bankers Life'!G8+'Booker T Washington'!G8+'CO Bankers'!G8+'Executive Life'!G8+Freestone!G8+'Life Health America'!G8+'Lincoln Memorial'!G8+'National States'!G8+'North Carolina Mutual'!G8+'Pen  Treaty'!G8+'Red Rock'!G8+'Senior American'!G8+'Southland National Life'!G8+Time!G8+'Universal Life'!G8</f>
        <v>197640258.62865341</v>
      </c>
      <c r="I8" s="1">
        <f t="shared" si="1"/>
        <v>0</v>
      </c>
      <c r="K8" s="1" t="s">
        <v>206</v>
      </c>
      <c r="L8" s="1">
        <f>Summary!TOTAL_61468</f>
        <v>25719888.248309892</v>
      </c>
    </row>
    <row r="9" spans="1:12">
      <c r="A9" s="1" t="s">
        <v>15</v>
      </c>
      <c r="B9" s="1">
        <f>+'American Network'!B9+'Bankers Life'!B9+'Booker T Washington'!B9+'CO Bankers'!B9+'Executive Life'!B9+Freestone!B9+'Life Health America'!B9+'Lincoln Memorial'!B9+'National States'!B9+'North Carolina Mutual'!B9+'Pen  Treaty'!B9+'Red Rock'!B9+'Senior American'!B9+'Southland National Life'!B9+Time!B9+'Universal Life'!B9</f>
        <v>14451490.085700445</v>
      </c>
      <c r="C9" s="1">
        <f>+'American Network'!C9+'Bankers Life'!C9+'Booker T Washington'!C9+'CO Bankers'!C9+'Executive Life'!C9+Freestone!C9+'Life Health America'!C9+'Lincoln Memorial'!C9+'National States'!C9+'North Carolina Mutual'!C9+'Pen  Treaty'!C9+'Red Rock'!C9+'Senior American'!C9+'Southland National Life'!C9+Time!C9+'Universal Life'!C9</f>
        <v>12211623.309669577</v>
      </c>
      <c r="D9" s="1">
        <f>+'American Network'!D9+'Bankers Life'!D9+'Booker T Washington'!D9+'CO Bankers'!D9+'Executive Life'!D9+Freestone!D9+'Life Health America'!D9+'Lincoln Memorial'!D9+'National States'!D9+'North Carolina Mutual'!D9+'Pen  Treaty'!D9+'Red Rock'!D9+'Senior American'!D9+'Southland National Life'!D9+Time!D9+'Universal Life'!D9</f>
        <v>4613947.1244507656</v>
      </c>
      <c r="E9" s="1">
        <f>+'American Network'!E9+'Bankers Life'!E9+'Booker T Washington'!E9+'CO Bankers'!E9+'Executive Life'!E9+Freestone!E9+'Life Health America'!E9+'Lincoln Memorial'!E9+'National States'!E9+'North Carolina Mutual'!E9+'Pen  Treaty'!E9+'Red Rock'!E9+'Senior American'!E9+'Southland National Life'!E9+Time!E9+'Universal Life'!E9</f>
        <v>52674.93148616502</v>
      </c>
      <c r="F9" s="1">
        <f>+'American Network'!F9+'Bankers Life'!F9+'Booker T Washington'!F9+'CO Bankers'!F9+'Executive Life'!F9+Freestone!F9+'Life Health America'!F9+'Lincoln Memorial'!F9+'National States'!F9+'North Carolina Mutual'!F9+'Pen  Treaty'!F9+'Red Rock'!F9+'Senior American'!F9+'Southland National Life'!F9+Time!F9+'Universal Life'!F9</f>
        <v>0</v>
      </c>
      <c r="G9" s="1">
        <f t="shared" si="0"/>
        <v>31329735.45130695</v>
      </c>
      <c r="H9" s="1">
        <f>+'American Network'!G9+'Bankers Life'!G9+'Booker T Washington'!G9+'CO Bankers'!G9+'Executive Life'!G9+Freestone!G9+'Life Health America'!G9+'Lincoln Memorial'!G9+'National States'!G9+'North Carolina Mutual'!G9+'Pen  Treaty'!G9+'Red Rock'!G9+'Senior American'!G9+'Southland National Life'!G9+Time!G9+'Universal Life'!G9</f>
        <v>31329735.451306954</v>
      </c>
      <c r="I9" s="1">
        <f t="shared" si="1"/>
        <v>0</v>
      </c>
      <c r="K9" s="1" t="s">
        <v>212</v>
      </c>
      <c r="L9" s="1">
        <f>Summary!TOTAL_84786</f>
        <v>1117694690.2480211</v>
      </c>
    </row>
    <row r="10" spans="1:12">
      <c r="A10" s="1" t="s">
        <v>16</v>
      </c>
      <c r="B10" s="1">
        <f>+'American Network'!B10+'Bankers Life'!B10+'Booker T Washington'!B10+'CO Bankers'!B10+'Executive Life'!B10+Freestone!B10+'Life Health America'!B10+'Lincoln Memorial'!B10+'National States'!B10+'North Carolina Mutual'!B10+'Pen  Treaty'!B10+'Red Rock'!B10+'Senior American'!B10+'Southland National Life'!B10+Time!B10+'Universal Life'!B10</f>
        <v>290043375.49377966</v>
      </c>
      <c r="C10" s="1">
        <f>+'American Network'!C10+'Bankers Life'!C10+'Booker T Washington'!C10+'CO Bankers'!C10+'Executive Life'!C10+Freestone!C10+'Life Health America'!C10+'Lincoln Memorial'!C10+'National States'!C10+'North Carolina Mutual'!C10+'Pen  Treaty'!C10+'Red Rock'!C10+'Senior American'!C10+'Southland National Life'!C10+Time!C10+'Universal Life'!C10</f>
        <v>462828980.16187286</v>
      </c>
      <c r="D10" s="1">
        <f>+'American Network'!D10+'Bankers Life'!D10+'Booker T Washington'!D10+'CO Bankers'!D10+'Executive Life'!D10+Freestone!D10+'Life Health America'!D10+'Lincoln Memorial'!D10+'National States'!D10+'North Carolina Mutual'!D10+'Pen  Treaty'!D10+'Red Rock'!D10+'Senior American'!D10+'Southland National Life'!D10+Time!D10+'Universal Life'!D10</f>
        <v>415397010.66484547</v>
      </c>
      <c r="E10" s="1">
        <f>+'American Network'!E10+'Bankers Life'!E10+'Booker T Washington'!E10+'CO Bankers'!E10+'Executive Life'!E10+Freestone!E10+'Life Health America'!E10+'Lincoln Memorial'!E10+'National States'!E10+'North Carolina Mutual'!E10+'Pen  Treaty'!E10+'Red Rock'!E10+'Senior American'!E10+'Southland National Life'!E10+Time!E10+'Universal Life'!E10</f>
        <v>0</v>
      </c>
      <c r="F10" s="1">
        <f>+'American Network'!F10+'Bankers Life'!F10+'Booker T Washington'!F10+'CO Bankers'!F10+'Executive Life'!F10+Freestone!F10+'Life Health America'!F10+'Lincoln Memorial'!F10+'National States'!F10+'North Carolina Mutual'!F10+'Pen  Treaty'!F10+'Red Rock'!F10+'Senior American'!F10+'Southland National Life'!F10+Time!F10+'Universal Life'!F10</f>
        <v>0</v>
      </c>
      <c r="G10" s="1">
        <f t="shared" si="0"/>
        <v>1168269366.320498</v>
      </c>
      <c r="H10" s="1">
        <f>+'American Network'!G10+'Bankers Life'!G10+'Booker T Washington'!G10+'CO Bankers'!G10+'Executive Life'!G10+Freestone!G10+'Life Health America'!G10+'Lincoln Memorial'!G10+'National States'!G10+'North Carolina Mutual'!G10+'Pen  Treaty'!G10+'Red Rock'!G10+'Senior American'!G10+'Southland National Life'!G10+Time!G10+'Universal Life'!G10</f>
        <v>1168269366.320498</v>
      </c>
      <c r="I10" s="1">
        <f t="shared" si="1"/>
        <v>0</v>
      </c>
      <c r="K10" s="1" t="s">
        <v>214</v>
      </c>
      <c r="L10" s="1">
        <f>Summary!TOTAL_63010</f>
        <v>2855347436.2162118</v>
      </c>
    </row>
    <row r="11" spans="1:12">
      <c r="A11" s="1" t="s">
        <v>18</v>
      </c>
      <c r="B11" s="1">
        <f>+'American Network'!B11+'Bankers Life'!B11+'Booker T Washington'!B11+'CO Bankers'!B11+'Executive Life'!B11+Freestone!B11+'Life Health America'!B11+'Lincoln Memorial'!B11+'National States'!B11+'North Carolina Mutual'!B11+'Pen  Treaty'!B11+'Red Rock'!B11+'Senior American'!B11+'Southland National Life'!B11+Time!B11+'Universal Life'!B11</f>
        <v>2346537.5628707744</v>
      </c>
      <c r="C11" s="1">
        <f>+'American Network'!C11+'Bankers Life'!C11+'Booker T Washington'!C11+'CO Bankers'!C11+'Executive Life'!C11+Freestone!C11+'Life Health America'!C11+'Lincoln Memorial'!C11+'National States'!C11+'North Carolina Mutual'!C11+'Pen  Treaty'!C11+'Red Rock'!C11+'Senior American'!C11+'Southland National Life'!C11+Time!C11+'Universal Life'!C11</f>
        <v>10298178.403023407</v>
      </c>
      <c r="D11" s="1">
        <f>+'American Network'!D11+'Bankers Life'!D11+'Booker T Washington'!D11+'CO Bankers'!D11+'Executive Life'!D11+Freestone!D11+'Life Health America'!D11+'Lincoln Memorial'!D11+'National States'!D11+'North Carolina Mutual'!D11+'Pen  Treaty'!D11+'Red Rock'!D11+'Senior American'!D11+'Southland National Life'!D11+Time!D11+'Universal Life'!D11</f>
        <v>66832348.23373545</v>
      </c>
      <c r="E11" s="1">
        <f>+'American Network'!E11+'Bankers Life'!E11+'Booker T Washington'!E11+'CO Bankers'!E11+'Executive Life'!E11+Freestone!E11+'Life Health America'!E11+'Lincoln Memorial'!E11+'National States'!E11+'North Carolina Mutual'!E11+'Pen  Treaty'!E11+'Red Rock'!E11+'Senior American'!E11+'Southland National Life'!E11+Time!E11+'Universal Life'!E11</f>
        <v>0</v>
      </c>
      <c r="F11" s="1">
        <f>+'American Network'!F11+'Bankers Life'!F11+'Booker T Washington'!F11+'CO Bankers'!F11+'Executive Life'!F11+Freestone!F11+'Life Health America'!F11+'Lincoln Memorial'!F11+'National States'!F11+'North Carolina Mutual'!F11+'Pen  Treaty'!F11+'Red Rock'!F11+'Senior American'!F11+'Southland National Life'!F11+Time!F11+'Universal Life'!F11</f>
        <v>0</v>
      </c>
      <c r="G11" s="1">
        <f t="shared" si="0"/>
        <v>79477064.199629635</v>
      </c>
      <c r="H11" s="1">
        <f>+'American Network'!G11+'Bankers Life'!G11+'Booker T Washington'!G11+'CO Bankers'!G11+'Executive Life'!G11+Freestone!G11+'Life Health America'!G11+'Lincoln Memorial'!G11+'National States'!G11+'North Carolina Mutual'!G11+'Pen  Treaty'!G11+'Red Rock'!G11+'Senior American'!G11+'Southland National Life'!G11+Time!G11+'Universal Life'!G11</f>
        <v>79477064.199629635</v>
      </c>
      <c r="I11" s="1">
        <f t="shared" si="1"/>
        <v>0</v>
      </c>
      <c r="K11" s="1" t="s">
        <v>222</v>
      </c>
      <c r="L11" s="1">
        <f>Summary!TOTAL_77887</f>
        <v>38152679.38611646</v>
      </c>
    </row>
    <row r="12" spans="1:12">
      <c r="A12" s="1" t="s">
        <v>19</v>
      </c>
      <c r="B12" s="1">
        <f>+'American Network'!B12+'Bankers Life'!B12+'Booker T Washington'!B12+'CO Bankers'!B12+'Executive Life'!B12+Freestone!B12+'Life Health America'!B12+'Lincoln Memorial'!B12+'National States'!B12+'North Carolina Mutual'!B12+'Pen  Treaty'!B12+'Red Rock'!B12+'Senior American'!B12+'Southland National Life'!B12+Time!B12+'Universal Life'!B12</f>
        <v>433940.66355020186</v>
      </c>
      <c r="C12" s="1">
        <f>+'American Network'!C12+'Bankers Life'!C12+'Booker T Washington'!C12+'CO Bankers'!C12+'Executive Life'!C12+Freestone!C12+'Life Health America'!C12+'Lincoln Memorial'!C12+'National States'!C12+'North Carolina Mutual'!C12+'Pen  Treaty'!C12+'Red Rock'!C12+'Senior American'!C12+'Southland National Life'!C12+Time!C12+'Universal Life'!C12</f>
        <v>36050092.605994508</v>
      </c>
      <c r="D12" s="1">
        <f>+'American Network'!D12+'Bankers Life'!D12+'Booker T Washington'!D12+'CO Bankers'!D12+'Executive Life'!D12+Freestone!D12+'Life Health America'!D12+'Lincoln Memorial'!D12+'National States'!D12+'North Carolina Mutual'!D12+'Pen  Treaty'!D12+'Red Rock'!D12+'Senior American'!D12+'Southland National Life'!D12+Time!D12+'Universal Life'!D12</f>
        <v>29297012.09278236</v>
      </c>
      <c r="E12" s="1">
        <f>+'American Network'!E12+'Bankers Life'!E12+'Booker T Washington'!E12+'CO Bankers'!E12+'Executive Life'!E12+Freestone!E12+'Life Health America'!E12+'Lincoln Memorial'!E12+'National States'!E12+'North Carolina Mutual'!E12+'Pen  Treaty'!E12+'Red Rock'!E12+'Senior American'!E12+'Southland National Life'!E12+Time!E12+'Universal Life'!E12</f>
        <v>0</v>
      </c>
      <c r="F12" s="1">
        <f>+'American Network'!F12+'Bankers Life'!F12+'Booker T Washington'!F12+'CO Bankers'!F12+'Executive Life'!F12+Freestone!F12+'Life Health America'!F12+'Lincoln Memorial'!F12+'National States'!F12+'North Carolina Mutual'!F12+'Pen  Treaty'!F12+'Red Rock'!F12+'Senior American'!F12+'Southland National Life'!F12+Time!F12+'Universal Life'!F12</f>
        <v>0</v>
      </c>
      <c r="G12" s="1">
        <f t="shared" si="0"/>
        <v>65781045.362327069</v>
      </c>
      <c r="H12" s="1">
        <f>+'American Network'!G12+'Bankers Life'!G12+'Booker T Washington'!G12+'CO Bankers'!G12+'Executive Life'!G12+Freestone!G12+'Life Health America'!G12+'Lincoln Memorial'!G12+'National States'!G12+'North Carolina Mutual'!G12+'Pen  Treaty'!G12+'Red Rock'!G12+'Senior American'!G12+'Southland National Life'!G12+Time!G12+'Universal Life'!G12</f>
        <v>65781045.362327076</v>
      </c>
      <c r="I12" s="1">
        <f t="shared" si="1"/>
        <v>0</v>
      </c>
      <c r="K12" s="1" t="s">
        <v>227</v>
      </c>
      <c r="L12" s="1">
        <f>Summary!TOTAL_69833</f>
        <v>215837046.11798137</v>
      </c>
    </row>
    <row r="13" spans="1:12">
      <c r="A13" s="1" t="s">
        <v>21</v>
      </c>
      <c r="B13" s="1">
        <f>+'American Network'!B13+'Bankers Life'!B13+'Booker T Washington'!B13+'CO Bankers'!B13+'Executive Life'!B13+Freestone!B13+'Life Health America'!B13+'Lincoln Memorial'!B13+'National States'!B13+'North Carolina Mutual'!B13+'Pen  Treaty'!B13+'Red Rock'!B13+'Senior American'!B13+'Southland National Life'!B13+Time!B13+'Universal Life'!B13</f>
        <v>4080681.2357086823</v>
      </c>
      <c r="C13" s="1">
        <f>+'American Network'!C13+'Bankers Life'!C13+'Booker T Washington'!C13+'CO Bankers'!C13+'Executive Life'!C13+Freestone!C13+'Life Health America'!C13+'Lincoln Memorial'!C13+'National States'!C13+'North Carolina Mutual'!C13+'Pen  Treaty'!C13+'Red Rock'!C13+'Senior American'!C13+'Southland National Life'!C13+Time!C13+'Universal Life'!C13</f>
        <v>15393190.891785998</v>
      </c>
      <c r="D13" s="1">
        <f>+'American Network'!D13+'Bankers Life'!D13+'Booker T Washington'!D13+'CO Bankers'!D13+'Executive Life'!D13+'Life Health America'!D13+'Lincoln Memorial'!D13+'National States'!D13+'North Carolina Mutual'!D13+'Pen  Treaty'!D13+'Red Rock'!D13+'Senior American'!D13+'Southland National Life'!D13+Time!D13+'Universal Life'!D13</f>
        <v>3686737.4500257559</v>
      </c>
      <c r="E13" s="1">
        <f>+'American Network'!E13+'Bankers Life'!E13+'Booker T Washington'!E13+'CO Bankers'!E13+'Executive Life'!E13+Freestone!E13+'Life Health America'!E13+'Lincoln Memorial'!E13+'National States'!E13+'North Carolina Mutual'!E13+'Pen  Treaty'!E13+'Red Rock'!E13+'Senior American'!E13+'Southland National Life'!E13+Time!E13+'Universal Life'!E13</f>
        <v>102184.9909383966</v>
      </c>
      <c r="F13" s="1">
        <f>+'American Network'!F13+'Bankers Life'!F13+'Booker T Washington'!F13+'CO Bankers'!F13+'Executive Life'!F13+Freestone!F13+'Life Health America'!F13+'Lincoln Memorial'!F13+'National States'!F13+'North Carolina Mutual'!F13+'Pen  Treaty'!F13+'Red Rock'!F13+'Senior American'!F13+'Southland National Life'!F13+Time!F13+'Universal Life'!F13</f>
        <v>0</v>
      </c>
      <c r="G13" s="1">
        <f t="shared" si="0"/>
        <v>23262794.568458833</v>
      </c>
      <c r="H13" s="1">
        <f>+'American Network'!G13+'Bankers Life'!G13+'Booker T Washington'!G13+'CO Bankers'!G13+'Executive Life'!G13+'Life Health America'!G13+'Lincoln Memorial'!G13+'National States'!G13+'North Carolina Mutual'!G13+'Pen  Treaty'!G13+'Red Rock'!G13+'Senior American'!G13+'Southland National Life'!G13+Time!G13+'Universal Life'!G13</f>
        <v>23262794.568458833</v>
      </c>
      <c r="I13" s="1">
        <f t="shared" si="1"/>
        <v>0</v>
      </c>
      <c r="K13" s="1" t="s">
        <v>232</v>
      </c>
      <c r="L13" s="1">
        <f>Summary!TOTAL_60593</f>
        <v>134476663.82562083</v>
      </c>
    </row>
    <row r="14" spans="1:12">
      <c r="A14" s="1" t="s">
        <v>23</v>
      </c>
      <c r="B14" s="1">
        <f>+'American Network'!B14+'Bankers Life'!B14+'Booker T Washington'!B14+'CO Bankers'!B14+'Executive Life'!B14+Freestone!B14+'Life Health America'!B14+'Lincoln Memorial'!B14+'National States'!B14+'North Carolina Mutual'!B14+'Pen  Treaty'!B14+'Red Rock'!B14+'Senior American'!B14+'Southland National Life'!B14+Time!B14+'Universal Life'!B14</f>
        <v>3721969.9712218819</v>
      </c>
      <c r="C14" s="1">
        <f>+'American Network'!C14+'Bankers Life'!C14+'Booker T Washington'!C14+'CO Bankers'!C14+'Executive Life'!C14+Freestone!C14+'Life Health America'!C14+'Lincoln Memorial'!C14+'National States'!C14+'North Carolina Mutual'!C14+'Pen  Treaty'!C14+'Red Rock'!C14+'Senior American'!C14+'Southland National Life'!C14+Time!C14+'Universal Life'!C14</f>
        <v>1260825.1766539037</v>
      </c>
      <c r="D14" s="1">
        <f>+'American Network'!D14+'Bankers Life'!D14+'Booker T Washington'!D14+'CO Bankers'!D14+'Executive Life'!D14+Freestone!D14+'Life Health America'!D14+'Lincoln Memorial'!D14+'National States'!D14+'North Carolina Mutual'!D14+'Pen  Treaty'!D14+'Red Rock'!D14+'Senior American'!D14+'Southland National Life'!D14+Time!D14+'Universal Life'!D14</f>
        <v>1641953.6337920905</v>
      </c>
      <c r="E14" s="1">
        <f>+'American Network'!E14+'Bankers Life'!E14+'Booker T Washington'!E14+'CO Bankers'!E14+'Executive Life'!E14+Freestone!E14+'Life Health America'!E14+'Lincoln Memorial'!E14+'National States'!E14+'North Carolina Mutual'!E14+'Pen  Treaty'!E14+'Red Rock'!E14+'Senior American'!E14+'Southland National Life'!E14+Time!E14+'Universal Life'!E14</f>
        <v>0</v>
      </c>
      <c r="F14" s="1">
        <f>+'American Network'!F14+'Bankers Life'!F14+'Booker T Washington'!F14+'CO Bankers'!F14+'Executive Life'!F14+Freestone!F14+'Life Health America'!F14+'Lincoln Memorial'!F14+'National States'!F14+'North Carolina Mutual'!F14+'Pen  Treaty'!F14+'Red Rock'!F14+'Senior American'!F14+'Southland National Life'!F14+Time!F14+'Universal Life'!F14</f>
        <v>0</v>
      </c>
      <c r="G14" s="1">
        <f t="shared" si="0"/>
        <v>6624748.7816678761</v>
      </c>
      <c r="H14" s="1">
        <f>+'American Network'!G14+'Bankers Life'!G14+'Booker T Washington'!G14+'CO Bankers'!G14+'Executive Life'!G14+Freestone!G14+'Life Health America'!G14+'Lincoln Memorial'!G14+'National States'!G14+'North Carolina Mutual'!G14+'Pen  Treaty'!G14+'Red Rock'!G14+'Senior American'!G14+'Southland National Life'!G14+Time!G14+'Universal Life'!G14</f>
        <v>6624748.7816678761</v>
      </c>
      <c r="I14" s="1">
        <f t="shared" si="1"/>
        <v>0</v>
      </c>
      <c r="K14" s="1" t="s">
        <v>237</v>
      </c>
      <c r="L14" s="1">
        <f>Summary!TOTAL_67032</f>
        <v>101858824.70497225</v>
      </c>
    </row>
    <row r="15" spans="1:12">
      <c r="A15" s="1" t="s">
        <v>25</v>
      </c>
      <c r="B15" s="1">
        <f>+'American Network'!B15+'Bankers Life'!B15+'Booker T Washington'!B15+'CO Bankers'!B15+'Executive Life'!B15+Freestone!B15+'Life Health America'!B15+'Lincoln Memorial'!B15+'National States'!B15+'North Carolina Mutual'!B15+'Pen  Treaty'!B15+'Red Rock'!B15+'Senior American'!B15+'Southland National Life'!B15+Time!B15+'Universal Life'!B15</f>
        <v>102532331.28409533</v>
      </c>
      <c r="C15" s="1">
        <f>+'American Network'!C15+'Bankers Life'!C15+'Booker T Washington'!C15+'CO Bankers'!C15+'Executive Life'!C15+Freestone!C15+'Life Health America'!C15+'Lincoln Memorial'!C15+'National States'!C15+'North Carolina Mutual'!C15+'Pen  Treaty'!C15+'Red Rock'!C15+'Senior American'!C15+'Southland National Life'!C15+Time!C15+'Universal Life'!C15</f>
        <v>219107715.67869616</v>
      </c>
      <c r="D15" s="1">
        <f>+'American Network'!D15+'Bankers Life'!D15+'Booker T Washington'!D15+'CO Bankers'!D15+'Executive Life'!D15+Freestone!D15+'Life Health America'!D15+'Lincoln Memorial'!D15+'National States'!D15+'North Carolina Mutual'!D15+'Pen  Treaty'!D15+'Red Rock'!D15+'Senior American'!D15+'Southland National Life'!D15+Time!D15+'Universal Life'!D15</f>
        <v>429360393.603535</v>
      </c>
      <c r="E15" s="1">
        <f>+'American Network'!E15+'Bankers Life'!E15+'Booker T Washington'!E15+'CO Bankers'!E15+'Executive Life'!E15+Freestone!E15+'Life Health America'!E15+'Lincoln Memorial'!E15+'National States'!E15+'North Carolina Mutual'!E15+'Pen  Treaty'!E15+'Red Rock'!E15+'Senior American'!E15+'Southland National Life'!E15+Time!E15+'Universal Life'!E15</f>
        <v>0</v>
      </c>
      <c r="F15" s="1">
        <f>+'American Network'!F15+'Bankers Life'!F15+'Booker T Washington'!F15+'CO Bankers'!F15+'Executive Life'!F15+Freestone!F15+'Life Health America'!F15+'Lincoln Memorial'!F15+'National States'!F15+'North Carolina Mutual'!F15+'Pen  Treaty'!F15+'Red Rock'!F15+'Senior American'!F15+'Southland National Life'!F15+Time!F15+'Universal Life'!F15</f>
        <v>2657463.5965794986</v>
      </c>
      <c r="G15" s="1">
        <f t="shared" si="0"/>
        <v>753657904.16290605</v>
      </c>
      <c r="H15" s="1">
        <f>+'American Network'!G15+'Bankers Life'!G15+'Booker T Washington'!G15+'CO Bankers'!G15+'Executive Life'!G15+Freestone!G15+'Life Health America'!G15+'Lincoln Memorial'!G15+'National States'!G15+'North Carolina Mutual'!G15+'Pen  Treaty'!G15+'Red Rock'!G15+'Senior American'!G15+'Southland National Life'!G15+Time!G15+'Universal Life'!G15</f>
        <v>753657904.16290605</v>
      </c>
      <c r="I15" s="1">
        <f t="shared" si="1"/>
        <v>0</v>
      </c>
      <c r="K15" s="1" t="s">
        <v>241</v>
      </c>
      <c r="L15" s="1">
        <f>Summary!TOTAL_63282</f>
        <v>2460638866.4742403</v>
      </c>
    </row>
    <row r="16" spans="1:12">
      <c r="A16" s="1" t="s">
        <v>27</v>
      </c>
      <c r="B16" s="1">
        <f>+'American Network'!B16+'Bankers Life'!B16+'Booker T Washington'!B16+'CO Bankers'!B16+'Executive Life'!B16+Freestone!B16+'Life Health America'!B16+'Lincoln Memorial'!B16+'National States'!B16+'North Carolina Mutual'!B16+'Pen  Treaty'!B16+'Red Rock'!B16+'Senior American'!B16+'Southland National Life'!B16+Time!B16+'Universal Life'!B16</f>
        <v>43974949.561937906</v>
      </c>
      <c r="C16" s="1">
        <f>+'American Network'!C16+'Bankers Life'!C16+'Booker T Washington'!C16+'CO Bankers'!C16+'Executive Life'!C16+Freestone!C16+'Life Health America'!C16+'Lincoln Memorial'!C16+'National States'!C16+'North Carolina Mutual'!C16+'Pen  Treaty'!C16+'Red Rock'!C16+'Senior American'!C16+'Southland National Life'!C16+Time!C16+'Universal Life'!C16</f>
        <v>45519818.999792904</v>
      </c>
      <c r="D16" s="1">
        <f>+'American Network'!D16+'Bankers Life'!D16+'Booker T Washington'!D16+'CO Bankers'!D16+'Executive Life'!D16+'Life Health America'!D16+'Lincoln Memorial'!D16+'National States'!D16+'North Carolina Mutual'!D16+'Pen  Treaty'!D16+'Red Rock'!D16+'Senior American'!D16+'Southland National Life'!D16+Time!D16+'Universal Life'!D16</f>
        <v>86055089.25825648</v>
      </c>
      <c r="E16" s="1">
        <f>+'American Network'!E16+'Bankers Life'!E16+'Booker T Washington'!E16+'CO Bankers'!E16+'Executive Life'!E16+Freestone!E16+'Life Health America'!E16+'Lincoln Memorial'!E16+'National States'!E16+'North Carolina Mutual'!E16+'Pen  Treaty'!E16+'Red Rock'!E16+'Senior American'!E16+'Southland National Life'!E16+Time!E16+'Universal Life'!E16</f>
        <v>2293198.2141744946</v>
      </c>
      <c r="F16" s="1">
        <f>+'American Network'!F16+'Bankers Life'!F16+'Booker T Washington'!F16+'CO Bankers'!F16+'Executive Life'!F16+Freestone!F16+'Life Health America'!F16+'Lincoln Memorial'!F16+'National States'!F16+'North Carolina Mutual'!F16+'Pen  Treaty'!F16+'Red Rock'!F16+'Senior American'!F16+'Southland National Life'!F16+Time!F16+'Universal Life'!F16</f>
        <v>0</v>
      </c>
      <c r="G16" s="1">
        <f t="shared" si="0"/>
        <v>177843056.03416181</v>
      </c>
      <c r="H16" s="1">
        <f>+'American Network'!G16+'Bankers Life'!G16+'Booker T Washington'!G16+'CO Bankers'!G16+'Executive Life'!G16+'Life Health America'!G16+'Lincoln Memorial'!G16+'National States'!G16+'North Carolina Mutual'!G16+'Pen  Treaty'!G16+'Red Rock'!G16+'Senior American'!G16+'Southland National Life'!G16+Time!G16+'Universal Life'!G16</f>
        <v>177843056.03416178</v>
      </c>
      <c r="I16" s="1">
        <f t="shared" si="1"/>
        <v>0</v>
      </c>
      <c r="K16" s="1" t="s">
        <v>243</v>
      </c>
      <c r="L16" s="1">
        <f>Summary!TOTAL_18538</f>
        <v>16216</v>
      </c>
    </row>
    <row r="17" spans="1:12">
      <c r="A17" s="1" t="s">
        <v>29</v>
      </c>
      <c r="B17" s="1">
        <f>+'American Network'!B17+'Bankers Life'!B17+'Booker T Washington'!B17+'CO Bankers'!B17+'Executive Life'!B17+Freestone!B17+'Life Health America'!B17+'Lincoln Memorial'!B17+'National States'!B17+'North Carolina Mutual'!B17+'Pen  Treaty'!B17+'Red Rock'!B17+'Senior American'!B17+'Southland National Life'!B17+Time!B17+'Universal Life'!B17</f>
        <v>26319800.041345891</v>
      </c>
      <c r="C17" s="1">
        <f>+'American Network'!C17+'Bankers Life'!C17+'Booker T Washington'!C17+'CO Bankers'!C17+'Executive Life'!C17+Freestone!C17+'Life Health America'!C17+'Lincoln Memorial'!C17+'National States'!C17+'North Carolina Mutual'!C17+'Pen  Treaty'!C17+'Red Rock'!C17+'Senior American'!C17+'Southland National Life'!C17+Time!C17+'Universal Life'!C17</f>
        <v>18238819.184101991</v>
      </c>
      <c r="D17" s="1">
        <f>+'American Network'!D17+'Bankers Life'!D17+'Booker T Washington'!D17+'CO Bankers'!D17+'Executive Life'!D17+Freestone!D17+'Life Health America'!D17+'Lincoln Memorial'!D17+'National States'!D17+'North Carolina Mutual'!D17+'Pen  Treaty'!D17+'Red Rock'!D17+'Senior American'!D17+'Southland National Life'!D17+Time!D17+'Universal Life'!D17</f>
        <v>9617742.9485468753</v>
      </c>
      <c r="E17" s="1">
        <f>+'American Network'!E17+'Bankers Life'!E17+'Booker T Washington'!E17+'CO Bankers'!E17+'Executive Life'!E17+Freestone!E17+'Life Health America'!E17+'Lincoln Memorial'!E17+'National States'!E17+'North Carolina Mutual'!E17+'Pen  Treaty'!E17+'Red Rock'!E17+'Senior American'!E17+'Southland National Life'!E17+Time!E17+'Universal Life'!E17</f>
        <v>0</v>
      </c>
      <c r="F17" s="1">
        <f>+'American Network'!F17+'Bankers Life'!F17+'Booker T Washington'!F17+'CO Bankers'!F17+'Executive Life'!F17+Freestone!F17+'Life Health America'!F17+'Lincoln Memorial'!F17+'National States'!F17+'North Carolina Mutual'!F17+'Pen  Treaty'!F17+'Red Rock'!F17+'Senior American'!F17+'Southland National Life'!F17+Time!F17+'Universal Life'!F17</f>
        <v>0</v>
      </c>
      <c r="G17" s="1">
        <f t="shared" si="0"/>
        <v>54176362.17399475</v>
      </c>
      <c r="H17" s="1">
        <f>+'American Network'!G17+'Bankers Life'!G17+'Booker T Washington'!G17+'CO Bankers'!G17+'Executive Life'!G17+Freestone!G17+'Life Health America'!G17+'Lincoln Memorial'!G17+'National States'!G17+'North Carolina Mutual'!G17+'Pen  Treaty'!G17+'Red Rock'!G17+'Senior American'!G17+'Southland National Life'!G17+Time!G17+'Universal Life'!G17</f>
        <v>54176362.173994765</v>
      </c>
      <c r="I17" s="1">
        <f t="shared" si="1"/>
        <v>0</v>
      </c>
      <c r="K17" s="1" t="s">
        <v>248</v>
      </c>
      <c r="L17" s="1">
        <f>Summary!TOTAL_76759</f>
        <v>29590081.619789697</v>
      </c>
    </row>
    <row r="18" spans="1:12">
      <c r="A18" s="1" t="s">
        <v>30</v>
      </c>
      <c r="B18" s="1">
        <f>+'American Network'!B18+'Bankers Life'!B18+'Booker T Washington'!B18+'CO Bankers'!B18+'Executive Life'!B18+Freestone!B18+'Life Health America'!B18+'Lincoln Memorial'!B18+'National States'!B18+'North Carolina Mutual'!B18+'Pen  Treaty'!B18+'Red Rock'!B18+'Senior American'!B18+'Southland National Life'!B18+Time!B18+'Universal Life'!B18</f>
        <v>7998389.0302986894</v>
      </c>
      <c r="C18" s="1">
        <f>+'American Network'!C18+'Bankers Life'!C18+'Booker T Washington'!C18+'CO Bankers'!C18+'Executive Life'!C18+Freestone!C18+'Life Health America'!C18+'Lincoln Memorial'!C18+'National States'!C18+'North Carolina Mutual'!C18+'Pen  Treaty'!C18+'Red Rock'!C18+'Senior American'!C18+'Southland National Life'!C18+Time!C18+'Universal Life'!C18</f>
        <v>11216810.121837476</v>
      </c>
      <c r="D18" s="1">
        <f>+'American Network'!D18+'Bankers Life'!D18+'Booker T Washington'!D18+'CO Bankers'!D18+'Executive Life'!D18+Freestone!D18+'Life Health America'!D18+'Lincoln Memorial'!D18+'National States'!D18+'North Carolina Mutual'!D18+'Pen  Treaty'!D18+'Red Rock'!D18+'Senior American'!D18+'Southland National Life'!D18+Time!D18+'Universal Life'!D18</f>
        <v>8515211.0335993487</v>
      </c>
      <c r="E18" s="1">
        <f>+'American Network'!E18+'Bankers Life'!E18+'Booker T Washington'!E18+'CO Bankers'!E18+'Executive Life'!E18+Freestone!E18+'Life Health America'!E18+'Lincoln Memorial'!E18+'National States'!E18+'North Carolina Mutual'!E18+'Pen  Treaty'!E18+'Red Rock'!E18+'Senior American'!E18+'Southland National Life'!E18+Time!E18+'Universal Life'!E18</f>
        <v>0</v>
      </c>
      <c r="F18" s="1">
        <f>+'American Network'!F18+'Bankers Life'!F18+'Booker T Washington'!F18+'CO Bankers'!F18+'Executive Life'!F18+Freestone!F18+'Life Health America'!F18+'Lincoln Memorial'!F18+'National States'!F18+'North Carolina Mutual'!F18+'Pen  Treaty'!F18+'Red Rock'!F18+'Senior American'!F18+'Southland National Life'!F18+Time!F18+'Universal Life'!F18</f>
        <v>0</v>
      </c>
      <c r="G18" s="1">
        <f t="shared" si="0"/>
        <v>27730410.185735516</v>
      </c>
      <c r="H18" s="1">
        <f>+'American Network'!G18+'Bankers Life'!G18+'Booker T Washington'!G18+'CO Bankers'!G18+'Executive Life'!G18+Freestone!G18+'Life Health America'!G18+'Lincoln Memorial'!G18+'National States'!G18+'North Carolina Mutual'!G18+'Pen  Treaty'!G18+'Red Rock'!G18+'Senior American'!G18+'Southland National Life'!G18+Time!G18+'Universal Life'!G18</f>
        <v>27730410.185735509</v>
      </c>
      <c r="I18" s="1">
        <f t="shared" si="1"/>
        <v>0</v>
      </c>
      <c r="K18" s="1" t="s">
        <v>252</v>
      </c>
      <c r="L18" s="1">
        <f>Summary!TOTAL_79057</f>
        <v>123748194.45791845</v>
      </c>
    </row>
    <row r="19" spans="1:12">
      <c r="A19" s="1" t="s">
        <v>32</v>
      </c>
      <c r="B19" s="1">
        <f>+'American Network'!B19+'Bankers Life'!B19+'Booker T Washington'!B19+'CO Bankers'!B19+'Executive Life'!B19+Freestone!B19+'Life Health America'!B19+'Lincoln Memorial'!B19+'National States'!B19+'North Carolina Mutual'!B19+'Pen  Treaty'!B19+'Red Rock'!B19+'Senior American'!B19+'Southland National Life'!B19+Time!B19+'Universal Life'!B19</f>
        <v>115974637.7591866</v>
      </c>
      <c r="C19" s="1">
        <f>+'American Network'!C19+'Bankers Life'!C19+'Booker T Washington'!C19+'CO Bankers'!C19+'Executive Life'!C19+Freestone!C19+'Life Health America'!C19+'Lincoln Memorial'!C19+'National States'!C19+'North Carolina Mutual'!C19+'Pen  Treaty'!C19+'Red Rock'!C19+'Senior American'!C19+'Southland National Life'!C19+Time!C19+'Universal Life'!C19</f>
        <v>134513554.36014056</v>
      </c>
      <c r="D19" s="1">
        <f>+'American Network'!D19+'Bankers Life'!D19+'Booker T Washington'!D19+'CO Bankers'!D19+'Executive Life'!D19+Freestone!D19+'Life Health America'!D19+'Lincoln Memorial'!D19+'National States'!D19+'North Carolina Mutual'!D19+'Pen  Treaty'!D19+'Red Rock'!D19+'Senior American'!D19+'Southland National Life'!D19+Time!D19+'Universal Life'!D19</f>
        <v>102952613.53852436</v>
      </c>
      <c r="E19" s="1">
        <f>+'American Network'!E19+'Bankers Life'!E19+'Booker T Washington'!E19+'CO Bankers'!E19+'Executive Life'!E19+Freestone!E19+'Life Health America'!E19+'Lincoln Memorial'!E19+'National States'!E19+'North Carolina Mutual'!E19+'Pen  Treaty'!E19+'Red Rock'!E19+'Senior American'!E19+'Southland National Life'!E19+Time!E19+'Universal Life'!E19</f>
        <v>6444681.7381929131</v>
      </c>
      <c r="F19" s="1">
        <f>+'American Network'!F19+'Bankers Life'!F19+'Booker T Washington'!F19+'CO Bankers'!F19+'Executive Life'!F19+Freestone!F19+'Life Health America'!F19+'Lincoln Memorial'!F19+'National States'!F19+'North Carolina Mutual'!F19+'Pen  Treaty'!F19+'Red Rock'!F19+'Senior American'!F19+'Southland National Life'!F19+Time!F19+'Universal Life'!F19</f>
        <v>0</v>
      </c>
      <c r="G19" s="1">
        <f t="shared" si="0"/>
        <v>359885487.39604443</v>
      </c>
      <c r="H19" s="1">
        <f>+'American Network'!G19+'Bankers Life'!G19+'Booker T Washington'!G19+'CO Bankers'!G19+'Executive Life'!G19+Freestone!G19+'Life Health America'!G19+'Lincoln Memorial'!G19+'National States'!G19+'North Carolina Mutual'!G19+'Pen  Treaty'!G19+'Red Rock'!G19+'Senior American'!G19+'Southland National Life'!G19+Time!G19+'Universal Life'!G19</f>
        <v>359885487.39604443</v>
      </c>
      <c r="I19" s="1">
        <f t="shared" si="1"/>
        <v>0</v>
      </c>
      <c r="K19" s="1" t="s">
        <v>255</v>
      </c>
      <c r="L19" s="1">
        <f>Summary!TOTAL_69477</f>
        <v>1150108.4152936614</v>
      </c>
    </row>
    <row r="20" spans="1:12">
      <c r="A20" s="1" t="s">
        <v>34</v>
      </c>
      <c r="B20" s="1">
        <f>+'American Network'!B20+'Bankers Life'!B20+'Booker T Washington'!B20+'CO Bankers'!B20+'Executive Life'!B20+Freestone!B20+'Life Health America'!B20+'Lincoln Memorial'!B20+'National States'!B20+'North Carolina Mutual'!B20+'Pen  Treaty'!B20+'Red Rock'!B20+'Senior American'!B20+'Southland National Life'!B20+Time!B20+'Universal Life'!B20</f>
        <v>25980806.555522293</v>
      </c>
      <c r="C20" s="1">
        <f>+'American Network'!C20+'Bankers Life'!C20+'Booker T Washington'!C20+'CO Bankers'!C20+'Executive Life'!C20+Freestone!C20+'Life Health America'!C20+'Lincoln Memorial'!C20+'National States'!C20+'North Carolina Mutual'!C20+'Pen  Treaty'!C20+'Red Rock'!C20+'Senior American'!C20+'Southland National Life'!C20+Time!C20+'Universal Life'!C20</f>
        <v>49276588.654719971</v>
      </c>
      <c r="D20" s="1">
        <f>+'American Network'!D20+'Bankers Life'!D20+'Booker T Washington'!D20+'CO Bankers'!D20+'Executive Life'!D20+Freestone!D20+'Life Health America'!D20+'Lincoln Memorial'!D20+'National States'!D20+'North Carolina Mutual'!D20+'Pen  Treaty'!D20+'Red Rock'!D20+'Senior American'!D20+'Southland National Life'!D20+Time!D20+'Universal Life'!D20</f>
        <v>29892585.887423471</v>
      </c>
      <c r="E20" s="1">
        <f>+'American Network'!E20+'Bankers Life'!E20+'Booker T Washington'!E20+'CO Bankers'!E20+'Executive Life'!E20+Freestone!E20+'Life Health America'!E20+'Lincoln Memorial'!E20+'National States'!E20+'North Carolina Mutual'!E20+'Pen  Treaty'!E20+'Red Rock'!E20+'Senior American'!E20+'Southland National Life'!E20+Time!E20+'Universal Life'!E20</f>
        <v>13215.841206865674</v>
      </c>
      <c r="F20" s="1">
        <f>+'American Network'!F20+'Bankers Life'!F20+'Booker T Washington'!F20+'CO Bankers'!F20+'Executive Life'!F20+Freestone!F20+'Life Health America'!F20+'Lincoln Memorial'!F20+'National States'!F20+'North Carolina Mutual'!F20+'Pen  Treaty'!F20+'Red Rock'!F20+'Senior American'!F20+'Southland National Life'!F20+Time!F20+'Universal Life'!F20</f>
        <v>0</v>
      </c>
      <c r="G20" s="1">
        <f t="shared" si="0"/>
        <v>105163196.93887261</v>
      </c>
      <c r="H20" s="1">
        <f>+'American Network'!G20+'Bankers Life'!G20+'Booker T Washington'!G20+'CO Bankers'!G20+'Executive Life'!G20+Freestone!G20+'Life Health America'!G20+'Lincoln Memorial'!G20+'National States'!G20+'North Carolina Mutual'!G20+'Pen  Treaty'!G20+'Red Rock'!G20+'Senior American'!G20+'Southland National Life'!G20+Time!G20+'Universal Life'!G20</f>
        <v>105163196.93887261</v>
      </c>
      <c r="I20" s="1">
        <f t="shared" si="1"/>
        <v>0</v>
      </c>
      <c r="K20" s="1" t="s">
        <v>260</v>
      </c>
      <c r="L20" s="1">
        <f>Summary!TOTAL_70157</f>
        <v>4126234.3598814476</v>
      </c>
    </row>
    <row r="21" spans="1:12">
      <c r="A21" s="1" t="s">
        <v>36</v>
      </c>
      <c r="B21" s="1">
        <f>+'American Network'!B21+'Bankers Life'!B21+'Booker T Washington'!B21+'CO Bankers'!B21+'Executive Life'!B21+Freestone!B21+'Life Health America'!B21+'Lincoln Memorial'!B21+'National States'!B21+'North Carolina Mutual'!B21+'Pen  Treaty'!B21+'Red Rock'!B21+'Senior American'!B21+'Southland National Life'!B21+Time!B21+'Universal Life'!B21</f>
        <v>28519976.526381541</v>
      </c>
      <c r="C21" s="1">
        <f>+'American Network'!C21+'Bankers Life'!C21+'Booker T Washington'!C21+'CO Bankers'!C21+'Executive Life'!C21+Freestone!C21+'Life Health America'!C21+'Lincoln Memorial'!C21+'National States'!C21+'North Carolina Mutual'!C21+'Pen  Treaty'!C21+'Red Rock'!C21+'Senior American'!C21+'Southland National Life'!C21+Time!C21+'Universal Life'!C21</f>
        <v>33216684.02221664</v>
      </c>
      <c r="D21" s="1">
        <f>+'American Network'!D21+'Bankers Life'!D21+'Booker T Washington'!D21+'CO Bankers'!D21+'Executive Life'!D21+Freestone!D21+'Life Health America'!D21+'Lincoln Memorial'!D21+'National States'!D21+'North Carolina Mutual'!D21+'Pen  Treaty'!D21+'Red Rock'!D21+'Senior American'!D21+'Southland National Life'!D21+Time!D21+'Universal Life'!D21</f>
        <v>89613316.613441586</v>
      </c>
      <c r="E21" s="1">
        <f>+'American Network'!E21+'Bankers Life'!E21+'Booker T Washington'!E21+'CO Bankers'!E21+'Executive Life'!E21+Freestone!E21+'Life Health America'!E21+'Lincoln Memorial'!E21+'National States'!E21+'North Carolina Mutual'!E21+'Pen  Treaty'!E21+'Red Rock'!E21+'Senior American'!E21+'Southland National Life'!E21+Time!E21+'Universal Life'!E21</f>
        <v>40302.966181090036</v>
      </c>
      <c r="F21" s="1">
        <f>+'American Network'!F21+'Bankers Life'!F21+'Booker T Washington'!F21+'CO Bankers'!F21+'Executive Life'!F21+Freestone!F21+'Life Health America'!F21+'Lincoln Memorial'!F21+'National States'!F21+'North Carolina Mutual'!F21+'Pen  Treaty'!F21+'Red Rock'!F21+'Senior American'!F21+'Southland National Life'!F21+Time!F21+'Universal Life'!F21</f>
        <v>0</v>
      </c>
      <c r="G21" s="1">
        <f t="shared" si="0"/>
        <v>151390280.12822086</v>
      </c>
      <c r="H21" s="1">
        <f>+'American Network'!G21+'Bankers Life'!G21+'Booker T Washington'!G21+'CO Bankers'!G21+'Executive Life'!G21+Freestone!G21+'Life Health America'!G21+'Lincoln Memorial'!G21+'National States'!G21+'North Carolina Mutual'!G21+'Pen  Treaty'!G21+'Red Rock'!G21+'Senior American'!G21+'Southland National Life'!G21+Time!G21+'Universal Life'!G21</f>
        <v>151390280.12822086</v>
      </c>
      <c r="I21" s="1">
        <f t="shared" si="1"/>
        <v>0</v>
      </c>
    </row>
    <row r="22" spans="1:12">
      <c r="A22" s="1" t="s">
        <v>38</v>
      </c>
      <c r="B22" s="1">
        <f>+'American Network'!B22+'Bankers Life'!B22+'Booker T Washington'!B22+'CO Bankers'!B22+'Executive Life'!B22+Freestone!B22+'Life Health America'!B22+'Lincoln Memorial'!B22+'National States'!B22+'North Carolina Mutual'!B22+'Pen  Treaty'!B22+'Red Rock'!B22+'Senior American'!B22+'Southland National Life'!B22+Time!B22+'Universal Life'!B22</f>
        <v>37518202.982156761</v>
      </c>
      <c r="C22" s="1">
        <f>+'American Network'!C22+'Bankers Life'!C22+'Booker T Washington'!C22+'CO Bankers'!C22+'Executive Life'!C22+Freestone!C22+'Life Health America'!C22+'Lincoln Memorial'!C22+'National States'!C22+'North Carolina Mutual'!C22+'Pen  Treaty'!C22+'Red Rock'!C22+'Senior American'!C22+'Southland National Life'!C22+Time!C22+'Universal Life'!C22</f>
        <v>33038256.527520861</v>
      </c>
      <c r="D22" s="1">
        <f>+'American Network'!D22+'Bankers Life'!D22+'Booker T Washington'!D22+'CO Bankers'!D22+'Executive Life'!D22+Freestone!D22+'Life Health America'!D22+'Lincoln Memorial'!D22+'National States'!D22+'North Carolina Mutual'!D22+'Pen  Treaty'!D22+'Red Rock'!D22+'Senior American'!D22+'Southland National Life'!D22+Time!D22+'Universal Life'!D22</f>
        <v>13910066.54977789</v>
      </c>
      <c r="E22" s="1">
        <f>+'American Network'!E22+'Bankers Life'!E22+'Booker T Washington'!E22+'CO Bankers'!E22+'Executive Life'!E22+Freestone!E22+'Life Health America'!E22+'Lincoln Memorial'!E22+'National States'!E22+'North Carolina Mutual'!E22+'Pen  Treaty'!E22+'Red Rock'!E22+'Senior American'!E22+'Southland National Life'!E22+Time!E22+'Universal Life'!E22</f>
        <v>0</v>
      </c>
      <c r="F22" s="1">
        <f>+'American Network'!F22+'Bankers Life'!F22+'Booker T Washington'!F22+'CO Bankers'!F22+'Executive Life'!F22+Freestone!F22+'Life Health America'!F22+'Lincoln Memorial'!F22+'National States'!F22+'North Carolina Mutual'!F22+'Pen  Treaty'!F22+'Red Rock'!F22+'Senior American'!F22+'Southland National Life'!F22+Time!F22+'Universal Life'!F22</f>
        <v>0</v>
      </c>
      <c r="G22" s="1">
        <f t="shared" si="0"/>
        <v>84466526.059455514</v>
      </c>
      <c r="H22" s="1">
        <f>+'American Network'!G22+'Bankers Life'!G22+'Booker T Washington'!G22+'CO Bankers'!G22+'Executive Life'!G22+Freestone!G22+'Life Health America'!G22+'Lincoln Memorial'!G22+'National States'!G22+'North Carolina Mutual'!G22+'Pen  Treaty'!G22+'Red Rock'!G22+'Senior American'!G22+'Southland National Life'!G22+Time!G22+'Universal Life'!G22</f>
        <v>84466526.059455499</v>
      </c>
      <c r="I22" s="1">
        <f t="shared" si="1"/>
        <v>0</v>
      </c>
      <c r="K22" s="1" t="s">
        <v>8</v>
      </c>
      <c r="L22" s="1">
        <f>SUM(REC_TOTAL)</f>
        <v>7771452935.0174112</v>
      </c>
    </row>
    <row r="23" spans="1:12">
      <c r="A23" s="1" t="s">
        <v>40</v>
      </c>
      <c r="B23" s="1">
        <f>+'American Network'!B23+'Bankers Life'!B23+'Booker T Washington'!B23+'CO Bankers'!B23+'Executive Life'!B23+Freestone!B23+'Life Health America'!B23+'Lincoln Memorial'!B23+'National States'!B23+'North Carolina Mutual'!B23+'Pen  Treaty'!B23+'Red Rock'!B23+'Senior American'!B23+'Southland National Life'!B23+Time!B23+'Universal Life'!B23</f>
        <v>22547080.053321112</v>
      </c>
      <c r="C23" s="1">
        <f>+'American Network'!C23+'Bankers Life'!C23+'Booker T Washington'!C23+'CO Bankers'!C23+'Executive Life'!C23+Freestone!C23+'Life Health America'!C23+'Lincoln Memorial'!C23+'National States'!C23+'North Carolina Mutual'!C23+'Pen  Treaty'!C23+'Red Rock'!C23+'Senior American'!C23+'Southland National Life'!C23+Time!C23+'Universal Life'!C23</f>
        <v>49270855.958748251</v>
      </c>
      <c r="D23" s="1">
        <f>+'American Network'!D23+'Bankers Life'!D23+'Booker T Washington'!D23+'CO Bankers'!D23+'Executive Life'!D23+Freestone!D23+'Life Health America'!D23+'Lincoln Memorial'!D23+'National States'!D23+'North Carolina Mutual'!D23+'Pen  Treaty'!D23+'Red Rock'!D23+'Senior American'!D23+'Southland National Life'!D23+Time!D23+'Universal Life'!D23</f>
        <v>46584035.255611137</v>
      </c>
      <c r="E23" s="1">
        <f>+'American Network'!E23+'Bankers Life'!E23+'Booker T Washington'!E23+'CO Bankers'!E23+'Executive Life'!E23+Freestone!E23+'Life Health America'!E23+'Lincoln Memorial'!E23+'National States'!E23+'North Carolina Mutual'!E23+'Pen  Treaty'!E23+'Red Rock'!E23+'Senior American'!E23+'Southland National Life'!E23+Time!E23+'Universal Life'!E23</f>
        <v>0</v>
      </c>
      <c r="F23" s="1">
        <f>+'American Network'!F23+'Bankers Life'!F23+'Booker T Washington'!F23+'CO Bankers'!F23+'Executive Life'!F23+Freestone!F23+'Life Health America'!F23+'Lincoln Memorial'!F23+'National States'!F23+'North Carolina Mutual'!F23+'Pen  Treaty'!F23+'Red Rock'!F23+'Senior American'!F23+'Southland National Life'!F23+Time!F23+'Universal Life'!F23</f>
        <v>0</v>
      </c>
      <c r="G23" s="1">
        <f t="shared" si="0"/>
        <v>118401971.2676805</v>
      </c>
      <c r="H23" s="1">
        <f>+'American Network'!G23+'Bankers Life'!G23+'Booker T Washington'!G23+'CO Bankers'!G23+'Executive Life'!G23+Freestone!G23+'Life Health America'!G23+'Lincoln Memorial'!G23+'National States'!G23+'North Carolina Mutual'!G23+'Pen  Treaty'!G23+'Red Rock'!G23+'Senior American'!G23+'Southland National Life'!G23+Time!G23+'Universal Life'!G23</f>
        <v>118401971.2676805</v>
      </c>
      <c r="I23" s="1">
        <f t="shared" si="1"/>
        <v>0</v>
      </c>
      <c r="K23" s="1" t="s">
        <v>699</v>
      </c>
      <c r="L23" s="1">
        <f>SUM(TOTAL)</f>
        <v>7771452935.0174122</v>
      </c>
    </row>
    <row r="24" spans="1:12">
      <c r="A24" s="1" t="s">
        <v>42</v>
      </c>
      <c r="B24" s="1">
        <f>+'American Network'!B24+'Bankers Life'!B24+'Booker T Washington'!B24+'CO Bankers'!B24+'Executive Life'!B24+Freestone!B24+'Life Health America'!B24+'Lincoln Memorial'!B24+'National States'!B24+'North Carolina Mutual'!B24+'Pen  Treaty'!B24+'Red Rock'!B24+'Senior American'!B24+'Southland National Life'!B24+Time!B24+'Universal Life'!B24</f>
        <v>43425781.744114503</v>
      </c>
      <c r="C24" s="1">
        <f>+'American Network'!C24+'Bankers Life'!C24+'Booker T Washington'!C24+'CO Bankers'!C24+'Executive Life'!C24+Freestone!C24+'Life Health America'!C24+'Lincoln Memorial'!C24+'National States'!C24+'North Carolina Mutual'!C24+'Pen  Treaty'!C24+'Red Rock'!C24+'Senior American'!C24+'Southland National Life'!C24+Time!C24+'Universal Life'!C24</f>
        <v>13109110.616775999</v>
      </c>
      <c r="D24" s="1">
        <f>+'American Network'!D24+'Bankers Life'!D24+'Booker T Washington'!D24+'CO Bankers'!D24+'Executive Life'!D24+Freestone!D24+'Life Health America'!D24+'Lincoln Memorial'!D24+'National States'!D24+'North Carolina Mutual'!D24+'Pen  Treaty'!D24+'Red Rock'!D24+'Senior American'!D24+'Southland National Life'!D24+Time!D24+'Universal Life'!D24</f>
        <v>11544767.279933332</v>
      </c>
      <c r="E24" s="1">
        <f>+'American Network'!E24+'Bankers Life'!E24+'Booker T Washington'!E24+'CO Bankers'!E24+'Executive Life'!E24+Freestone!E24+'Life Health America'!E24+'Lincoln Memorial'!E24+'National States'!E24+'North Carolina Mutual'!E24+'Pen  Treaty'!E24+'Red Rock'!E24+'Senior American'!E24+'Southland National Life'!E24+Time!E24+'Universal Life'!E24</f>
        <v>0</v>
      </c>
      <c r="F24" s="1">
        <f>+'American Network'!F24+'Bankers Life'!F24+'Booker T Washington'!F24+'CO Bankers'!F24+'Executive Life'!F24+Freestone!F24+'Life Health America'!F24+'Lincoln Memorial'!F24+'National States'!F24+'North Carolina Mutual'!F24+'Pen  Treaty'!F24+'Red Rock'!F24+'Senior American'!F24+'Southland National Life'!F24+Time!F24+'Universal Life'!F24</f>
        <v>9481337.9656316638</v>
      </c>
      <c r="G24" s="1">
        <f t="shared" si="0"/>
        <v>77560997.60645549</v>
      </c>
      <c r="H24" s="1">
        <f>+'American Network'!G24+'Bankers Life'!G24+'Booker T Washington'!G24+'CO Bankers'!G24+'Executive Life'!G24+Freestone!G24+'Life Health America'!G24+'Lincoln Memorial'!G24+'National States'!G24+'North Carolina Mutual'!G24+'Pen  Treaty'!G24+'Red Rock'!G24+'Senior American'!G24+'Southland National Life'!G24+Time!G24+'Universal Life'!G24</f>
        <v>77560997.606455505</v>
      </c>
      <c r="I24" s="1">
        <f t="shared" si="1"/>
        <v>0</v>
      </c>
      <c r="L24" s="1">
        <f>SUM(TOTAL)-SUM(REC_TOTAL)</f>
        <v>0</v>
      </c>
    </row>
    <row r="25" spans="1:12">
      <c r="A25" s="1" t="s">
        <v>44</v>
      </c>
      <c r="B25" s="1">
        <f>+'American Network'!B25+'Bankers Life'!B25+'Booker T Washington'!B25+'CO Bankers'!B25+'Executive Life'!B25+Freestone!B25+'Life Health America'!B25+'Lincoln Memorial'!B25+'National States'!B25+'North Carolina Mutual'!B25+'Pen  Treaty'!B25+'Red Rock'!B25+'Senior American'!B25+'Southland National Life'!B25+Time!B25+'Universal Life'!B25</f>
        <v>40619.280476006148</v>
      </c>
      <c r="C25" s="1">
        <f>+'American Network'!C25+'Bankers Life'!C25+'Booker T Washington'!C25+'CO Bankers'!C25+'Executive Life'!C25+Freestone!C25+'Life Health America'!C25+'Lincoln Memorial'!C25+'National States'!C25+'North Carolina Mutual'!C25+'Pen  Treaty'!C25+'Red Rock'!C25+'Senior American'!C25+'Southland National Life'!C25+Time!C25+'Universal Life'!C25</f>
        <v>4017102.9110154714</v>
      </c>
      <c r="D25" s="1">
        <f>+'American Network'!D25+'Bankers Life'!D25+'Booker T Washington'!D25+'CO Bankers'!D25+'Executive Life'!D25+Freestone!D25+'Life Health America'!D25+'Lincoln Memorial'!D25+'National States'!D25+'North Carolina Mutual'!D25+'Pen  Treaty'!D25+'Red Rock'!D25+'Senior American'!D25+'Southland National Life'!D25+Time!D25+'Universal Life'!D25</f>
        <v>811276.6543231284</v>
      </c>
      <c r="E25" s="1">
        <f>+'American Network'!E25+'Bankers Life'!E25+'Booker T Washington'!E25+'CO Bankers'!E25+'Executive Life'!E25+Freestone!E25+'Life Health America'!E25+'Lincoln Memorial'!E25+'National States'!E25+'North Carolina Mutual'!E25+'Pen  Treaty'!E25+'Red Rock'!E25+'Senior American'!E25+'Southland National Life'!E25+Time!E25+'Universal Life'!E25</f>
        <v>0</v>
      </c>
      <c r="F25" s="1">
        <f>+'American Network'!F25+'Bankers Life'!F25+'Booker T Washington'!F25+'CO Bankers'!F25+'Executive Life'!F25+Freestone!F25+'Life Health America'!F25+'Lincoln Memorial'!F25+'National States'!F25+'North Carolina Mutual'!F25+'Pen  Treaty'!F25+'Red Rock'!F25+'Senior American'!F25+'Southland National Life'!F25+Time!F25+'Universal Life'!F25</f>
        <v>0</v>
      </c>
      <c r="G25" s="1">
        <f t="shared" si="0"/>
        <v>4868998.8458146062</v>
      </c>
      <c r="H25" s="1">
        <f>+'American Network'!G25+'Bankers Life'!G25+'Booker T Washington'!G25+'CO Bankers'!G25+'Executive Life'!G25+Freestone!G25+'Life Health America'!G25+'Lincoln Memorial'!G25+'National States'!G25+'North Carolina Mutual'!G25+'Pen  Treaty'!G25+'Red Rock'!G25+'Senior American'!G25+'Southland National Life'!G25+Time!G25+'Universal Life'!G25</f>
        <v>4868998.8458146062</v>
      </c>
      <c r="I25" s="1">
        <f t="shared" si="1"/>
        <v>0</v>
      </c>
    </row>
    <row r="26" spans="1:12">
      <c r="A26" s="1" t="s">
        <v>45</v>
      </c>
      <c r="B26" s="1">
        <f>+'American Network'!B26+'Bankers Life'!B26+'Booker T Washington'!B26+'CO Bankers'!B26+'Executive Life'!B26+Freestone!B26+'Life Health America'!B26+'Lincoln Memorial'!B26+'National States'!B26+'North Carolina Mutual'!B26+'Pen  Treaty'!B26+'Red Rock'!B26+'Senior American'!B26+'Southland National Life'!B26+Time!B26+'Universal Life'!B26</f>
        <v>45619792.790257141</v>
      </c>
      <c r="C26" s="1">
        <f>+'American Network'!C26+'Bankers Life'!C26+'Booker T Washington'!C26+'CO Bankers'!C26+'Executive Life'!C26+Freestone!C26+'Life Health America'!C26+'Lincoln Memorial'!C26+'National States'!C26+'North Carolina Mutual'!C26+'Pen  Treaty'!C26+'Red Rock'!C26+'Senior American'!C26+'Southland National Life'!C26+Time!C26+'Universal Life'!C26</f>
        <v>42883473.523198031</v>
      </c>
      <c r="D26" s="1">
        <f>+'American Network'!D26+'Bankers Life'!D26+'Booker T Washington'!D26+'CO Bankers'!D26+'Executive Life'!D26+Freestone!D26+'Life Health America'!D26+'Lincoln Memorial'!D26+'National States'!D26+'North Carolina Mutual'!D26+'Pen  Treaty'!D26+'Red Rock'!D26+'Senior American'!D26+'Southland National Life'!D26+Time!D26+'Universal Life'!D26</f>
        <v>34095777.031590827</v>
      </c>
      <c r="E26" s="1">
        <f>+'American Network'!E26+'Bankers Life'!E26+'Booker T Washington'!E26+'CO Bankers'!E26+'Executive Life'!E26+Freestone!E26+'Life Health America'!E26+'Lincoln Memorial'!E26+'National States'!E26+'North Carolina Mutual'!E26+'Pen  Treaty'!E26+'Red Rock'!E26+'Senior American'!E26+'Southland National Life'!E26+Time!E26+'Universal Life'!E26</f>
        <v>5663068.8783481978</v>
      </c>
      <c r="F26" s="1">
        <f>+'American Network'!F26+'Bankers Life'!F26+'Booker T Washington'!F26+'CO Bankers'!F26+'Executive Life'!F26+Freestone!F26+'Life Health America'!F26+'Lincoln Memorial'!F26+'National States'!F26+'North Carolina Mutual'!F26+'Pen  Treaty'!F26+'Red Rock'!F26+'Senior American'!F26+'Southland National Life'!F26+Time!F26+'Universal Life'!F26</f>
        <v>0</v>
      </c>
      <c r="G26" s="1">
        <f t="shared" si="0"/>
        <v>128262112.22339419</v>
      </c>
      <c r="H26" s="1">
        <f>+'American Network'!G26+'Bankers Life'!G26+'Booker T Washington'!G26+'CO Bankers'!G26+'Executive Life'!G26+Freestone!G26+'Life Health America'!G26+'Lincoln Memorial'!G26+'National States'!G26+'North Carolina Mutual'!G26+'Pen  Treaty'!G26+'Red Rock'!G26+'Senior American'!G26+'Southland National Life'!G26+Time!G26+'Universal Life'!G26</f>
        <v>128262112.2233942</v>
      </c>
      <c r="I26" s="1">
        <f t="shared" si="1"/>
        <v>0</v>
      </c>
    </row>
    <row r="27" spans="1:12">
      <c r="A27" s="1" t="s">
        <v>47</v>
      </c>
      <c r="B27" s="1">
        <f>+'American Network'!B27+'Bankers Life'!B27+'Booker T Washington'!B27+'CO Bankers'!B27+'Executive Life'!B27+Freestone!B27+'Life Health America'!B27+'Lincoln Memorial'!B27+'National States'!B27+'North Carolina Mutual'!B27+'Pen  Treaty'!B27+'Red Rock'!B27+'Senior American'!B27+'Southland National Life'!B27+Time!B27+'Universal Life'!B27</f>
        <v>40958837.448817335</v>
      </c>
      <c r="C27" s="1">
        <f>+'American Network'!C27+'Bankers Life'!C27+'Booker T Washington'!C27+'CO Bankers'!C27+'Executive Life'!C27+Freestone!C27+'Life Health America'!C27+'Lincoln Memorial'!C27+'National States'!C27+'North Carolina Mutual'!C27+'Pen  Treaty'!C27+'Red Rock'!C27+'Senior American'!C27+'Southland National Life'!C27+Time!C27+'Universal Life'!C27</f>
        <v>156126668.58968288</v>
      </c>
      <c r="D27" s="1">
        <f>+'American Network'!D27+'Bankers Life'!D27+'Booker T Washington'!D27+'CO Bankers'!D27+'Executive Life'!D27+Freestone!D27+'Life Health America'!D27+'Lincoln Memorial'!D27+'National States'!D27+'North Carolina Mutual'!D27+'Pen  Treaty'!D27+'Red Rock'!D27+'Senior American'!D27+'Southland National Life'!D27+Time!D27+'Universal Life'!D27</f>
        <v>2599658.1086584134</v>
      </c>
      <c r="E27" s="1">
        <f>+'American Network'!E27+'Bankers Life'!E27+'Booker T Washington'!E27+'CO Bankers'!E27+'Executive Life'!E27+Freestone!E27+'Life Health America'!E27+'Lincoln Memorial'!E27+'National States'!E27+'North Carolina Mutual'!E27+'Pen  Treaty'!E27+'Red Rock'!E27+'Senior American'!E27+'Southland National Life'!E27+Time!E27+'Universal Life'!E27</f>
        <v>0</v>
      </c>
      <c r="F27" s="1">
        <f>+'American Network'!F27+'Bankers Life'!F27+'Booker T Washington'!F27+'CO Bankers'!F27+'Executive Life'!F27+Freestone!F27+'Life Health America'!F27+'Lincoln Memorial'!F27+'National States'!F27+'North Carolina Mutual'!F27+'Pen  Treaty'!F27+'Red Rock'!F27+'Senior American'!F27+'Southland National Life'!F27+Time!F27+'Universal Life'!F27</f>
        <v>0</v>
      </c>
      <c r="G27" s="1">
        <f t="shared" si="0"/>
        <v>199685164.14715862</v>
      </c>
      <c r="H27" s="1">
        <f>+'American Network'!G27+'Bankers Life'!G27+'Booker T Washington'!G27+'CO Bankers'!G27+'Executive Life'!G27+Freestone!G27+'Life Health America'!G27+'Lincoln Memorial'!G27+'National States'!G27+'North Carolina Mutual'!G27+'Pen  Treaty'!G27+'Red Rock'!G27+'Senior American'!G27+'Southland National Life'!G27+Time!G27+'Universal Life'!G27</f>
        <v>199685164.14715862</v>
      </c>
      <c r="I27" s="1">
        <f t="shared" si="1"/>
        <v>0</v>
      </c>
    </row>
    <row r="28" spans="1:12">
      <c r="A28" s="1" t="s">
        <v>49</v>
      </c>
      <c r="B28" s="1">
        <f>+'American Network'!B28+'Bankers Life'!B28+'Booker T Washington'!B28+'CO Bankers'!B28+'Executive Life'!B28+Freestone!B28+'Life Health America'!B28+'Lincoln Memorial'!B28+'National States'!B28+'North Carolina Mutual'!B28+'Pen  Treaty'!B28+'Red Rock'!B28+'Senior American'!B28+'Southland National Life'!B28+Time!B28+'Universal Life'!B28</f>
        <v>7890919.0174852079</v>
      </c>
      <c r="C28" s="1">
        <f>+'American Network'!C28+'Bankers Life'!C28+'Booker T Washington'!C28+'CO Bankers'!C28+'Executive Life'!C28+Freestone!C28+'Life Health America'!C28+'Lincoln Memorial'!C28+'National States'!C28+'North Carolina Mutual'!C28+'Pen  Treaty'!C28+'Red Rock'!C28+'Senior American'!C28+'Southland National Life'!C28+Time!C28+'Universal Life'!C28</f>
        <v>80323180.218754187</v>
      </c>
      <c r="D28" s="1">
        <f>+'American Network'!D28+'Bankers Life'!D28+'Booker T Washington'!D28+'CO Bankers'!D28+'Executive Life'!D28+Freestone!D28+'Life Health America'!D28+'Lincoln Memorial'!D28+'National States'!D28+'North Carolina Mutual'!D28+'Pen  Treaty'!D28+'Red Rock'!D28+'Senior American'!D28+'Southland National Life'!D28+Time!D28+'Universal Life'!D28</f>
        <v>33936403.87382219</v>
      </c>
      <c r="E28" s="1">
        <f>+'American Network'!E28+'Bankers Life'!E28+'Booker T Washington'!E28+'CO Bankers'!E28+'Executive Life'!E28+Freestone!E28+'Life Health America'!E28+'Lincoln Memorial'!E28+'National States'!E28+'North Carolina Mutual'!E28+'Pen  Treaty'!E28+'Red Rock'!E28+'Senior American'!E28+'Southland National Life'!E28+Time!E28+'Universal Life'!E28</f>
        <v>-57716.199793180684</v>
      </c>
      <c r="F28" s="1">
        <f>+'American Network'!F28+'Bankers Life'!F28+'Booker T Washington'!F28+'CO Bankers'!F28+'Executive Life'!F28+Freestone!F28+'Life Health America'!F28+'Lincoln Memorial'!F28+'National States'!F28+'North Carolina Mutual'!F28+'Pen  Treaty'!F28+'Red Rock'!F28+'Senior American'!F28+'Southland National Life'!F28+Time!F28+'Universal Life'!F28</f>
        <v>0</v>
      </c>
      <c r="G28" s="1">
        <f t="shared" si="0"/>
        <v>122092786.91026841</v>
      </c>
      <c r="H28" s="1">
        <f>+'American Network'!G28+'Bankers Life'!G28+'Booker T Washington'!G28+'CO Bankers'!G28+'Executive Life'!G28+Freestone!G28+'Life Health America'!G28+'Lincoln Memorial'!G28+'National States'!G28+'North Carolina Mutual'!G28+'Pen  Treaty'!G28+'Red Rock'!G28+'Senior American'!G28+'Southland National Life'!G28+Time!G28+'Universal Life'!G28</f>
        <v>122092786.91026841</v>
      </c>
      <c r="I28" s="1">
        <f t="shared" si="1"/>
        <v>0</v>
      </c>
    </row>
    <row r="29" spans="1:12">
      <c r="A29" s="1" t="s">
        <v>50</v>
      </c>
      <c r="B29" s="1">
        <f>+'American Network'!B29+'Bankers Life'!B29+'Booker T Washington'!B29+'CO Bankers'!B29+'Executive Life'!B29+Freestone!B29+'Life Health America'!B29+'Lincoln Memorial'!B29+'National States'!B29+'North Carolina Mutual'!B29+'Pen  Treaty'!B29+'Red Rock'!B29+'Senior American'!B29+'Southland National Life'!B29+Time!B29+'Universal Life'!B29</f>
        <v>14325454.95096178</v>
      </c>
      <c r="C29" s="1">
        <f>+'American Network'!C29+'Bankers Life'!C29+'Booker T Washington'!C29+'CO Bankers'!C29+'Executive Life'!C29+Freestone!C29+'Life Health America'!C29+'Lincoln Memorial'!C29+'National States'!C29+'North Carolina Mutual'!C29+'Pen  Treaty'!C29+'Red Rock'!C29+'Senior American'!C29+'Southland National Life'!C29+Time!C29+'Universal Life'!C29</f>
        <v>49893695.979135834</v>
      </c>
      <c r="D29" s="1">
        <f>+'American Network'!D29+'Bankers Life'!D29+'Booker T Washington'!D29+'CO Bankers'!D29+'Executive Life'!D29+Freestone!D29+'Life Health America'!D29+'Lincoln Memorial'!D29+'National States'!D29+'North Carolina Mutual'!D29+'Pen  Treaty'!D29+'Red Rock'!D29+'Senior American'!D29+'Southland National Life'!D29+Time!D29+'Universal Life'!D29</f>
        <v>4451558.8316202797</v>
      </c>
      <c r="E29" s="1">
        <f>+'American Network'!E29+'Bankers Life'!E29+'Booker T Washington'!E29+'CO Bankers'!E29+'Executive Life'!E29+Freestone!E29+'Life Health America'!E29+'Lincoln Memorial'!E29+'National States'!E29+'North Carolina Mutual'!E29+'Pen  Treaty'!E29+'Red Rock'!E29+'Senior American'!E29+'Southland National Life'!E29+Time!E29+'Universal Life'!E29</f>
        <v>10447.45015925189</v>
      </c>
      <c r="F29" s="1">
        <f>+'American Network'!F29+'Bankers Life'!F29+'Booker T Washington'!F29+'CO Bankers'!F29+'Executive Life'!F29+Freestone!F29+'Life Health America'!F29+'Lincoln Memorial'!F29+'National States'!F29+'North Carolina Mutual'!F29+'Pen  Treaty'!F29+'Red Rock'!F29+'Senior American'!F29+'Southland National Life'!F29+Time!F29+'Universal Life'!F29</f>
        <v>0</v>
      </c>
      <c r="G29" s="1">
        <f t="shared" si="0"/>
        <v>68681157.211877137</v>
      </c>
      <c r="H29" s="1">
        <f>+'American Network'!G29+'Bankers Life'!G29+'Booker T Washington'!G29+'CO Bankers'!G29+'Executive Life'!G29+Freestone!G29+'Life Health America'!G29+'Lincoln Memorial'!G29+'National States'!G29+'North Carolina Mutual'!G29+'Pen  Treaty'!G29+'Red Rock'!G29+'Senior American'!G29+'Southland National Life'!G29+Time!G29+'Universal Life'!G29</f>
        <v>68681157.211877152</v>
      </c>
      <c r="I29" s="1">
        <f t="shared" si="1"/>
        <v>0</v>
      </c>
    </row>
    <row r="30" spans="1:12">
      <c r="A30" s="1" t="s">
        <v>51</v>
      </c>
      <c r="B30" s="1">
        <f>+'American Network'!B30+'Bankers Life'!B30+'Booker T Washington'!B30+'CO Bankers'!B30+'Executive Life'!B30+Freestone!B30+'Life Health America'!B30+'Lincoln Memorial'!B30+'National States'!B30+'North Carolina Mutual'!B30+'Pen  Treaty'!B30+'Red Rock'!B30+'Senior American'!B30+'Southland National Life'!B30+Time!B30+'Universal Life'!B30</f>
        <v>25885897.352857951</v>
      </c>
      <c r="C30" s="1">
        <f>+'American Network'!C30+'Bankers Life'!C30+'Booker T Washington'!C30+'CO Bankers'!C30+'Executive Life'!C30+Freestone!C30+'Life Health America'!C30+'Lincoln Memorial'!C30+'National States'!C30+'North Carolina Mutual'!C30+'Pen  Treaty'!C30+'Red Rock'!C30+'Senior American'!C30+'Southland National Life'!C30+Time!C30+'Universal Life'!C30</f>
        <v>11746523.375227323</v>
      </c>
      <c r="D30" s="1">
        <f>+'American Network'!D30+'Bankers Life'!D30+'Booker T Washington'!D30+'CO Bankers'!D30+'Executive Life'!D30+Freestone!D30+'Life Health America'!D30+'Lincoln Memorial'!D30+'National States'!D30+'North Carolina Mutual'!D30+'Pen  Treaty'!D30+'Red Rock'!D30+'Senior American'!D30+'Southland National Life'!D30+Time!D30+'Universal Life'!D30</f>
        <v>25890742.138522655</v>
      </c>
      <c r="E30" s="1">
        <f>+'American Network'!E30+'Bankers Life'!E30+'Booker T Washington'!E30+'CO Bankers'!E30+'Executive Life'!E30+Freestone!E30+'Life Health America'!E30+'Lincoln Memorial'!E30+'National States'!E30+'North Carolina Mutual'!E30+'Pen  Treaty'!E30+'Red Rock'!E30+'Senior American'!E30+'Southland National Life'!E30+Time!E30+'Universal Life'!E30</f>
        <v>94520.342999325585</v>
      </c>
      <c r="F30" s="1">
        <f>+'American Network'!F30+'Bankers Life'!F30+'Booker T Washington'!F30+'CO Bankers'!F30+'Executive Life'!F30+Freestone!F30+'Life Health America'!F30+'Lincoln Memorial'!F30+'National States'!F30+'North Carolina Mutual'!F30+'Pen  Treaty'!F30+'Red Rock'!F30+'Senior American'!F30+'Southland National Life'!F30+Time!F30+'Universal Life'!F30</f>
        <v>0</v>
      </c>
      <c r="G30" s="1">
        <f t="shared" si="0"/>
        <v>63617683.209607251</v>
      </c>
      <c r="H30" s="1">
        <f>+'American Network'!G30+'Bankers Life'!G30+'Booker T Washington'!G30+'CO Bankers'!G30+'Executive Life'!G30+Freestone!G30+'Life Health America'!G30+'Lincoln Memorial'!G30+'National States'!G30+'North Carolina Mutual'!G30+'Pen  Treaty'!G30+'Red Rock'!G30+'Senior American'!G30+'Southland National Life'!G30+Time!G30+'Universal Life'!G30</f>
        <v>63617683.209607244</v>
      </c>
      <c r="I30" s="1">
        <f t="shared" si="1"/>
        <v>0</v>
      </c>
    </row>
    <row r="31" spans="1:12">
      <c r="A31" s="1" t="s">
        <v>52</v>
      </c>
      <c r="B31" s="1">
        <f>+'American Network'!B31+'Bankers Life'!B31+'Booker T Washington'!B31+'CO Bankers'!B31+'Executive Life'!B31+Freestone!B31+'Life Health America'!B31+'Lincoln Memorial'!B31+'National States'!B31+'North Carolina Mutual'!B31+'Pen  Treaty'!B31+'Red Rock'!B31+'Senior American'!B31+'Southland National Life'!B31+Time!B31+'Universal Life'!B31</f>
        <v>150176870.50209272</v>
      </c>
      <c r="C31" s="1">
        <f>+'American Network'!C31+'Bankers Life'!C31+'Booker T Washington'!C31+'CO Bankers'!C31+'Executive Life'!C31+Freestone!C31+'Life Health America'!C31+'Lincoln Memorial'!C31+'National States'!C31+'North Carolina Mutual'!C31+'Pen  Treaty'!C31+'Red Rock'!C31+'Senior American'!C31+'Southland National Life'!C31+Time!C31+'Universal Life'!C31</f>
        <v>45891715.87425492</v>
      </c>
      <c r="D31" s="1">
        <f>+'American Network'!D31+'Bankers Life'!D31+'Booker T Washington'!D31+'CO Bankers'!D31+'Executive Life'!D31+Freestone!D31+'Life Health America'!D31+'Lincoln Memorial'!D31+'National States'!D31+'North Carolina Mutual'!D31+'Pen  Treaty'!D31+'Red Rock'!D31+'Senior American'!D31+'Southland National Life'!D31+Time!D31+'Universal Life'!D31</f>
        <v>20970679.462145522</v>
      </c>
      <c r="E31" s="1">
        <f>+'American Network'!E31+'Bankers Life'!E31+'Booker T Washington'!E31+'CO Bankers'!E31+'Executive Life'!E31+Freestone!E31+'Life Health America'!E31+'Lincoln Memorial'!E31+'National States'!E31+'North Carolina Mutual'!E31+'Pen  Treaty'!E31+'Red Rock'!E31+'Senior American'!E31+'Southland National Life'!E31+Time!E31+'Universal Life'!E31</f>
        <v>0</v>
      </c>
      <c r="F31" s="1">
        <f>+'American Network'!F31+'Bankers Life'!F31+'Booker T Washington'!F31+'CO Bankers'!F31+'Executive Life'!F31+Freestone!F31+'Life Health America'!F31+'Lincoln Memorial'!F31+'National States'!F31+'North Carolina Mutual'!F31+'Pen  Treaty'!F31+'Red Rock'!F31+'Senior American'!F31+'Southland National Life'!F31+Time!F31+'Universal Life'!F31</f>
        <v>0</v>
      </c>
      <c r="G31" s="1">
        <f t="shared" si="0"/>
        <v>217039265.83849317</v>
      </c>
      <c r="H31" s="1">
        <f>+'American Network'!G31+'Bankers Life'!G31+'Booker T Washington'!G31+'CO Bankers'!G31+'Executive Life'!G31+Freestone!G31+'Life Health America'!G31+'Lincoln Memorial'!G31+'National States'!G31+'North Carolina Mutual'!G31+'Pen  Treaty'!G31+'Red Rock'!G31+'Senior American'!G31+'Southland National Life'!G31+Time!G31+'Universal Life'!G31</f>
        <v>217039265.83849317</v>
      </c>
      <c r="I31" s="1">
        <f t="shared" si="1"/>
        <v>0</v>
      </c>
    </row>
    <row r="32" spans="1:12">
      <c r="A32" s="1" t="s">
        <v>53</v>
      </c>
      <c r="B32" s="1">
        <f>+'American Network'!B32+'Bankers Life'!B32+'Booker T Washington'!B32+'CO Bankers'!B32+'Executive Life'!B32+Freestone!B32+'Life Health America'!B32+'Lincoln Memorial'!B32+'National States'!B32+'North Carolina Mutual'!B32+'Pen  Treaty'!B32+'Red Rock'!B32+'Senior American'!B32+'Southland National Life'!B32+Time!B32+'Universal Life'!B32</f>
        <v>3829896.6354570352</v>
      </c>
      <c r="C32" s="1">
        <f>+'American Network'!C32+'Bankers Life'!C32+'Booker T Washington'!C32+'CO Bankers'!C32+'Executive Life'!C32+Freestone!C32+'Life Health America'!C32+'Lincoln Memorial'!C32+'National States'!C32+'North Carolina Mutual'!C32+'Pen  Treaty'!C32+'Red Rock'!C32+'Senior American'!C32+'Southland National Life'!C32+Time!C32+'Universal Life'!C32</f>
        <v>4661249.6529441336</v>
      </c>
      <c r="D32" s="1">
        <f>+'American Network'!D32+'Bankers Life'!D32+'Booker T Washington'!D32+'CO Bankers'!D32+'Executive Life'!D32+Freestone!D32+'Life Health America'!D32+'Lincoln Memorial'!D32+'National States'!D32+'North Carolina Mutual'!D32+'Pen  Treaty'!D32+'Red Rock'!D32+'Senior American'!D32+'Southland National Life'!D32+Time!D32+'Universal Life'!D32</f>
        <v>5396497.4588427553</v>
      </c>
      <c r="E32" s="1">
        <f>+'American Network'!E32+'Bankers Life'!E32+'Booker T Washington'!E32+'CO Bankers'!E32+'Executive Life'!E32+Freestone!E32+'Life Health America'!E32+'Lincoln Memorial'!E32+'National States'!E32+'North Carolina Mutual'!E32+'Pen  Treaty'!E32+'Red Rock'!E32+'Senior American'!E32+'Southland National Life'!E32+Time!E32+'Universal Life'!E32</f>
        <v>0</v>
      </c>
      <c r="F32" s="1">
        <f>+'American Network'!F32+'Bankers Life'!F32+'Booker T Washington'!F32+'CO Bankers'!F32+'Executive Life'!F32+Freestone!F32+'Life Health America'!F32+'Lincoln Memorial'!F32+'National States'!F32+'North Carolina Mutual'!F32+'Pen  Treaty'!F32+'Red Rock'!F32+'Senior American'!F32+'Southland National Life'!F32+Time!F32+'Universal Life'!F32</f>
        <v>0</v>
      </c>
      <c r="G32" s="1">
        <f t="shared" si="0"/>
        <v>13887643.747243922</v>
      </c>
      <c r="H32" s="1">
        <f>+'American Network'!G32+'Bankers Life'!G32+'Booker T Washington'!G32+'CO Bankers'!G32+'Executive Life'!G32+Freestone!G32+'Life Health America'!G32+'Lincoln Memorial'!G32+'National States'!G32+'North Carolina Mutual'!G32+'Pen  Treaty'!G32+'Red Rock'!G32+'Senior American'!G32+'Southland National Life'!G32+Time!G32+'Universal Life'!G32</f>
        <v>13887643.747243922</v>
      </c>
      <c r="I32" s="1">
        <f t="shared" si="1"/>
        <v>0</v>
      </c>
    </row>
    <row r="33" spans="1:9">
      <c r="A33" s="1" t="s">
        <v>54</v>
      </c>
      <c r="B33" s="1">
        <f>+'American Network'!B33+'Bankers Life'!B33+'Booker T Washington'!B33+'CO Bankers'!B33+'Executive Life'!B33+Freestone!B33+'Life Health America'!B33+'Lincoln Memorial'!B33+'National States'!B33+'North Carolina Mutual'!B33+'Pen  Treaty'!B33+'Red Rock'!B33+'Senior American'!B33+'Southland National Life'!B33+Time!B33+'Universal Life'!B33</f>
        <v>13084861.434634896</v>
      </c>
      <c r="C33" s="1">
        <f>+'American Network'!C33+'Bankers Life'!C33+'Booker T Washington'!C33+'CO Bankers'!C33+'Executive Life'!C33+Freestone!C33+'Life Health America'!C33+'Lincoln Memorial'!C33+'National States'!C33+'North Carolina Mutual'!C33+'Pen  Treaty'!C33+'Red Rock'!C33+'Senior American'!C33+'Southland National Life'!C33+Time!C33+'Universal Life'!C33</f>
        <v>14121946.813787702</v>
      </c>
      <c r="D33" s="1">
        <f>+'American Network'!D33+'Bankers Life'!D33+'Booker T Washington'!D33+'CO Bankers'!D33+'Executive Life'!D33+Freestone!D33+'Life Health America'!D33+'Lincoln Memorial'!D33+'National States'!D33+'North Carolina Mutual'!D33+'Pen  Treaty'!D33+'Red Rock'!D33+'Senior American'!D33+'Southland National Life'!D33+Time!D33+'Universal Life'!D33</f>
        <v>26473479.948698066</v>
      </c>
      <c r="E33" s="1">
        <f>+'American Network'!E33+'Bankers Life'!E33+'Booker T Washington'!E33+'CO Bankers'!E33+'Executive Life'!E33+Freestone!E33+'Life Health America'!E33+'Lincoln Memorial'!E33+'National States'!E33+'North Carolina Mutual'!E33+'Pen  Treaty'!E33+'Red Rock'!E33+'Senior American'!E33+'Southland National Life'!E33+Time!E33+'Universal Life'!E33</f>
        <v>0</v>
      </c>
      <c r="F33" s="1">
        <f>+'American Network'!F33+'Bankers Life'!F33+'Booker T Washington'!F33+'CO Bankers'!F33+'Executive Life'!F33+Freestone!F33+'Life Health America'!F33+'Lincoln Memorial'!F33+'National States'!F33+'North Carolina Mutual'!F33+'Pen  Treaty'!F33+'Red Rock'!F33+'Senior American'!F33+'Southland National Life'!F33+Time!F33+'Universal Life'!F33</f>
        <v>0</v>
      </c>
      <c r="G33" s="1">
        <f t="shared" si="0"/>
        <v>53680288.197120667</v>
      </c>
      <c r="H33" s="1">
        <f>+'American Network'!G33+'Bankers Life'!G33+'Booker T Washington'!G33+'CO Bankers'!G33+'Executive Life'!G33+Freestone!G33+'Life Health America'!G33+'Lincoln Memorial'!G33+'National States'!G33+'North Carolina Mutual'!G33+'Pen  Treaty'!G33+'Red Rock'!G33+'Senior American'!G33+'Southland National Life'!G33+Time!G33+'Universal Life'!G33</f>
        <v>53680288.197120659</v>
      </c>
      <c r="I33" s="1">
        <f t="shared" si="1"/>
        <v>0</v>
      </c>
    </row>
    <row r="34" spans="1:9">
      <c r="A34" s="1" t="s">
        <v>55</v>
      </c>
      <c r="B34" s="1">
        <f>+'American Network'!B34+'Bankers Life'!B34+'Booker T Washington'!B34+'CO Bankers'!B34+'Executive Life'!B34+Freestone!B34+'Life Health America'!B34+'Lincoln Memorial'!B34+'National States'!B34+'North Carolina Mutual'!B34+'Pen  Treaty'!B34+'Red Rock'!B34+'Senior American'!B34+'Southland National Life'!B34+Time!B34+'Universal Life'!B34</f>
        <v>12599848.035707546</v>
      </c>
      <c r="C34" s="1">
        <f>+'American Network'!C34+'Bankers Life'!C34+'Booker T Washington'!C34+'CO Bankers'!C34+'Executive Life'!C34+Freestone!C34+'Life Health America'!C34+'Lincoln Memorial'!C34+'National States'!C34+'North Carolina Mutual'!C34+'Pen  Treaty'!C34+'Red Rock'!C34+'Senior American'!C34+'Southland National Life'!C34+Time!C34+'Universal Life'!C34</f>
        <v>11344438.404131148</v>
      </c>
      <c r="D34" s="1">
        <f>+'American Network'!D34+'Bankers Life'!D34+'Booker T Washington'!D34+'CO Bankers'!D34+'Executive Life'!D34+Freestone!D34+'Life Health America'!D34+'Lincoln Memorial'!D34+'National States'!D34+'North Carolina Mutual'!D34+'Pen  Treaty'!D34+'Red Rock'!D34+'Senior American'!D34+'Southland National Life'!D34+Time!D34+'Universal Life'!D34</f>
        <v>17868688.032149918</v>
      </c>
      <c r="E34" s="1">
        <f>+'American Network'!E34+'Bankers Life'!E34+'Booker T Washington'!E34+'CO Bankers'!E34+'Executive Life'!E34+Freestone!E34+'Life Health America'!E34+'Lincoln Memorial'!E34+'National States'!E34+'North Carolina Mutual'!E34+'Pen  Treaty'!E34+'Red Rock'!E34+'Senior American'!E34+'Southland National Life'!E34+Time!E34+'Universal Life'!E34</f>
        <v>0</v>
      </c>
      <c r="F34" s="1">
        <f>+'American Network'!F34+'Bankers Life'!F34+'Booker T Washington'!F34+'CO Bankers'!F34+'Executive Life'!F34+Freestone!F34+'Life Health America'!F34+'Lincoln Memorial'!F34+'National States'!F34+'North Carolina Mutual'!F34+'Pen  Treaty'!F34+'Red Rock'!F34+'Senior American'!F34+'Southland National Life'!F34+Time!F34+'Universal Life'!F34</f>
        <v>0</v>
      </c>
      <c r="G34" s="1">
        <f t="shared" si="0"/>
        <v>41812974.471988611</v>
      </c>
      <c r="H34" s="1">
        <f>+'American Network'!G34+'Bankers Life'!G34+'Booker T Washington'!G34+'CO Bankers'!G34+'Executive Life'!G34+Freestone!G34+'Life Health America'!G34+'Lincoln Memorial'!G34+'National States'!G34+'North Carolina Mutual'!G34+'Pen  Treaty'!G34+'Red Rock'!G34+'Senior American'!G34+'Southland National Life'!G34+Time!G34+'Universal Life'!G34</f>
        <v>41812974.471988618</v>
      </c>
      <c r="I34" s="1">
        <f t="shared" si="1"/>
        <v>0</v>
      </c>
    </row>
    <row r="35" spans="1:9">
      <c r="A35" s="1" t="s">
        <v>56</v>
      </c>
      <c r="B35" s="1">
        <f>+'American Network'!B35+'Bankers Life'!B35+'Booker T Washington'!B35+'CO Bankers'!B35+'Executive Life'!B35+Freestone!B35+'Life Health America'!B35+'Lincoln Memorial'!B35+'National States'!B35+'North Carolina Mutual'!B35+'Pen  Treaty'!B35+'Red Rock'!B35+'Senior American'!B35+'Southland National Life'!B35+Time!B35+'Universal Life'!B35</f>
        <v>95824.435928848296</v>
      </c>
      <c r="C35" s="1">
        <f>+'American Network'!C35+'Bankers Life'!C35+'Booker T Washington'!C35+'CO Bankers'!C35+'Executive Life'!C35+Freestone!C35+'Life Health America'!C35+'Lincoln Memorial'!C35+'National States'!C35+'North Carolina Mutual'!C35+'Pen  Treaty'!C35+'Red Rock'!C35+'Senior American'!C35+'Southland National Life'!C35+Time!C35+'Universal Life'!C35</f>
        <v>28926138.13966269</v>
      </c>
      <c r="D35" s="1">
        <f>+'American Network'!D35+'Bankers Life'!D35+'Booker T Washington'!D35+'CO Bankers'!D35+'Executive Life'!D35+Freestone!D35+'Life Health America'!D35+'Lincoln Memorial'!D35+'National States'!D35+'North Carolina Mutual'!D35+'Pen  Treaty'!D35+'Red Rock'!D35+'Senior American'!D35+'Southland National Life'!D35+Time!D35+'Universal Life'!D35</f>
        <v>7605681.4660155466</v>
      </c>
      <c r="E35" s="1">
        <f>+'American Network'!E35+'Bankers Life'!E35+'Booker T Washington'!E35+'CO Bankers'!E35+'Executive Life'!E35+Freestone!E35+'Life Health America'!E35+'Lincoln Memorial'!E35+'National States'!E35+'North Carolina Mutual'!E35+'Pen  Treaty'!E35+'Red Rock'!E35+'Senior American'!E35+'Southland National Life'!E35+Time!E35+'Universal Life'!E35</f>
        <v>0</v>
      </c>
      <c r="F35" s="1">
        <f>+'American Network'!F35+'Bankers Life'!F35+'Booker T Washington'!F35+'CO Bankers'!F35+'Executive Life'!F35+Freestone!F35+'Life Health America'!F35+'Lincoln Memorial'!F35+'National States'!F35+'North Carolina Mutual'!F35+'Pen  Treaty'!F35+'Red Rock'!F35+'Senior American'!F35+'Southland National Life'!F35+Time!F35+'Universal Life'!F35</f>
        <v>0</v>
      </c>
      <c r="G35" s="1">
        <f t="shared" si="0"/>
        <v>36627644.041607082</v>
      </c>
      <c r="H35" s="1">
        <f>+'American Network'!G35+'Bankers Life'!G35+'Booker T Washington'!G35+'CO Bankers'!G35+'Executive Life'!G35+Freestone!G35+'Life Health America'!G35+'Lincoln Memorial'!G35+'National States'!G35+'North Carolina Mutual'!G35+'Pen  Treaty'!G35+'Red Rock'!G35+'Senior American'!G35+'Southland National Life'!G35+Time!G35+'Universal Life'!G35</f>
        <v>36627644.041607082</v>
      </c>
      <c r="I35" s="1">
        <f t="shared" si="1"/>
        <v>0</v>
      </c>
    </row>
    <row r="36" spans="1:9">
      <c r="A36" s="1" t="s">
        <v>57</v>
      </c>
      <c r="B36" s="1">
        <f>+'American Network'!B36+'Bankers Life'!B36+'Booker T Washington'!B36+'CO Bankers'!B36+'Executive Life'!B36+Freestone!B36+'Life Health America'!B36+'Lincoln Memorial'!B36+'National States'!B36+'North Carolina Mutual'!B36+'Pen  Treaty'!B36+'Red Rock'!B36+'Senior American'!B36+'Southland National Life'!B36+Time!B36+'Universal Life'!B36</f>
        <v>24030494.877034105</v>
      </c>
      <c r="C36" s="1">
        <f>+'American Network'!C36+'Bankers Life'!C36+'Booker T Washington'!C36+'CO Bankers'!C36+'Executive Life'!C36+Freestone!C36+'Life Health America'!C36+'Lincoln Memorial'!C36+'National States'!C36+'North Carolina Mutual'!C36+'Pen  Treaty'!C36+'Red Rock'!C36+'Senior American'!C36+'Southland National Life'!C36+Time!C36+'Universal Life'!C36</f>
        <v>75844466.821031615</v>
      </c>
      <c r="D36" s="1">
        <f>+'American Network'!D36+'Bankers Life'!D36+'Booker T Washington'!D36+'CO Bankers'!D36+'Executive Life'!D36+Freestone!D36+'Life Health America'!D36+'Lincoln Memorial'!D36+'National States'!D36+'North Carolina Mutual'!D36+'Pen  Treaty'!D36+'Red Rock'!D36+'Senior American'!D36+'Southland National Life'!D36+Time!D36+'Universal Life'!D36</f>
        <v>166297174.04453298</v>
      </c>
      <c r="E36" s="1">
        <f>+'American Network'!E36+'Bankers Life'!E36+'Booker T Washington'!E36+'CO Bankers'!E36+'Executive Life'!E36+Freestone!E36+'Life Health America'!E36+'Lincoln Memorial'!E36+'National States'!E36+'North Carolina Mutual'!E36+'Pen  Treaty'!E36+'Red Rock'!E36+'Senior American'!E36+'Southland National Life'!E36+Time!E36+'Universal Life'!E36</f>
        <v>1127099.4618560167</v>
      </c>
      <c r="F36" s="1">
        <f>+'American Network'!F36+'Bankers Life'!F36+'Booker T Washington'!F36+'CO Bankers'!F36+'Executive Life'!F36+Freestone!F36+'Life Health America'!F36+'Lincoln Memorial'!F36+'National States'!F36+'North Carolina Mutual'!F36+'Pen  Treaty'!F36+'Red Rock'!F36+'Senior American'!F36+'Southland National Life'!F36+Time!F36+'Universal Life'!F36</f>
        <v>0</v>
      </c>
      <c r="G36" s="1">
        <f t="shared" si="0"/>
        <v>267299235.20445472</v>
      </c>
      <c r="H36" s="1">
        <f>+'American Network'!G36+'Bankers Life'!G36+'Booker T Washington'!G36+'CO Bankers'!G36+'Executive Life'!G36+Freestone!G36+'Life Health America'!G36+'Lincoln Memorial'!G36+'National States'!G36+'North Carolina Mutual'!G36+'Pen  Treaty'!G36+'Red Rock'!G36+'Senior American'!G36+'Southland National Life'!G36+Time!G36+'Universal Life'!G36</f>
        <v>267299235.20445475</v>
      </c>
      <c r="I36" s="1">
        <f t="shared" si="1"/>
        <v>0</v>
      </c>
    </row>
    <row r="37" spans="1:9">
      <c r="A37" s="1" t="s">
        <v>58</v>
      </c>
      <c r="B37" s="1">
        <f>+'American Network'!B37+'Bankers Life'!B37+'Booker T Washington'!B37+'CO Bankers'!B37+'Executive Life'!B37+Freestone!B37+'Life Health America'!B37+'Lincoln Memorial'!B37+'National States'!B37+'North Carolina Mutual'!B37+'Pen  Treaty'!B37+'Red Rock'!B37+'Senior American'!B37+'Southland National Life'!B37+Time!B37+'Universal Life'!B37</f>
        <v>5828504.846250155</v>
      </c>
      <c r="C37" s="1">
        <f>+'American Network'!C37+'Bankers Life'!C37+'Booker T Washington'!C37+'CO Bankers'!C37+'Executive Life'!C37+Freestone!C37+'Life Health America'!C37+'Lincoln Memorial'!C37+'National States'!C37+'North Carolina Mutual'!C37+'Pen  Treaty'!C37+'Red Rock'!C37+'Senior American'!C37+'Southland National Life'!C37+Time!C37+'Universal Life'!C37</f>
        <v>10597464.193457481</v>
      </c>
      <c r="D37" s="1">
        <f>+'American Network'!D37+'Bankers Life'!D37+'Booker T Washington'!D37+'CO Bankers'!D37+'Executive Life'!D37+Freestone!D37+'Life Health America'!D37+'Lincoln Memorial'!D37+'National States'!D37+'North Carolina Mutual'!D37+'Pen  Treaty'!D37+'Red Rock'!D37+'Senior American'!D37+'Southland National Life'!D37+Time!D37+'Universal Life'!D37</f>
        <v>10050662.956449376</v>
      </c>
      <c r="E37" s="1">
        <f>+'American Network'!E37+'Bankers Life'!E37+'Booker T Washington'!E37+'CO Bankers'!E37+'Executive Life'!E37+Freestone!E37+'Life Health America'!E37+'Lincoln Memorial'!E37+'National States'!E37+'North Carolina Mutual'!E37+'Pen  Treaty'!E37+'Red Rock'!E37+'Senior American'!E37+'Southland National Life'!E37+Time!E37+'Universal Life'!E37</f>
        <v>0</v>
      </c>
      <c r="F37" s="1">
        <f>+'American Network'!F37+'Bankers Life'!F37+'Booker T Washington'!F37+'CO Bankers'!F37+'Executive Life'!F37+Freestone!F37+'Life Health America'!F37+'Lincoln Memorial'!F37+'National States'!F37+'North Carolina Mutual'!F37+'Pen  Treaty'!F37+'Red Rock'!F37+'Senior American'!F37+'Southland National Life'!F37+Time!F37+'Universal Life'!F37</f>
        <v>0</v>
      </c>
      <c r="G37" s="1">
        <f t="shared" si="0"/>
        <v>26476631.996157013</v>
      </c>
      <c r="H37" s="1">
        <f>+'American Network'!G37+'Bankers Life'!G37+'Booker T Washington'!G37+'CO Bankers'!G37+'Executive Life'!G37+Freestone!G37+'Life Health America'!G37+'Lincoln Memorial'!G37+'National States'!G37+'North Carolina Mutual'!G37+'Pen  Treaty'!G37+'Red Rock'!G37+'Senior American'!G37+'Southland National Life'!G37+Time!G37+'Universal Life'!G37</f>
        <v>26476631.996157009</v>
      </c>
      <c r="I37" s="1">
        <f t="shared" si="1"/>
        <v>0</v>
      </c>
    </row>
    <row r="38" spans="1:9">
      <c r="A38" s="1" t="s">
        <v>59</v>
      </c>
      <c r="B38" s="1">
        <f>+'American Network'!B38+'Bankers Life'!B38+'Booker T Washington'!B38+'CO Bankers'!B38+'Executive Life'!B38+Freestone!B38+'Life Health America'!B38+'Lincoln Memorial'!B38+'National States'!B38+'North Carolina Mutual'!B38+'Pen  Treaty'!B38+'Red Rock'!B38+'Senior American'!B38+'Southland National Life'!B38+Time!B38+'Universal Life'!B38</f>
        <v>0</v>
      </c>
      <c r="C38" s="1">
        <f>+'American Network'!C38+'Bankers Life'!C38+'Booker T Washington'!C38+'CO Bankers'!C38+'Executive Life'!C38+Freestone!C38+'Life Health America'!C38+'Lincoln Memorial'!C38+'National States'!C38+'North Carolina Mutual'!C38+'Pen  Treaty'!C38+'Red Rock'!C38+'Senior American'!C38+'Southland National Life'!C38+Time!C38+'Universal Life'!C38</f>
        <v>0</v>
      </c>
      <c r="D38" s="1">
        <f>+'American Network'!D38+'Bankers Life'!D38+'Booker T Washington'!D38+'CO Bankers'!D38+'Executive Life'!D38+Freestone!D38+'Life Health America'!D38+'Lincoln Memorial'!D38+'National States'!D38+'North Carolina Mutual'!D38+'Pen  Treaty'!D38+'Red Rock'!D38+'Senior American'!D38+'Southland National Life'!D38+Time!D38+'Universal Life'!D38</f>
        <v>0</v>
      </c>
      <c r="E38" s="1">
        <f>+'American Network'!E38+'Bankers Life'!E38+'Booker T Washington'!E38+'CO Bankers'!E38+'Executive Life'!E38+Freestone!E38+'Life Health America'!E38+'Lincoln Memorial'!E38+'National States'!E38+'North Carolina Mutual'!E38+'Pen  Treaty'!E38+'Red Rock'!E38+'Senior American'!E38+'Southland National Life'!E38+Time!E38+'Universal Life'!E38</f>
        <v>0</v>
      </c>
      <c r="F38" s="1">
        <f>+'American Network'!F38+'Bankers Life'!F38+'Booker T Washington'!F38+'CO Bankers'!F38+'Executive Life'!F38+Freestone!F38+'Life Health America'!F38+'Lincoln Memorial'!F38+'National States'!F38+'North Carolina Mutual'!F38+'Pen  Treaty'!F38+'Red Rock'!F38+'Senior American'!F38+'Southland National Life'!F38+Time!F38+'Universal Life'!F38</f>
        <v>0</v>
      </c>
      <c r="G38" s="1">
        <f t="shared" ref="G38:G58" si="2">SUM(B38:F38)</f>
        <v>0</v>
      </c>
      <c r="H38" s="1">
        <f>+'American Network'!G38+'Bankers Life'!G38+'Booker T Washington'!G38+'CO Bankers'!G38+'Executive Life'!G38+Freestone!G38+'Life Health America'!G38+'Lincoln Memorial'!G38+'National States'!G38+'North Carolina Mutual'!G38+'Pen  Treaty'!G38+'Red Rock'!G38+'Senior American'!G38+'Southland National Life'!G38+Time!G38+'Universal Life'!G38</f>
        <v>0</v>
      </c>
      <c r="I38" s="1">
        <f t="shared" ref="I38:I58" si="3">G38-H38</f>
        <v>0</v>
      </c>
    </row>
    <row r="39" spans="1:9">
      <c r="A39" s="1" t="s">
        <v>60</v>
      </c>
      <c r="B39" s="1">
        <f>+'American Network'!B39+'Bankers Life'!B39+'Booker T Washington'!B39+'CO Bankers'!B39+'Executive Life'!B39+Freestone!B39+'Life Health America'!B39+'Lincoln Memorial'!B39+'National States'!B39+'North Carolina Mutual'!B39+'Pen  Treaty'!B39+'Red Rock'!B39+'Senior American'!B39+'Southland National Life'!B39+Time!B39+'Universal Life'!B39</f>
        <v>74332840.692387044</v>
      </c>
      <c r="C39" s="1">
        <f>+'American Network'!C39+'Bankers Life'!C39+'Booker T Washington'!C39+'CO Bankers'!C39+'Executive Life'!C39+Freestone!C39+'Life Health America'!C39+'Lincoln Memorial'!C39+'National States'!C39+'North Carolina Mutual'!C39+'Pen  Treaty'!C39+'Red Rock'!C39+'Senior American'!C39+'Southland National Life'!C39+Time!C39+'Universal Life'!C39</f>
        <v>101793980.71010959</v>
      </c>
      <c r="D39" s="1">
        <f>+'American Network'!D39+'Bankers Life'!D39+'Booker T Washington'!D39+'CO Bankers'!D39+'Executive Life'!D39+Freestone!D39+'Life Health America'!D39+'Lincoln Memorial'!D39+'National States'!D39+'North Carolina Mutual'!D39+'Pen  Treaty'!D39+'Red Rock'!D39+'Senior American'!D39+'Southland National Life'!D39+Time!D39+'Universal Life'!D39</f>
        <v>109758277.2049578</v>
      </c>
      <c r="E39" s="1">
        <f>+'American Network'!E39+'Bankers Life'!E39+'Booker T Washington'!E39+'CO Bankers'!E39+'Executive Life'!E39+Freestone!E39+'Life Health America'!E39+'Lincoln Memorial'!E39+'National States'!E39+'North Carolina Mutual'!E39+'Pen  Treaty'!E39+'Red Rock'!E39+'Senior American'!E39+'Southland National Life'!E39+Time!E39+'Universal Life'!E39</f>
        <v>0</v>
      </c>
      <c r="F39" s="1">
        <f>+'American Network'!F39+'Bankers Life'!F39+'Booker T Washington'!F39+'CO Bankers'!F39+'Executive Life'!F39+Freestone!F39+'Life Health America'!F39+'Lincoln Memorial'!F39+'National States'!F39+'North Carolina Mutual'!F39+'Pen  Treaty'!F39+'Red Rock'!F39+'Senior American'!F39+'Southland National Life'!F39+Time!F39+'Universal Life'!F39</f>
        <v>0</v>
      </c>
      <c r="G39" s="1">
        <f t="shared" si="2"/>
        <v>285885098.60745442</v>
      </c>
      <c r="H39" s="1">
        <f>+'American Network'!G39+'Bankers Life'!G39+'Booker T Washington'!G39+'CO Bankers'!G39+'Executive Life'!G39+Freestone!G39+'Life Health America'!G39+'Lincoln Memorial'!G39+'National States'!G39+'North Carolina Mutual'!G39+'Pen  Treaty'!G39+'Red Rock'!G39+'Senior American'!G39+'Southland National Life'!G39+Time!G39+'Universal Life'!G39</f>
        <v>285885098.60745442</v>
      </c>
      <c r="I39" s="1">
        <f t="shared" si="3"/>
        <v>0</v>
      </c>
    </row>
    <row r="40" spans="1:9">
      <c r="A40" s="1" t="s">
        <v>61</v>
      </c>
      <c r="B40" s="1">
        <f>+'American Network'!B40+'Bankers Life'!B40+'Booker T Washington'!B40+'CO Bankers'!B40+'Executive Life'!B40+Freestone!B40+'Life Health America'!B40+'Lincoln Memorial'!B40+'National States'!B40+'North Carolina Mutual'!B40+'Pen  Treaty'!B40+'Red Rock'!B40+'Senior American'!B40+'Southland National Life'!B40+Time!B40+'Universal Life'!B40</f>
        <v>3299164.1936998316</v>
      </c>
      <c r="C40" s="1">
        <f>+'American Network'!C40+'Bankers Life'!C40+'Booker T Washington'!C40+'CO Bankers'!C40+'Executive Life'!C40+Freestone!C40+'Life Health America'!C40+'Lincoln Memorial'!C40+'National States'!C40+'North Carolina Mutual'!C40+'Pen  Treaty'!C40+'Red Rock'!C40+'Senior American'!C40+'Southland National Life'!C40+Time!C40+'Universal Life'!C40</f>
        <v>13066231.779552739</v>
      </c>
      <c r="D40" s="1">
        <f>+'American Network'!D40+'Bankers Life'!D40+'Booker T Washington'!D40+'CO Bankers'!D40+'Executive Life'!D40+Freestone!D40+'Life Health America'!D40+'Lincoln Memorial'!D40+'National States'!D40+'North Carolina Mutual'!D40+'Pen  Treaty'!D40+'Red Rock'!D40+'Senior American'!D40+'Southland National Life'!D40+Time!D40+'Universal Life'!D40</f>
        <v>5063181.6703318488</v>
      </c>
      <c r="E40" s="1">
        <f>+'American Network'!E40+'Bankers Life'!E40+'Booker T Washington'!E40+'CO Bankers'!E40+'Executive Life'!E40+Freestone!E40+'Life Health America'!E40+'Lincoln Memorial'!E40+'National States'!E40+'North Carolina Mutual'!E40+'Pen  Treaty'!E40+'Red Rock'!E40+'Senior American'!E40+'Southland National Life'!E40+Time!E40+'Universal Life'!E40</f>
        <v>29121.126982202684</v>
      </c>
      <c r="F40" s="1">
        <f>+'American Network'!F40+'Bankers Life'!F40+'Booker T Washington'!F40+'CO Bankers'!F40+'Executive Life'!F40+Freestone!F40+'Life Health America'!F40+'Lincoln Memorial'!F40+'National States'!F40+'North Carolina Mutual'!F40+'Pen  Treaty'!F40+'Red Rock'!F40+'Senior American'!F40+'Southland National Life'!F40+Time!F40+'Universal Life'!F40</f>
        <v>0</v>
      </c>
      <c r="G40" s="1">
        <f t="shared" si="2"/>
        <v>21457698.77056662</v>
      </c>
      <c r="H40" s="1">
        <f>+'American Network'!G40+'Bankers Life'!G40+'Booker T Washington'!G40+'CO Bankers'!G40+'Executive Life'!G40+Freestone!G40+'Life Health America'!G40+'Lincoln Memorial'!G40+'National States'!G40+'North Carolina Mutual'!G40+'Pen  Treaty'!G40+'Red Rock'!G40+'Senior American'!G40+'Southland National Life'!G40+Time!G40+'Universal Life'!G40</f>
        <v>21457698.77056662</v>
      </c>
      <c r="I40" s="1">
        <f t="shared" si="3"/>
        <v>0</v>
      </c>
    </row>
    <row r="41" spans="1:9">
      <c r="A41" s="1" t="s">
        <v>62</v>
      </c>
      <c r="B41" s="1">
        <f>+'American Network'!B41+'Bankers Life'!B41+'Booker T Washington'!B41+'CO Bankers'!B41+'Executive Life'!B41+Freestone!B41+'Life Health America'!B41+'Lincoln Memorial'!B41+'National States'!B41+'North Carolina Mutual'!B41+'Pen  Treaty'!B41+'Red Rock'!B41+'Senior American'!B41+'Southland National Life'!B41+Time!B41+'Universal Life'!B41</f>
        <v>45756962.54617361</v>
      </c>
      <c r="C41" s="1">
        <f>+'American Network'!C41+'Bankers Life'!C41+'Booker T Washington'!C41+'CO Bankers'!C41+'Executive Life'!C41+Freestone!C41+'Life Health America'!C41+'Lincoln Memorial'!C41+'National States'!C41+'North Carolina Mutual'!C41+'Pen  Treaty'!C41+'Red Rock'!C41+'Senior American'!C41+'Southland National Life'!C41+Time!C41+'Universal Life'!C41</f>
        <v>104836725.28576319</v>
      </c>
      <c r="D41" s="1">
        <f>+'American Network'!D41+'Bankers Life'!D41+'Booker T Washington'!D41+'CO Bankers'!D41+'Executive Life'!D41+Freestone!D41+'Life Health America'!D41+'Lincoln Memorial'!D41+'National States'!D41+'North Carolina Mutual'!D41+'Pen  Treaty'!D41+'Red Rock'!D41+'Senior American'!D41+'Southland National Life'!D41+Time!D41+'Universal Life'!D41</f>
        <v>73208205.386658415</v>
      </c>
      <c r="E41" s="1">
        <f>+'American Network'!E41+'Bankers Life'!E41+'Booker T Washington'!E41+'CO Bankers'!E41+'Executive Life'!E41+Freestone!E41+'Life Health America'!E41+'Lincoln Memorial'!E41+'National States'!E41+'North Carolina Mutual'!E41+'Pen  Treaty'!E41+'Red Rock'!E41+'Senior American'!E41+'Southland National Life'!E41+Time!E41+'Universal Life'!E41</f>
        <v>1843701.3970324255</v>
      </c>
      <c r="F41" s="1">
        <f>+'American Network'!F41+'Bankers Life'!F41+'Booker T Washington'!F41+'CO Bankers'!F41+'Executive Life'!F41+Freestone!F41+'Life Health America'!F41+'Lincoln Memorial'!F41+'National States'!F41+'North Carolina Mutual'!F41+'Pen  Treaty'!F41+'Red Rock'!F41+'Senior American'!F41+'Southland National Life'!F41+Time!F41+'Universal Life'!F41</f>
        <v>0</v>
      </c>
      <c r="G41" s="1">
        <f t="shared" si="2"/>
        <v>225645594.61562765</v>
      </c>
      <c r="H41" s="1">
        <f>+'American Network'!G41+'Bankers Life'!G41+'Booker T Washington'!G41+'CO Bankers'!G41+'Executive Life'!G41+Freestone!G41+'Life Health America'!G41+'Lincoln Memorial'!G41+'National States'!G41+'North Carolina Mutual'!G41+'Pen  Treaty'!G41+'Red Rock'!G41+'Senior American'!G41+'Southland National Life'!G41+Time!G41+'Universal Life'!G41</f>
        <v>225645594.61562768</v>
      </c>
      <c r="I41" s="1">
        <f t="shared" si="3"/>
        <v>0</v>
      </c>
    </row>
    <row r="42" spans="1:9">
      <c r="A42" s="1" t="s">
        <v>63</v>
      </c>
      <c r="B42" s="1">
        <f>+'American Network'!B42+'Bankers Life'!B42+'Booker T Washington'!B42+'CO Bankers'!B42+'Executive Life'!B42+Freestone!B42+'Life Health America'!B42+'Lincoln Memorial'!B42+'National States'!B42+'North Carolina Mutual'!B42+'Pen  Treaty'!B42+'Red Rock'!B42+'Senior American'!B42+'Southland National Life'!B42+Time!B42+'Universal Life'!B42</f>
        <v>24263775.159678254</v>
      </c>
      <c r="C42" s="1">
        <f>+'American Network'!C42+'Bankers Life'!C42+'Booker T Washington'!C42+'CO Bankers'!C42+'Executive Life'!C42+Freestone!C42+'Life Health America'!C42+'Lincoln Memorial'!C42+'National States'!C42+'North Carolina Mutual'!C42+'Pen  Treaty'!C42+'Red Rock'!C42+'Senior American'!C42+'Southland National Life'!C42+Time!C42+'Universal Life'!C42</f>
        <v>25078505.531185903</v>
      </c>
      <c r="D42" s="1">
        <f>+'American Network'!D42+'Bankers Life'!D42+'Booker T Washington'!D42+'CO Bankers'!D42+'Executive Life'!D42+Freestone!D42+'Life Health America'!D42+'Lincoln Memorial'!D42+'National States'!D42+'North Carolina Mutual'!D42+'Pen  Treaty'!D42+'Red Rock'!D42+'Senior American'!D42+'Southland National Life'!D42+Time!D42+'Universal Life'!D42</f>
        <v>14218967.454366883</v>
      </c>
      <c r="E42" s="1">
        <f>+'American Network'!E42+'Bankers Life'!E42+'Booker T Washington'!E42+'CO Bankers'!E42+'Executive Life'!E42+Freestone!E42+'Life Health America'!E42+'Lincoln Memorial'!E42+'National States'!E42+'North Carolina Mutual'!E42+'Pen  Treaty'!E42+'Red Rock'!E42+'Senior American'!E42+'Southland National Life'!E42+Time!E42+'Universal Life'!E42</f>
        <v>0</v>
      </c>
      <c r="F42" s="1">
        <f>+'American Network'!F42+'Bankers Life'!F42+'Booker T Washington'!F42+'CO Bankers'!F42+'Executive Life'!F42+Freestone!F42+'Life Health America'!F42+'Lincoln Memorial'!F42+'National States'!F42+'North Carolina Mutual'!F42+'Pen  Treaty'!F42+'Red Rock'!F42+'Senior American'!F42+'Southland National Life'!F42+Time!F42+'Universal Life'!F42</f>
        <v>0</v>
      </c>
      <c r="G42" s="1">
        <f t="shared" si="2"/>
        <v>63561248.145231046</v>
      </c>
      <c r="H42" s="1">
        <f>+'American Network'!G42+'Bankers Life'!G42+'Booker T Washington'!G42+'CO Bankers'!G42+'Executive Life'!G42+Freestone!G42+'Life Health America'!G42+'Lincoln Memorial'!G42+'National States'!G42+'North Carolina Mutual'!G42+'Pen  Treaty'!G42+'Red Rock'!G42+'Senior American'!G42+'Southland National Life'!G42+Time!G42+'Universal Life'!G42</f>
        <v>63561248.145231046</v>
      </c>
      <c r="I42" s="1">
        <f t="shared" si="3"/>
        <v>0</v>
      </c>
    </row>
    <row r="43" spans="1:9">
      <c r="A43" s="1" t="s">
        <v>64</v>
      </c>
      <c r="B43" s="1">
        <f>+'American Network'!B43+'Bankers Life'!B43+'Booker T Washington'!B43+'CO Bankers'!B43+'Executive Life'!B43+Freestone!B43+'Life Health America'!B43+'Lincoln Memorial'!B43+'National States'!B43+'North Carolina Mutual'!B43+'Pen  Treaty'!B43+'Red Rock'!B43+'Senior American'!B43+'Southland National Life'!B43+Time!B43+'Universal Life'!B43</f>
        <v>15491951.228911156</v>
      </c>
      <c r="C43" s="1">
        <f>+'American Network'!C43+'Bankers Life'!C43+'Booker T Washington'!C43+'CO Bankers'!C43+'Executive Life'!C43+Freestone!C43+'Life Health America'!C43+'Lincoln Memorial'!C43+'National States'!C43+'North Carolina Mutual'!C43+'Pen  Treaty'!C43+'Red Rock'!C43+'Senior American'!C43+'Southland National Life'!C43+Time!C43+'Universal Life'!C43</f>
        <v>23052672.157857183</v>
      </c>
      <c r="D43" s="1">
        <f>+'American Network'!D43+'Bankers Life'!D43+'Booker T Washington'!D43+'CO Bankers'!D43+'Executive Life'!D43+Freestone!D43+'Life Health America'!D43+'Lincoln Memorial'!D43+'National States'!D43+'North Carolina Mutual'!D43+'Pen  Treaty'!D43+'Red Rock'!D43+'Senior American'!D43+'Southland National Life'!D43+Time!D43+'Universal Life'!D43</f>
        <v>11984311.031365387</v>
      </c>
      <c r="E43" s="1">
        <f>+'American Network'!E43+'Bankers Life'!E43+'Booker T Washington'!E43+'CO Bankers'!E43+'Executive Life'!E43+Freestone!E43+'Life Health America'!E43+'Lincoln Memorial'!E43+'National States'!E43+'North Carolina Mutual'!E43+'Pen  Treaty'!E43+'Red Rock'!E43+'Senior American'!E43+'Southland National Life'!E43+Time!E43+'Universal Life'!E43</f>
        <v>0</v>
      </c>
      <c r="F43" s="1">
        <f>+'American Network'!F43+'Bankers Life'!F43+'Booker T Washington'!F43+'CO Bankers'!F43+'Executive Life'!F43+Freestone!F43+'Life Health America'!F43+'Lincoln Memorial'!F43+'National States'!F43+'North Carolina Mutual'!F43+'Pen  Treaty'!F43+'Red Rock'!F43+'Senior American'!F43+'Southland National Life'!F43+Time!F43+'Universal Life'!F43</f>
        <v>0</v>
      </c>
      <c r="G43" s="1">
        <f t="shared" si="2"/>
        <v>50528934.418133728</v>
      </c>
      <c r="H43" s="1">
        <f>+'American Network'!G43+'Bankers Life'!G43+'Booker T Washington'!G43+'CO Bankers'!G43+'Executive Life'!G43+Freestone!G43+'Life Health America'!G43+'Lincoln Memorial'!G43+'National States'!G43+'North Carolina Mutual'!G43+'Pen  Treaty'!G43+'Red Rock'!G43+'Senior American'!G43+'Southland National Life'!G43+Time!G43+'Universal Life'!G43</f>
        <v>50528934.418133721</v>
      </c>
      <c r="I43" s="1">
        <f t="shared" si="3"/>
        <v>0</v>
      </c>
    </row>
    <row r="44" spans="1:9">
      <c r="A44" s="1" t="s">
        <v>65</v>
      </c>
      <c r="B44" s="1">
        <f>+'American Network'!B44+'Bankers Life'!B44+'Booker T Washington'!B44+'CO Bankers'!B44+'Executive Life'!B44+Freestone!B44+'Life Health America'!B44+'Lincoln Memorial'!B44+'National States'!B44+'North Carolina Mutual'!B44+'Pen  Treaty'!B44+'Red Rock'!B44+'Senior American'!B44+'Southland National Life'!B44+Time!B44+'Universal Life'!B44</f>
        <v>56018883.793371938</v>
      </c>
      <c r="C44" s="1">
        <f>+'American Network'!C44+'Bankers Life'!C44+'Booker T Washington'!C44+'CO Bankers'!C44+'Executive Life'!C44+Freestone!C44+'Life Health America'!C44+'Lincoln Memorial'!C44+'National States'!C44+'North Carolina Mutual'!C44+'Pen  Treaty'!C44+'Red Rock'!C44+'Senior American'!C44+'Southland National Life'!C44+Time!C44+'Universal Life'!C44</f>
        <v>364693548.41287535</v>
      </c>
      <c r="D44" s="1">
        <f>+'American Network'!D44+'Bankers Life'!D44+'Booker T Washington'!D44+'CO Bankers'!D44+'Executive Life'!D44+Freestone!D44+'Life Health America'!D44+'Lincoln Memorial'!D44+'National States'!D44+'North Carolina Mutual'!D44+'Pen  Treaty'!D44+'Red Rock'!D44+'Senior American'!D44+'Southland National Life'!D44+Time!D44+'Universal Life'!D44</f>
        <v>279905685.77579236</v>
      </c>
      <c r="E44" s="1">
        <f>+'American Network'!E44+'Bankers Life'!E44+'Booker T Washington'!E44+'CO Bankers'!E44+'Executive Life'!E44+Freestone!E44+'Life Health America'!E44+'Lincoln Memorial'!E44+'National States'!E44+'North Carolina Mutual'!E44+'Pen  Treaty'!E44+'Red Rock'!E44+'Senior American'!E44+'Southland National Life'!E44+Time!E44+'Universal Life'!E44</f>
        <v>0</v>
      </c>
      <c r="F44" s="1">
        <f>+'American Network'!F44+'Bankers Life'!F44+'Booker T Washington'!F44+'CO Bankers'!F44+'Executive Life'!F44+Freestone!F44+'Life Health America'!F44+'Lincoln Memorial'!F44+'National States'!F44+'North Carolina Mutual'!F44+'Pen  Treaty'!F44+'Red Rock'!F44+'Senior American'!F44+'Southland National Life'!F44+Time!F44+'Universal Life'!F44</f>
        <v>0</v>
      </c>
      <c r="G44" s="1">
        <f t="shared" si="2"/>
        <v>700618117.98203969</v>
      </c>
      <c r="H44" s="1">
        <f>+'American Network'!G44+'Bankers Life'!G44+'Booker T Washington'!G44+'CO Bankers'!G44+'Executive Life'!G44+Freestone!G44+'Life Health America'!G44+'Lincoln Memorial'!G44+'National States'!G44+'North Carolina Mutual'!G44+'Pen  Treaty'!G44+'Red Rock'!G44+'Senior American'!G44+'Southland National Life'!G44+Time!G44+'Universal Life'!G44</f>
        <v>700618117.98203957</v>
      </c>
      <c r="I44" s="1">
        <f t="shared" si="3"/>
        <v>0</v>
      </c>
    </row>
    <row r="45" spans="1:9">
      <c r="A45" s="1" t="s">
        <v>66</v>
      </c>
      <c r="B45" s="1">
        <f>+'American Network'!B45+'Bankers Life'!B45+'Booker T Washington'!B45+'CO Bankers'!B45+'Executive Life'!B45+Freestone!B45+'Life Health America'!B45+'Lincoln Memorial'!B45+'National States'!B45+'North Carolina Mutual'!B45+'Pen  Treaty'!B45+'Red Rock'!B45+'Senior American'!B45+'Southland National Life'!B45+Time!B45+'Universal Life'!B45</f>
        <v>557565.75981095631</v>
      </c>
      <c r="C45" s="1">
        <f>+'American Network'!C45+'Bankers Life'!C45+'Booker T Washington'!C45+'CO Bankers'!C45+'Executive Life'!C45+Freestone!C45+'Life Health America'!C45+'Lincoln Memorial'!C45+'National States'!C45+'North Carolina Mutual'!C45+'Pen  Treaty'!C45+'Red Rock'!C45+'Senior American'!C45+'Southland National Life'!C45+Time!C45+'Universal Life'!C45</f>
        <v>435793.29096051014</v>
      </c>
      <c r="D45" s="1">
        <f>+'American Network'!D45+'Bankers Life'!D45+'Booker T Washington'!D45+'CO Bankers'!D45+'Executive Life'!D45+Freestone!D45+'Life Health America'!D45+'Lincoln Memorial'!D45+'National States'!D45+'North Carolina Mutual'!D45+'Pen  Treaty'!D45+'Red Rock'!D45+'Senior American'!D45+'Southland National Life'!D45+Time!D45+'Universal Life'!D45</f>
        <v>0</v>
      </c>
      <c r="E45" s="1">
        <f>+'American Network'!E45+'Bankers Life'!E45+'Booker T Washington'!E45+'CO Bankers'!E45+'Executive Life'!E45+Freestone!E45+'Life Health America'!E45+'Lincoln Memorial'!E45+'National States'!E45+'North Carolina Mutual'!E45+'Pen  Treaty'!E45+'Red Rock'!E45+'Senior American'!E45+'Southland National Life'!E45+Time!E45+'Universal Life'!E45</f>
        <v>0</v>
      </c>
      <c r="F45" s="1">
        <f>+'American Network'!F45+'Bankers Life'!F45+'Booker T Washington'!F45+'CO Bankers'!F45+'Executive Life'!F45+Freestone!F45+'Life Health America'!F45+'Lincoln Memorial'!F45+'National States'!F45+'North Carolina Mutual'!F45+'Pen  Treaty'!F45+'Red Rock'!F45+'Senior American'!F45+'Southland National Life'!F45+Time!F45+'Universal Life'!F45</f>
        <v>0</v>
      </c>
      <c r="G45" s="1">
        <f t="shared" si="2"/>
        <v>993359.05077146646</v>
      </c>
      <c r="H45" s="1">
        <f>+'American Network'!G45+'Bankers Life'!G45+'Booker T Washington'!G45+'CO Bankers'!G45+'Executive Life'!G45+Freestone!G45+'Life Health America'!G45+'Lincoln Memorial'!G45+'National States'!G45+'North Carolina Mutual'!G45+'Pen  Treaty'!G45+'Red Rock'!G45+'Senior American'!G45+'Southland National Life'!G45+Time!G45+'Universal Life'!G45</f>
        <v>993359.05077146646</v>
      </c>
      <c r="I45" s="1">
        <f t="shared" si="3"/>
        <v>0</v>
      </c>
    </row>
    <row r="46" spans="1:9">
      <c r="A46" s="1" t="s">
        <v>67</v>
      </c>
      <c r="B46" s="1">
        <f>+'American Network'!B46+'Bankers Life'!B46+'Booker T Washington'!B46+'CO Bankers'!B46+'Executive Life'!B46+Freestone!B46+'Life Health America'!B46+'Lincoln Memorial'!B46+'National States'!B46+'North Carolina Mutual'!B46+'Pen  Treaty'!B46+'Red Rock'!B46+'Senior American'!B46+'Southland National Life'!B46+Time!B46+'Universal Life'!B46</f>
        <v>3188868.289006778</v>
      </c>
      <c r="C46" s="1">
        <f>+'American Network'!C46+'Bankers Life'!C46+'Booker T Washington'!C46+'CO Bankers'!C46+'Executive Life'!C46+Freestone!C46+'Life Health America'!C46+'Lincoln Memorial'!C46+'National States'!C46+'North Carolina Mutual'!C46+'Pen  Treaty'!C46+'Red Rock'!C46+'Senior American'!C46+'Southland National Life'!C46+Time!C46+'Universal Life'!C46</f>
        <v>84573508.552013695</v>
      </c>
      <c r="D46" s="1">
        <f>+'American Network'!D46+'Bankers Life'!D46+'Booker T Washington'!D46+'CO Bankers'!D46+'Executive Life'!D46+Freestone!D46+'Life Health America'!D46+'Lincoln Memorial'!D46+'National States'!D46+'North Carolina Mutual'!D46+'Pen  Treaty'!D46+'Red Rock'!D46+'Senior American'!D46+'Southland National Life'!D46+Time!D46+'Universal Life'!D46</f>
        <v>1850726.9853828948</v>
      </c>
      <c r="E46" s="1">
        <f>+'American Network'!E46+'Bankers Life'!E46+'Booker T Washington'!E46+'CO Bankers'!E46+'Executive Life'!E46+Freestone!E46+'Life Health America'!E46+'Lincoln Memorial'!E46+'National States'!E46+'North Carolina Mutual'!E46+'Pen  Treaty'!E46+'Red Rock'!E46+'Senior American'!E46+'Southland National Life'!E46+Time!E46+'Universal Life'!E46</f>
        <v>0</v>
      </c>
      <c r="F46" s="1">
        <f>+'American Network'!F46+'Bankers Life'!F46+'Booker T Washington'!F46+'CO Bankers'!F46+'Executive Life'!F46+Freestone!F46+'Life Health America'!F46+'Lincoln Memorial'!F46+'National States'!F46+'North Carolina Mutual'!F46+'Pen  Treaty'!F46+'Red Rock'!F46+'Senior American'!F46+'Southland National Life'!F46+Time!F46+'Universal Life'!F46</f>
        <v>0</v>
      </c>
      <c r="G46" s="1">
        <f t="shared" si="2"/>
        <v>89613103.826403379</v>
      </c>
      <c r="H46" s="1">
        <f>+'American Network'!G46+'Bankers Life'!G46+'Booker T Washington'!G46+'CO Bankers'!G46+'Executive Life'!G46+Freestone!G46+'Life Health America'!G46+'Lincoln Memorial'!G46+'National States'!G46+'North Carolina Mutual'!G46+'Pen  Treaty'!G46+'Red Rock'!G46+'Senior American'!G46+'Southland National Life'!G46+Time!G46+'Universal Life'!G46</f>
        <v>89613103.826403365</v>
      </c>
      <c r="I46" s="1">
        <f t="shared" si="3"/>
        <v>0</v>
      </c>
    </row>
    <row r="47" spans="1:9">
      <c r="A47" s="1" t="s">
        <v>68</v>
      </c>
      <c r="B47" s="1">
        <f>+'American Network'!B47+'Bankers Life'!B47+'Booker T Washington'!B47+'CO Bankers'!B47+'Executive Life'!B47+Freestone!B47+'Life Health America'!B47+'Lincoln Memorial'!B47+'National States'!B47+'North Carolina Mutual'!B47+'Pen  Treaty'!B47+'Red Rock'!B47+'Senior American'!B47+'Southland National Life'!B47+Time!B47+'Universal Life'!B47</f>
        <v>24560898.694389116</v>
      </c>
      <c r="C47" s="1">
        <f>+'American Network'!C47+'Bankers Life'!C47+'Booker T Washington'!C47+'CO Bankers'!C47+'Executive Life'!C47+Freestone!C47+'Life Health America'!C47+'Lincoln Memorial'!C47+'National States'!C47+'North Carolina Mutual'!C47+'Pen  Treaty'!C47+'Red Rock'!C47+'Senior American'!C47+'Southland National Life'!C47+Time!C47+'Universal Life'!C47</f>
        <v>36528215.143664524</v>
      </c>
      <c r="D47" s="1">
        <f>+'American Network'!D47+'Bankers Life'!D47+'Booker T Washington'!D47+'CO Bankers'!D47+'Executive Life'!D47+Freestone!D47+'Life Health America'!D47+'Lincoln Memorial'!D47+'National States'!D47+'North Carolina Mutual'!D47+'Pen  Treaty'!D47+'Red Rock'!D47+'Senior American'!D47+'Southland National Life'!D47+Time!D47+'Universal Life'!D47</f>
        <v>22905129.030593861</v>
      </c>
      <c r="E47" s="1">
        <f>+'American Network'!E47+'Bankers Life'!E47+'Booker T Washington'!E47+'CO Bankers'!E47+'Executive Life'!E47+Freestone!E47+'Life Health America'!E47+'Lincoln Memorial'!E47+'National States'!E47+'North Carolina Mutual'!E47+'Pen  Treaty'!E47+'Red Rock'!E47+'Senior American'!E47+'Southland National Life'!E47+Time!E47+'Universal Life'!E47</f>
        <v>0</v>
      </c>
      <c r="F47" s="1">
        <f>+'American Network'!F47+'Bankers Life'!F47+'Booker T Washington'!F47+'CO Bankers'!F47+'Executive Life'!F47+Freestone!F47+'Life Health America'!F47+'Lincoln Memorial'!F47+'National States'!F47+'North Carolina Mutual'!F47+'Pen  Treaty'!F47+'Red Rock'!F47+'Senior American'!F47+'Southland National Life'!F47+Time!F47+'Universal Life'!F47</f>
        <v>0</v>
      </c>
      <c r="G47" s="1">
        <f t="shared" si="2"/>
        <v>83994242.868647501</v>
      </c>
      <c r="H47" s="1">
        <f>+'American Network'!G47+'Bankers Life'!G47+'Booker T Washington'!G47+'CO Bankers'!G47+'Executive Life'!G47+Freestone!G47+'Life Health America'!G47+'Lincoln Memorial'!G47+'National States'!G47+'North Carolina Mutual'!G47+'Pen  Treaty'!G47+'Red Rock'!G47+'Senior American'!G47+'Southland National Life'!G47+Time!G47+'Universal Life'!G47</f>
        <v>83994242.868647516</v>
      </c>
      <c r="I47" s="1">
        <f t="shared" si="3"/>
        <v>0</v>
      </c>
    </row>
    <row r="48" spans="1:9">
      <c r="A48" s="1" t="s">
        <v>69</v>
      </c>
      <c r="B48" s="1">
        <f>+'American Network'!B48+'Bankers Life'!B48+'Booker T Washington'!B48+'CO Bankers'!B48+'Executive Life'!B48+Freestone!B48+'Life Health America'!B48+'Lincoln Memorial'!B48+'National States'!B48+'North Carolina Mutual'!B48+'Pen  Treaty'!B48+'Red Rock'!B48+'Senior American'!B48+'Southland National Life'!B48+Time!B48+'Universal Life'!B48</f>
        <v>6705238.2644801335</v>
      </c>
      <c r="C48" s="1">
        <f>+'American Network'!C48+'Bankers Life'!C48+'Booker T Washington'!C48+'CO Bankers'!C48+'Executive Life'!C48+Freestone!C48+'Life Health America'!C48+'Lincoln Memorial'!C48+'National States'!C48+'North Carolina Mutual'!C48+'Pen  Treaty'!C48+'Red Rock'!C48+'Senior American'!C48+'Southland National Life'!C48+Time!C48+'Universal Life'!C48</f>
        <v>6732973.910263815</v>
      </c>
      <c r="D48" s="1">
        <f>+'American Network'!D48+'Bankers Life'!D48+'Booker T Washington'!D48+'CO Bankers'!D48+'Executive Life'!D48+Freestone!D48+'Life Health America'!D48+'Lincoln Memorial'!D48+'National States'!D48+'North Carolina Mutual'!D48+'Pen  Treaty'!D48+'Red Rock'!D48+'Senior American'!D48+'Southland National Life'!D48+Time!D48+'Universal Life'!D48</f>
        <v>45273808.690171555</v>
      </c>
      <c r="E48" s="1">
        <f>+'American Network'!E48+'Bankers Life'!E48+'Booker T Washington'!E48+'CO Bankers'!E48+'Executive Life'!E48+Freestone!E48+'Life Health America'!E48+'Lincoln Memorial'!E48+'National States'!E48+'North Carolina Mutual'!E48+'Pen  Treaty'!E48+'Red Rock'!E48+'Senior American'!E48+'Southland National Life'!E48+Time!E48+'Universal Life'!E48</f>
        <v>0</v>
      </c>
      <c r="F48" s="1">
        <f>+'American Network'!F48+'Bankers Life'!F48+'Booker T Washington'!F48+'CO Bankers'!F48+'Executive Life'!F48+Freestone!F48+'Life Health America'!F48+'Lincoln Memorial'!F48+'National States'!F48+'North Carolina Mutual'!F48+'Pen  Treaty'!F48+'Red Rock'!F48+'Senior American'!F48+'Southland National Life'!F48+Time!F48+'Universal Life'!F48</f>
        <v>0</v>
      </c>
      <c r="G48" s="1">
        <f t="shared" si="2"/>
        <v>58712020.864915505</v>
      </c>
      <c r="H48" s="1">
        <f>+'American Network'!G48+'Bankers Life'!G48+'Booker T Washington'!G48+'CO Bankers'!G48+'Executive Life'!G48+Freestone!G48+'Life Health America'!G48+'Lincoln Memorial'!G48+'National States'!G48+'North Carolina Mutual'!G48+'Pen  Treaty'!G48+'Red Rock'!G48+'Senior American'!G48+'Southland National Life'!G48+Time!G48+'Universal Life'!G48</f>
        <v>58712020.864915505</v>
      </c>
      <c r="I48" s="1">
        <f t="shared" si="3"/>
        <v>0</v>
      </c>
    </row>
    <row r="49" spans="1:9">
      <c r="A49" s="1" t="s">
        <v>70</v>
      </c>
      <c r="B49" s="1">
        <f>+'American Network'!B49+'Bankers Life'!B49+'Booker T Washington'!B49+'CO Bankers'!B49+'Executive Life'!B49+Freestone!B49+'Life Health America'!B49+'Lincoln Memorial'!B49+'National States'!B49+'North Carolina Mutual'!B49+'Pen  Treaty'!B49+'Red Rock'!B49+'Senior American'!B49+'Southland National Life'!B49+Time!B49+'Universal Life'!B49</f>
        <v>45424522.821545407</v>
      </c>
      <c r="C49" s="1">
        <f>+'American Network'!C49+'Bankers Life'!C49+'Booker T Washington'!C49+'CO Bankers'!C49+'Executive Life'!C49+Freestone!C49+'Life Health America'!C49+'Lincoln Memorial'!C49+'National States'!C49+'North Carolina Mutual'!C49+'Pen  Treaty'!C49+'Red Rock'!C49+'Senior American'!C49+'Southland National Life'!C49+Time!C49+'Universal Life'!C49</f>
        <v>49805872.667103939</v>
      </c>
      <c r="D49" s="1">
        <f>+'American Network'!D49+'Bankers Life'!D49+'Booker T Washington'!D49+'CO Bankers'!D49+'Executive Life'!D49+Freestone!D49+'Life Health America'!D49+'Lincoln Memorial'!D49+'National States'!D49+'North Carolina Mutual'!D49+'Pen  Treaty'!D49+'Red Rock'!D49+'Senior American'!D49+'Southland National Life'!D49+Time!D49+'Universal Life'!D49</f>
        <v>51300862.623318732</v>
      </c>
      <c r="E49" s="1">
        <f>+'American Network'!E49+'Bankers Life'!E49+'Booker T Washington'!E49+'CO Bankers'!E49+'Executive Life'!E49+Freestone!E49+'Life Health America'!E49+'Lincoln Memorial'!E49+'National States'!E49+'North Carolina Mutual'!E49+'Pen  Treaty'!E49+'Red Rock'!E49+'Senior American'!E49+'Southland National Life'!E49+Time!E49+'Universal Life'!E49</f>
        <v>0</v>
      </c>
      <c r="F49" s="1">
        <f>+'American Network'!F49+'Bankers Life'!F49+'Booker T Washington'!F49+'CO Bankers'!F49+'Executive Life'!F49+Freestone!F49+'Life Health America'!F49+'Lincoln Memorial'!F49+'National States'!F49+'North Carolina Mutual'!F49+'Pen  Treaty'!F49+'Red Rock'!F49+'Senior American'!F49+'Southland National Life'!F49+Time!F49+'Universal Life'!F49</f>
        <v>0</v>
      </c>
      <c r="G49" s="1">
        <f t="shared" si="2"/>
        <v>146531258.11196807</v>
      </c>
      <c r="H49" s="1">
        <f>+'American Network'!G49+'Bankers Life'!G49+'Booker T Washington'!G49+'CO Bankers'!G49+'Executive Life'!G49+Freestone!G49+'Life Health America'!G49+'Lincoln Memorial'!G49+'National States'!G49+'North Carolina Mutual'!G49+'Pen  Treaty'!G49+'Red Rock'!G49+'Senior American'!G49+'Southland National Life'!G49+Time!G49+'Universal Life'!G49</f>
        <v>146531258.11196807</v>
      </c>
      <c r="I49" s="1">
        <f t="shared" si="3"/>
        <v>0</v>
      </c>
    </row>
    <row r="50" spans="1:9">
      <c r="A50" s="1" t="s">
        <v>71</v>
      </c>
      <c r="B50" s="1">
        <f>+'American Network'!B50+'Bankers Life'!B50+'Booker T Washington'!B50+'CO Bankers'!B50+'Executive Life'!B50+Freestone!B50+'Life Health America'!B50+'Lincoln Memorial'!B50+'National States'!B50+'North Carolina Mutual'!B50+'Pen  Treaty'!B50+'Red Rock'!B50+'Senior American'!B50+'Southland National Life'!B50+Time!B50+'Universal Life'!B50</f>
        <v>122176222.74864933</v>
      </c>
      <c r="C50" s="1">
        <f>+'American Network'!C50+'Bankers Life'!C50+'Booker T Washington'!C50+'CO Bankers'!C50+'Executive Life'!C50+Freestone!C50+'Life Health America'!C50+'Lincoln Memorial'!C50+'National States'!C50+'North Carolina Mutual'!C50+'Pen  Treaty'!C50+'Red Rock'!C50+'Senior American'!C50+'Southland National Life'!C50+Time!C50+'Universal Life'!C50</f>
        <v>203503014.07721582</v>
      </c>
      <c r="D50" s="1">
        <f>+'American Network'!D50+'Bankers Life'!D50+'Booker T Washington'!D50+'CO Bankers'!D50+'Executive Life'!D50+'Life Health America'!D50+'Lincoln Memorial'!D50+'National States'!D50+'North Carolina Mutual'!D50+'Pen  Treaty'!D50+'Red Rock'!D50+'Senior American'!D50+'Southland National Life'!D50+Time!D50+'Universal Life'!D50</f>
        <v>132719320.52327898</v>
      </c>
      <c r="E50" s="1">
        <f>+'American Network'!E50+'Bankers Life'!E50+'Booker T Washington'!E50+'CO Bankers'!E50+'Executive Life'!E50+Freestone!E50+'Life Health America'!E50+'Lincoln Memorial'!E50+'National States'!E50+'North Carolina Mutual'!E50+'Pen  Treaty'!E50+'Red Rock'!E50+'Senior American'!E50+'Southland National Life'!E50+Time!E50+'Universal Life'!E50</f>
        <v>11694106.677138282</v>
      </c>
      <c r="F50" s="1">
        <f>+'American Network'!F50+'Bankers Life'!F50+'Booker T Washington'!F50+'CO Bankers'!F50+'Executive Life'!F50+Freestone!F50+'Life Health America'!F50+'Lincoln Memorial'!F50+'National States'!F50+'North Carolina Mutual'!F50+'Pen  Treaty'!F50+'Red Rock'!F50+'Senior American'!F50+'Southland National Life'!F50+Time!F50+'Universal Life'!F50</f>
        <v>111090.629</v>
      </c>
      <c r="G50" s="1">
        <f t="shared" si="2"/>
        <v>470203754.65528238</v>
      </c>
      <c r="H50" s="1">
        <f>+'American Network'!G50+'Bankers Life'!G50+'Booker T Washington'!G50+'CO Bankers'!G50+'Executive Life'!G50+'Life Health America'!G50+'Lincoln Memorial'!G50+'National States'!G50+'North Carolina Mutual'!G50+'Pen  Treaty'!G50+'Red Rock'!G50+'Senior American'!G50+'Southland National Life'!G50+Time!G50+'Universal Life'!G50</f>
        <v>470203754.6552825</v>
      </c>
      <c r="I50" s="1">
        <f t="shared" si="3"/>
        <v>0</v>
      </c>
    </row>
    <row r="51" spans="1:9">
      <c r="A51" s="1" t="s">
        <v>72</v>
      </c>
      <c r="B51" s="1">
        <f>+'American Network'!B51+'Bankers Life'!B51+'Booker T Washington'!B51+'CO Bankers'!B51+'Executive Life'!B51+Freestone!B51+'Life Health America'!B51+'Lincoln Memorial'!B51+'National States'!B51+'North Carolina Mutual'!B51+'Pen  Treaty'!B51+'Red Rock'!B51+'Senior American'!B51+'Southland National Life'!B51+Time!B51+'Universal Life'!B51</f>
        <v>8678984.8742649909</v>
      </c>
      <c r="C51" s="1">
        <f>+'American Network'!C51+'Bankers Life'!C51+'Booker T Washington'!C51+'CO Bankers'!C51+'Executive Life'!C51+Freestone!C51+'Life Health America'!C51+'Lincoln Memorial'!C51+'National States'!C51+'North Carolina Mutual'!C51+'Pen  Treaty'!C51+'Red Rock'!C51+'Senior American'!C51+'Southland National Life'!C51+Time!C51+'Universal Life'!C51</f>
        <v>28270897.32562653</v>
      </c>
      <c r="D51" s="1">
        <f>+'American Network'!D51+'Bankers Life'!D51+'Booker T Washington'!D51+'CO Bankers'!D51+'Executive Life'!D51+Freestone!D51+'Life Health America'!D51+'Lincoln Memorial'!D51+'National States'!D51+'North Carolina Mutual'!D51+'Pen  Treaty'!D51+'Red Rock'!D51+'Senior American'!D51+'Southland National Life'!D51+Time!D51+'Universal Life'!D51</f>
        <v>12307173.435182927</v>
      </c>
      <c r="E51" s="1">
        <f>+'American Network'!E51+'Bankers Life'!E51+'Booker T Washington'!E51+'CO Bankers'!E51+'Executive Life'!E51+Freestone!E51+'Life Health America'!E51+'Lincoln Memorial'!E51+'National States'!E51+'North Carolina Mutual'!E51+'Pen  Treaty'!E51+'Red Rock'!E51+'Senior American'!E51+'Southland National Life'!E51+Time!E51+'Universal Life'!E51</f>
        <v>243583.95965878727</v>
      </c>
      <c r="F51" s="1">
        <f>+'American Network'!F51+'Bankers Life'!F51+'Booker T Washington'!F51+'CO Bankers'!F51+'Executive Life'!F51+Freestone!F51+'Life Health America'!F51+'Lincoln Memorial'!F51+'National States'!F51+'North Carolina Mutual'!F51+'Pen  Treaty'!F51+'Red Rock'!F51+'Senior American'!F51+'Southland National Life'!F51+Time!F51+'Universal Life'!F51</f>
        <v>0</v>
      </c>
      <c r="G51" s="1">
        <f t="shared" si="2"/>
        <v>49500639.594733238</v>
      </c>
      <c r="H51" s="1">
        <f>+'American Network'!G51+'Bankers Life'!G51+'Booker T Washington'!G51+'CO Bankers'!G51+'Executive Life'!G51+Freestone!G51+'Life Health America'!G51+'Lincoln Memorial'!G51+'National States'!G51+'North Carolina Mutual'!G51+'Pen  Treaty'!G51+'Red Rock'!G51+'Senior American'!G51+'Southland National Life'!G51+Time!G51+'Universal Life'!G51</f>
        <v>49500639.594733231</v>
      </c>
      <c r="I51" s="1">
        <f t="shared" si="3"/>
        <v>0</v>
      </c>
    </row>
    <row r="52" spans="1:9">
      <c r="A52" s="1" t="s">
        <v>73</v>
      </c>
      <c r="B52" s="1">
        <f>+'American Network'!B52+'Bankers Life'!B52+'Booker T Washington'!B52+'CO Bankers'!B52+'Executive Life'!B52+Freestone!B52+'Life Health America'!B52+'Lincoln Memorial'!B52+'National States'!B52+'North Carolina Mutual'!B52+'Pen  Treaty'!B52+'Red Rock'!B52+'Senior American'!B52+'Southland National Life'!B52+Time!B52+'Universal Life'!B52</f>
        <v>11322.383523481816</v>
      </c>
      <c r="C52" s="1">
        <f>+'American Network'!C52+'Bankers Life'!C52+'Booker T Washington'!C52+'CO Bankers'!C52+'Executive Life'!C52+Freestone!C52+'Life Health America'!C52+'Lincoln Memorial'!C52+'National States'!C52+'North Carolina Mutual'!C52+'Pen  Treaty'!C52+'Red Rock'!C52+'Senior American'!C52+'Southland National Life'!C52+Time!C52+'Universal Life'!C52</f>
        <v>2961108.0703149005</v>
      </c>
      <c r="D52" s="1">
        <f>+'American Network'!D52+'Bankers Life'!D52+'Booker T Washington'!D52+'CO Bankers'!D52+'Executive Life'!D52+Freestone!D52+'Life Health America'!D52+'Lincoln Memorial'!D52+'National States'!D52+'North Carolina Mutual'!D52+'Pen  Treaty'!D52+'Red Rock'!D52+'Senior American'!D52+'Southland National Life'!D52+Time!D52+'Universal Life'!D52</f>
        <v>11578757.933200749</v>
      </c>
      <c r="E52" s="1">
        <f>+'American Network'!E52+'Bankers Life'!E52+'Booker T Washington'!E52+'CO Bankers'!E52+'Executive Life'!E52+Freestone!E52+'Life Health America'!E52+'Lincoln Memorial'!E52+'National States'!E52+'North Carolina Mutual'!E52+'Pen  Treaty'!E52+'Red Rock'!E52+'Senior American'!E52+'Southland National Life'!E52+Time!E52+'Universal Life'!E52</f>
        <v>0</v>
      </c>
      <c r="F52" s="1">
        <f>+'American Network'!F52+'Bankers Life'!F52+'Booker T Washington'!F52+'CO Bankers'!F52+'Executive Life'!F52+Freestone!F52+'Life Health America'!F52+'Lincoln Memorial'!F52+'National States'!F52+'North Carolina Mutual'!F52+'Pen  Treaty'!F52+'Red Rock'!F52+'Senior American'!F52+'Southland National Life'!F52+Time!F52+'Universal Life'!F52</f>
        <v>0</v>
      </c>
      <c r="G52" s="1">
        <f t="shared" si="2"/>
        <v>14551188.387039131</v>
      </c>
      <c r="H52" s="1">
        <f>+'American Network'!G52+'Bankers Life'!G52+'Booker T Washington'!G52+'CO Bankers'!G52+'Executive Life'!G52+Freestone!G52+'Life Health America'!G52+'Lincoln Memorial'!G52+'National States'!G52+'North Carolina Mutual'!G52+'Pen  Treaty'!G52+'Red Rock'!G52+'Senior American'!G52+'Southland National Life'!G52+Time!G52+'Universal Life'!G52</f>
        <v>14551188.387039131</v>
      </c>
      <c r="I52" s="1">
        <f t="shared" si="3"/>
        <v>0</v>
      </c>
    </row>
    <row r="53" spans="1:9">
      <c r="A53" s="1" t="s">
        <v>74</v>
      </c>
      <c r="B53" s="1">
        <f>+'American Network'!B53+'Bankers Life'!B53+'Booker T Washington'!B53+'CO Bankers'!B53+'Executive Life'!B53+Freestone!B53+'Life Health America'!B53+'Lincoln Memorial'!B53+'National States'!B53+'North Carolina Mutual'!B53+'Pen  Treaty'!B53+'Red Rock'!B53+'Senior American'!B53+'Southland National Life'!B53+Time!B53+'Universal Life'!B53</f>
        <v>24393196.010797523</v>
      </c>
      <c r="C53" s="1">
        <f>+'American Network'!C53+'Bankers Life'!C53+'Booker T Washington'!C53+'CO Bankers'!C53+'Executive Life'!C53+Freestone!C53+'Life Health America'!C53+'Lincoln Memorial'!C53+'National States'!C53+'North Carolina Mutual'!C53+'Pen  Treaty'!C53+'Red Rock'!C53+'Senior American'!C53+'Southland National Life'!C53+Time!C53+'Universal Life'!C53</f>
        <v>36942242.003630862</v>
      </c>
      <c r="D53" s="1">
        <f>+'American Network'!D53+'Bankers Life'!D53+'Booker T Washington'!D53+'CO Bankers'!D53+'Executive Life'!D53+Freestone!D53+'Life Health America'!D53+'Lincoln Memorial'!D53+'National States'!D53+'North Carolina Mutual'!D53+'Pen  Treaty'!D53+'Red Rock'!D53+'Senior American'!D53+'Southland National Life'!D53+Time!D53+'Universal Life'!D53</f>
        <v>209676167.90174511</v>
      </c>
      <c r="E53" s="1">
        <f>+'American Network'!E53+'Bankers Life'!E53+'Booker T Washington'!E53+'CO Bankers'!E53+'Executive Life'!E53+Freestone!E53+'Life Health America'!E53+'Lincoln Memorial'!E53+'National States'!E53+'North Carolina Mutual'!E53+'Pen  Treaty'!E53+'Red Rock'!E53+'Senior American'!E53+'Southland National Life'!E53+Time!E53+'Universal Life'!E53</f>
        <v>0</v>
      </c>
      <c r="F53" s="1">
        <f>+'American Network'!F53+'Bankers Life'!F53+'Booker T Washington'!F53+'CO Bankers'!F53+'Executive Life'!F53+Freestone!F53+'Life Health America'!F53+'Lincoln Memorial'!F53+'National States'!F53+'North Carolina Mutual'!F53+'Pen  Treaty'!F53+'Red Rock'!F53+'Senior American'!F53+'Southland National Life'!F53+Time!F53+'Universal Life'!F53</f>
        <v>-7452.9221187548828</v>
      </c>
      <c r="G53" s="1">
        <f t="shared" si="2"/>
        <v>271004152.99405473</v>
      </c>
      <c r="H53" s="1">
        <f>+'American Network'!G53+'Bankers Life'!G53+'Booker T Washington'!G53+'CO Bankers'!G53+'Executive Life'!G53+Freestone!G53+'Life Health America'!G53+'Lincoln Memorial'!G53+'National States'!G53+'North Carolina Mutual'!G53+'Pen  Treaty'!G53+'Red Rock'!G53+'Senior American'!G53+'Southland National Life'!G53+Time!G53+'Universal Life'!G53</f>
        <v>271004152.99405479</v>
      </c>
      <c r="I53" s="1">
        <f t="shared" si="3"/>
        <v>0</v>
      </c>
    </row>
    <row r="54" spans="1:9">
      <c r="A54" s="1" t="s">
        <v>75</v>
      </c>
      <c r="B54" s="1">
        <f>+'American Network'!B54+'Bankers Life'!B54+'Booker T Washington'!B54+'CO Bankers'!B54+'Executive Life'!B54+Freestone!B54+'Life Health America'!B54+'Lincoln Memorial'!B54+'National States'!B54+'North Carolina Mutual'!B54+'Pen  Treaty'!B54+'Red Rock'!B54+'Senior American'!B54+'Southland National Life'!B54+Time!B54+'Universal Life'!B54</f>
        <v>34021302.706411421</v>
      </c>
      <c r="C54" s="1">
        <f>+'American Network'!C54+'Bankers Life'!C54+'Booker T Washington'!C54+'CO Bankers'!C54+'Executive Life'!C54+Freestone!C54+'Life Health America'!C54+'Lincoln Memorial'!C54+'National States'!C54+'North Carolina Mutual'!C54+'Pen  Treaty'!C54+'Red Rock'!C54+'Senior American'!C54+'Southland National Life'!C54+Time!C54+'Universal Life'!C54</f>
        <v>82279317.191155076</v>
      </c>
      <c r="D54" s="1">
        <f>+'American Network'!D54+'Bankers Life'!D54+'Booker T Washington'!D54+'CO Bankers'!D54+'Executive Life'!D54+Freestone!D54+'Life Health America'!D54+'Lincoln Memorial'!D54+'National States'!D54+'North Carolina Mutual'!D54+'Pen  Treaty'!D54+'Red Rock'!D54+'Senior American'!D54+'Southland National Life'!D54+Time!D54+'Universal Life'!D54</f>
        <v>134506120.24905437</v>
      </c>
      <c r="E54" s="1">
        <f>+'American Network'!E54+'Bankers Life'!E54+'Booker T Washington'!E54+'CO Bankers'!E54+'Executive Life'!E54+Freestone!E54+'Life Health America'!E54+'Lincoln Memorial'!E54+'National States'!E54+'North Carolina Mutual'!E54+'Pen  Treaty'!E54+'Red Rock'!E54+'Senior American'!E54+'Southland National Life'!E54+Time!E54+'Universal Life'!E54</f>
        <v>2198910.8440266382</v>
      </c>
      <c r="F54" s="1">
        <f>+'American Network'!F54+'Bankers Life'!F54+'Booker T Washington'!F54+'CO Bankers'!F54+'Executive Life'!F54+Freestone!F54+'Life Health America'!F54+'Lincoln Memorial'!F54+'National States'!F54+'North Carolina Mutual'!F54+'Pen  Treaty'!F54+'Red Rock'!F54+'Senior American'!F54+'Southland National Life'!F54+Time!F54+'Universal Life'!F54</f>
        <v>0</v>
      </c>
      <c r="G54" s="1">
        <f t="shared" si="2"/>
        <v>253005650.99064749</v>
      </c>
      <c r="H54" s="1">
        <f>+'American Network'!G54+'Bankers Life'!G54+'Booker T Washington'!G54+'CO Bankers'!G54+'Executive Life'!G54+Freestone!G54+'Life Health America'!G54+'Lincoln Memorial'!G54+'National States'!G54+'North Carolina Mutual'!G54+'Pen  Treaty'!G54+'Red Rock'!G54+'Senior American'!G54+'Southland National Life'!G54+Time!G54+'Universal Life'!G54</f>
        <v>253005650.99064749</v>
      </c>
      <c r="I54" s="1">
        <f t="shared" si="3"/>
        <v>0</v>
      </c>
    </row>
    <row r="55" spans="1:9">
      <c r="A55" s="1" t="s">
        <v>76</v>
      </c>
      <c r="B55" s="1">
        <f>+'American Network'!B55+'Bankers Life'!B55+'Booker T Washington'!B55+'CO Bankers'!B55+'Executive Life'!B55+Freestone!B55+'Life Health America'!B55+'Lincoln Memorial'!B55+'National States'!B55+'North Carolina Mutual'!B55+'Pen  Treaty'!B55+'Red Rock'!B55+'Senior American'!B55+'Southland National Life'!B55+Time!B55+'Universal Life'!B55</f>
        <v>2043649.0138138575</v>
      </c>
      <c r="C55" s="1">
        <f>+'American Network'!C55+'Bankers Life'!C55+'Booker T Washington'!C55+'CO Bankers'!C55+'Executive Life'!C55+Freestone!C55+'Life Health America'!C55+'Lincoln Memorial'!C55+'National States'!C55+'North Carolina Mutual'!C55+'Pen  Treaty'!C55+'Red Rock'!C55+'Senior American'!C55+'Southland National Life'!C55+Time!C55+'Universal Life'!C55</f>
        <v>6363124.3025675565</v>
      </c>
      <c r="D55" s="1">
        <f>+'American Network'!D55+'Bankers Life'!D55+'Booker T Washington'!D55+'CO Bankers'!D55+'Executive Life'!D55+Freestone!D55+'Life Health America'!D55+'Lincoln Memorial'!D55+'National States'!D55+'North Carolina Mutual'!D55+'Pen  Treaty'!D55+'Red Rock'!D55+'Senior American'!D55+'Southland National Life'!D55+Time!D55+'Universal Life'!D55</f>
        <v>4091776.544560377</v>
      </c>
      <c r="E55" s="1">
        <f>+'American Network'!E55+'Bankers Life'!E55+'Booker T Washington'!E55+'CO Bankers'!E55+'Executive Life'!E55+Freestone!E55+'Life Health America'!E55+'Lincoln Memorial'!E55+'National States'!E55+'North Carolina Mutual'!E55+'Pen  Treaty'!E55+'Red Rock'!E55+'Senior American'!E55+'Southland National Life'!E55+Time!E55+'Universal Life'!E55</f>
        <v>0</v>
      </c>
      <c r="F55" s="1">
        <f>+'American Network'!F55+'Bankers Life'!F55+'Booker T Washington'!F55+'CO Bankers'!F55+'Executive Life'!F55+Freestone!F55+'Life Health America'!F55+'Lincoln Memorial'!F55+'National States'!F55+'North Carolina Mutual'!F55+'Pen  Treaty'!F55+'Red Rock'!F55+'Senior American'!F55+'Southland National Life'!F55+Time!F55+'Universal Life'!F55</f>
        <v>0</v>
      </c>
      <c r="G55" s="1">
        <f t="shared" si="2"/>
        <v>12498549.86094179</v>
      </c>
      <c r="H55" s="1">
        <f>+'American Network'!G55+'Bankers Life'!G55+'Booker T Washington'!G55+'CO Bankers'!G55+'Executive Life'!G55+Freestone!G55+'Life Health America'!G55+'Lincoln Memorial'!G55+'National States'!G55+'North Carolina Mutual'!G55+'Pen  Treaty'!G55+'Red Rock'!G55+'Senior American'!G55+'Southland National Life'!G55+Time!G55+'Universal Life'!G55</f>
        <v>12498549.860941792</v>
      </c>
      <c r="I55" s="1">
        <f t="shared" si="3"/>
        <v>0</v>
      </c>
    </row>
    <row r="56" spans="1:9">
      <c r="A56" s="1" t="s">
        <v>77</v>
      </c>
      <c r="B56" s="1">
        <f>+'American Network'!B56+'Bankers Life'!B56+'Booker T Washington'!B56+'CO Bankers'!B56+'Executive Life'!B56+Freestone!B56+'Life Health America'!B56+'Lincoln Memorial'!B56+'National States'!B56+'North Carolina Mutual'!B56+'Pen  Treaty'!B56+'Red Rock'!B56+'Senior American'!B56+'Southland National Life'!B56+Time!B56+'Universal Life'!B56</f>
        <v>15124625.560763532</v>
      </c>
      <c r="C56" s="1">
        <f>+'American Network'!C56+'Bankers Life'!C56+'Booker T Washington'!C56+'CO Bankers'!C56+'Executive Life'!C56+Freestone!C56+'Life Health America'!C56+'Lincoln Memorial'!C56+'National States'!C56+'North Carolina Mutual'!C56+'Pen  Treaty'!C56+'Red Rock'!C56+'Senior American'!C56+'Southland National Life'!C56+Time!C56+'Universal Life'!C56</f>
        <v>67418354.362934887</v>
      </c>
      <c r="D56" s="1">
        <f>+'American Network'!D56+'Bankers Life'!D56+'Booker T Washington'!D56+'CO Bankers'!D56+'Executive Life'!D56+Freestone!D56+'Life Health America'!D56+'Lincoln Memorial'!D56+'National States'!D56+'North Carolina Mutual'!D56+'Pen  Treaty'!D56+'Red Rock'!D56+'Senior American'!D56+'Southland National Life'!D56+Time!D56+'Universal Life'!D56</f>
        <v>20305757.911454841</v>
      </c>
      <c r="E56" s="1">
        <f>+'American Network'!E56+'Bankers Life'!E56+'Booker T Washington'!E56+'CO Bankers'!E56+'Executive Life'!E56+Freestone!E56+'Life Health America'!E56+'Lincoln Memorial'!E56+'National States'!E56+'North Carolina Mutual'!E56+'Pen  Treaty'!E56+'Red Rock'!E56+'Senior American'!E56+'Southland National Life'!E56+Time!E56+'Universal Life'!E56</f>
        <v>80317.446396894622</v>
      </c>
      <c r="F56" s="1">
        <f>+'American Network'!F56+'Bankers Life'!F56+'Booker T Washington'!F56+'CO Bankers'!F56+'Executive Life'!F56+Freestone!F56+'Life Health America'!F56+'Lincoln Memorial'!F56+'National States'!F56+'North Carolina Mutual'!F56+'Pen  Treaty'!F56+'Red Rock'!F56+'Senior American'!F56+'Southland National Life'!F56+Time!F56+'Universal Life'!F56</f>
        <v>0</v>
      </c>
      <c r="G56" s="1">
        <f t="shared" si="2"/>
        <v>102929055.28155015</v>
      </c>
      <c r="H56" s="1">
        <f>+'American Network'!G56+'Bankers Life'!G56+'Booker T Washington'!G56+'CO Bankers'!G56+'Executive Life'!G56+Freestone!G56+'Life Health America'!G56+'Lincoln Memorial'!G56+'National States'!G56+'North Carolina Mutual'!G56+'Pen  Treaty'!G56+'Red Rock'!G56+'Senior American'!G56+'Southland National Life'!G56+Time!G56+'Universal Life'!G56</f>
        <v>102929055.28155014</v>
      </c>
      <c r="I56" s="1">
        <f t="shared" si="3"/>
        <v>0</v>
      </c>
    </row>
    <row r="57" spans="1:9">
      <c r="A57" s="1" t="s">
        <v>78</v>
      </c>
      <c r="B57" s="1">
        <f>+'American Network'!B57+'Bankers Life'!B57+'Booker T Washington'!B57+'CO Bankers'!B57+'Executive Life'!B57+Freestone!B57+'Life Health America'!B57+'Lincoln Memorial'!B57+'National States'!B57+'North Carolina Mutual'!B57+'Pen  Treaty'!B57+'Red Rock'!B57+'Senior American'!B57+'Southland National Life'!B57+Time!B57+'Universal Life'!B57</f>
        <v>3054903.4789658315</v>
      </c>
      <c r="C57" s="1">
        <f>+'American Network'!C57+'Bankers Life'!C57+'Booker T Washington'!C57+'CO Bankers'!C57+'Executive Life'!C57+Freestone!C57+'Life Health America'!C57+'Lincoln Memorial'!C57+'National States'!C57+'North Carolina Mutual'!C57+'Pen  Treaty'!C57+'Red Rock'!C57+'Senior American'!C57+'Southland National Life'!C57+Time!C57+'Universal Life'!C57</f>
        <v>5315947.0030065151</v>
      </c>
      <c r="D57" s="1">
        <f>+'American Network'!D57+'Bankers Life'!D57+'Booker T Washington'!D57+'CO Bankers'!D57+'Executive Life'!D57+Freestone!D57+'Life Health America'!D57+'Lincoln Memorial'!D57+'National States'!D57+'North Carolina Mutual'!D57+'Pen  Treaty'!D57+'Red Rock'!D57+'Senior American'!D57+'Southland National Life'!D57+Time!D57+'Universal Life'!D57</f>
        <v>2715006.7981157117</v>
      </c>
      <c r="E57" s="1">
        <f>+'American Network'!E57+'Bankers Life'!E57+'Booker T Washington'!E57+'CO Bankers'!E57+'Executive Life'!E57+Freestone!E57+'Life Health America'!E57+'Lincoln Memorial'!E57+'National States'!E57+'North Carolina Mutual'!E57+'Pen  Treaty'!E57+'Red Rock'!E57+'Senior American'!E57+'Southland National Life'!E57+Time!E57+'Universal Life'!E57</f>
        <v>0</v>
      </c>
      <c r="F57" s="1">
        <f>+'American Network'!F57+'Bankers Life'!F57+'Booker T Washington'!F57+'CO Bankers'!F57+'Executive Life'!F57+Freestone!F57+'Life Health America'!F57+'Lincoln Memorial'!F57+'National States'!F57+'North Carolina Mutual'!F57+'Pen  Treaty'!F57+'Red Rock'!F57+'Senior American'!F57+'Southland National Life'!F57+Time!F57+'Universal Life'!F57</f>
        <v>0</v>
      </c>
      <c r="G57" s="1">
        <f t="shared" si="2"/>
        <v>11085857.280088058</v>
      </c>
      <c r="H57" s="1">
        <f>+'American Network'!G57+'Bankers Life'!G57+'Booker T Washington'!G57+'CO Bankers'!G57+'Executive Life'!G57+Freestone!G57+'Life Health America'!G57+'Lincoln Memorial'!G57+'National States'!G57+'North Carolina Mutual'!G57+'Pen  Treaty'!G57+'Red Rock'!G57+'Senior American'!G57+'Southland National Life'!G57+Time!G57+'Universal Life'!G57</f>
        <v>11085857.280088058</v>
      </c>
      <c r="I57" s="1">
        <f t="shared" si="3"/>
        <v>0</v>
      </c>
    </row>
    <row r="58" spans="1:9">
      <c r="A58" s="1" t="s">
        <v>79</v>
      </c>
      <c r="B58" s="1">
        <f>+'American Network'!B58+'Bankers Life'!B58+'Booker T Washington'!B58+'CO Bankers'!B58+'Executive Life'!B58+Freestone!B58+'Life Health America'!B58+'Lincoln Memorial'!B58+'National States'!B58+'North Carolina Mutual'!B58+'Pen  Treaty'!B58+'Red Rock'!B58+'Senior American'!B58+'Southland National Life'!B58+Time!B58+'Universal Life'!B58</f>
        <v>0</v>
      </c>
      <c r="C58" s="1">
        <f>+'American Network'!C58+'Bankers Life'!C58+'Booker T Washington'!C58+'CO Bankers'!C58+'Executive Life'!C58+Freestone!C58+'Life Health America'!C58+'Lincoln Memorial'!C58+'National States'!C58+'North Carolina Mutual'!C58+'Pen  Treaty'!C58+'Red Rock'!C58+'Senior American'!C58+'Southland National Life'!C58+Time!C58+'Universal Life'!C58</f>
        <v>0</v>
      </c>
      <c r="D58" s="1">
        <f>+'American Network'!D58+'Bankers Life'!D58+'Booker T Washington'!D58+'CO Bankers'!D58+'Executive Life'!D58+Freestone!D58+'Life Health America'!D58+'Lincoln Memorial'!D58+'National States'!D58+'North Carolina Mutual'!D58+'Pen  Treaty'!D58+'Red Rock'!D58+'Senior American'!D58+'Southland National Life'!D58+Time!D58+'Universal Life'!D58</f>
        <v>0</v>
      </c>
      <c r="E58" s="1">
        <f>+'American Network'!E58+'Bankers Life'!E58+'Booker T Washington'!E58+'CO Bankers'!E58+'Executive Life'!E58+Freestone!E58+'Life Health America'!E58+'Lincoln Memorial'!E58+'National States'!E58+'North Carolina Mutual'!E58+'Pen  Treaty'!E58+'Red Rock'!E58+'Senior American'!E58+'Southland National Life'!E58+Time!E58+'Universal Life'!E58</f>
        <v>0</v>
      </c>
      <c r="F58" s="1">
        <f>+'American Network'!F58+'Bankers Life'!F58+'Booker T Washington'!F58+'CO Bankers'!F58+'Executive Life'!F58+Freestone!F58+'Life Health America'!F58+'Lincoln Memorial'!F58+'National States'!F58+'North Carolina Mutual'!F58+'Pen  Treaty'!F58+'Red Rock'!F58+'Senior American'!F58+'Southland National Life'!F58+Time!F58+'Universal Life'!F58</f>
        <v>0</v>
      </c>
      <c r="G58" s="1">
        <f t="shared" si="2"/>
        <v>0</v>
      </c>
      <c r="H58" s="1">
        <f>+'American Network'!G58+'Bankers Life'!G58+'Booker T Washington'!G58+'CO Bankers'!G58+'Executive Life'!G58+Freestone!G58+'Life Health America'!G58+'Lincoln Memorial'!G58+'National States'!G58+'North Carolina Mutual'!G58+'Pen  Treaty'!G58+'Red Rock'!G58+'Senior American'!G58+'Southland National Life'!G58+Time!G58+'Universal Life'!G58</f>
        <v>0</v>
      </c>
      <c r="I58" s="1">
        <f t="shared" si="3"/>
        <v>0</v>
      </c>
    </row>
    <row r="61" spans="1:9">
      <c r="A61" s="1" t="s">
        <v>8</v>
      </c>
      <c r="B61" s="1">
        <f>SUM(LIFE)</f>
        <v>1733098474.949311</v>
      </c>
      <c r="C61" s="1">
        <f>SUM(ALLOCATED)</f>
        <v>3004490281.9812016</v>
      </c>
      <c r="D61" s="1">
        <f>SUM(HEALTH)</f>
        <v>2987780462.1512628</v>
      </c>
      <c r="E61" s="1">
        <f>SUM(UNALLOCATED)</f>
        <v>31873420.066984765</v>
      </c>
      <c r="F61" s="1">
        <f>SUM(LTC)</f>
        <v>14210295.868651351</v>
      </c>
      <c r="G61" s="1">
        <f>SUM(TOTAL)</f>
        <v>7771452935.0174122</v>
      </c>
      <c r="H61" s="1">
        <f>SUM(TOTAL_CROSSCHECK)</f>
        <v>7771452935.0174122</v>
      </c>
      <c r="I61" s="1">
        <f>SUM(RECON)</f>
        <v>0</v>
      </c>
    </row>
  </sheetData>
  <mergeCells count="1">
    <mergeCell ref="A1:G1"/>
  </mergeCells>
  <pageMargins left="0" right="0" top="0.5" bottom="0.5" header="0.3" footer="0.3"/>
  <pageSetup paperSize="5" scale="60"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L61"/>
  <sheetViews>
    <sheetView zoomScale="75" workbookViewId="0">
      <selection activeCell="M49" sqref="M49"/>
    </sheetView>
  </sheetViews>
  <sheetFormatPr defaultColWidth="9.109375" defaultRowHeight="14.4"/>
  <cols>
    <col min="1" max="1" width="20" style="1" customWidth="1"/>
    <col min="2" max="8" width="15" style="1" customWidth="1"/>
    <col min="9" max="9" width="5" style="1" customWidth="1"/>
    <col min="10" max="10" width="9.109375" style="1" customWidth="1"/>
    <col min="11" max="11" width="40" style="1" customWidth="1"/>
    <col min="12" max="12" width="15" style="1" customWidth="1"/>
    <col min="13" max="13" width="9.109375" style="1" customWidth="1"/>
    <col min="14" max="16384" width="9.109375" style="1"/>
  </cols>
  <sheetData>
    <row r="1" spans="1:12">
      <c r="A1" s="135" t="s">
        <v>701</v>
      </c>
      <c r="B1" s="135"/>
      <c r="C1" s="135"/>
      <c r="D1" s="135"/>
      <c r="E1" s="135"/>
      <c r="F1" s="135"/>
      <c r="G1" s="135"/>
    </row>
    <row r="3" spans="1:12">
      <c r="B3" s="3"/>
      <c r="C3" s="3" t="s">
        <v>696</v>
      </c>
      <c r="D3" s="3"/>
      <c r="E3" s="3" t="s">
        <v>697</v>
      </c>
      <c r="F3" s="3"/>
      <c r="G3" s="3"/>
    </row>
    <row r="4" spans="1:12">
      <c r="B4" s="3" t="s">
        <v>3</v>
      </c>
      <c r="C4" s="3" t="s">
        <v>698</v>
      </c>
      <c r="D4" s="3" t="s">
        <v>5</v>
      </c>
      <c r="E4" s="3" t="s">
        <v>698</v>
      </c>
      <c r="F4" s="3" t="s">
        <v>7</v>
      </c>
      <c r="G4" s="3" t="s">
        <v>8</v>
      </c>
    </row>
    <row r="6" spans="1:12">
      <c r="A6" s="1" t="s">
        <v>11</v>
      </c>
      <c r="B6" s="1">
        <f>+'Colorado Health'!B6+'Compass (dbs Meritus)'!B6+'Consumers Choice'!B6+CoOportunity!B6+'Coordinated Hlth'!B6+ELNY!B6+'First Natl (Thrnr)'!B6+'Freelancers CO-OP'!B6+HealthyCT!B6+'Land of Lincoln'!B6+Lumbermens!B6+'Memorial Service'!B6+NNIC!B6+Reliance!B6+'Standard Life IN'!B6+'Universal Health Care'!B6</f>
        <v>15122.43019416777</v>
      </c>
      <c r="C6" s="1">
        <f>+'Colorado Health'!C6+'Compass (dbs Meritus)'!C6+'Consumers Choice'!C6+CoOportunity!C6+'Coordinated Hlth'!C6+ELNY!C6+'First Natl (Thrnr)'!C6+'Freelancers CO-OP'!C6+HealthyCT!C6+'Land of Lincoln'!C6+Lumbermens!C6+'Memorial Service'!C6+NNIC!C6+Reliance!C6+'Standard Life IN'!C6+'Universal Health Care'!C6</f>
        <v>220318.97372743601</v>
      </c>
      <c r="D6" s="1">
        <f>+'Colorado Health'!D6+'Compass (dbs Meritus)'!D6+'Consumers Choice'!D6+CoOportunity!D6+'Coordinated Hlth'!D6+ELNY!D6+'First Natl (Thrnr)'!D6+'Freelancers CO-OP'!D6+HealthyCT!D6+'Land of Lincoln'!D6+Lumbermens!D6+'Memorial Service'!D6+NNIC!D6+Reliance!D6+'Standard Life IN'!D6+'Universal Health Care'!D6</f>
        <v>134433.61848252299</v>
      </c>
      <c r="E6" s="1">
        <f>+'Colorado Health'!E6+'Compass (dbs Meritus)'!E6+'Consumers Choice'!E6+CoOportunity!E6+'Coordinated Hlth'!E6+ELNY!E6+'First Natl (Thrnr)'!E6+'Freelancers CO-OP'!E6+HealthyCT!E6+'Land of Lincoln'!E6+Lumbermens!E6+'Memorial Service'!E6+NNIC!E6+Reliance!E6+'Standard Life IN'!E6+'Universal Health Care'!E6</f>
        <v>0</v>
      </c>
      <c r="F6" s="1">
        <f>+'Colorado Health'!F6+'Compass (dbs Meritus)'!F6+'Consumers Choice'!F6+CoOportunity!F6+'Coordinated Hlth'!F6+ELNY!F6+'First Natl (Thrnr)'!F6+'Freelancers CO-OP'!F6+HealthyCT!F6+'Land of Lincoln'!F6+Lumbermens!F6+'Memorial Service'!F6+NNIC!F6+Reliance!F6+'Standard Life IN'!F6+'Universal Health Care'!F6</f>
        <v>0</v>
      </c>
      <c r="G6" s="1">
        <f t="shared" ref="G6:G37" si="0">SUM(B6:F6)</f>
        <v>369875.02240412676</v>
      </c>
      <c r="H6" s="1">
        <f>+'Colorado Health'!G6+'Compass (dbs Meritus)'!G6+'Consumers Choice'!G6+CoOportunity!G6+'Coordinated Hlth'!G6+ELNY!G6+'First Natl (Thrnr)'!G6+'Freelancers CO-OP'!G6+HealthyCT!G6+'Land of Lincoln'!G6+Lumbermens!G6+'Memorial Service'!G6+NNIC!G6+Reliance!G6+'Standard Life IN'!G6+'Universal Health Care'!G6</f>
        <v>369875.02240412676</v>
      </c>
      <c r="I6" s="1">
        <f t="shared" ref="I6:I37" si="1">G6-H6</f>
        <v>0</v>
      </c>
      <c r="K6" s="1" t="s">
        <v>265</v>
      </c>
      <c r="L6" s="1">
        <f>Summary!TOTAL_15126</f>
        <v>83658295</v>
      </c>
    </row>
    <row r="7" spans="1:12">
      <c r="A7" s="1" t="s">
        <v>12</v>
      </c>
      <c r="B7" s="1">
        <f>+'Colorado Health'!B7+'Compass (dbs Meritus)'!B7+'Consumers Choice'!B7+CoOportunity!B7+'Coordinated Hlth'!B7+ELNY!B7+'First Natl (Thrnr)'!B7+'Freelancers CO-OP'!B7+HealthyCT!B7+'Land of Lincoln'!B7+Lumbermens!B7+'Memorial Service'!B7+NNIC!B7+Reliance!B7+'Standard Life IN'!B7+'Universal Health Care'!B7</f>
        <v>0</v>
      </c>
      <c r="C7" s="1">
        <f>+'Colorado Health'!C7+'Compass (dbs Meritus)'!C7+'Consumers Choice'!C7+CoOportunity!C7+'Coordinated Hlth'!C7+ELNY!C7+'First Natl (Thrnr)'!C7+'Freelancers CO-OP'!C7+HealthyCT!C7+'Land of Lincoln'!C7+Lumbermens!C7+'Memorial Service'!C7+NNIC!C7+Reliance!C7+'Standard Life IN'!C7+'Universal Health Care'!C7</f>
        <v>78171.28102994425</v>
      </c>
      <c r="D7" s="1">
        <f>+'Colorado Health'!D7+'Compass (dbs Meritus)'!D7+'Consumers Choice'!D7+CoOportunity!D7+'Coordinated Hlth'!D7+ELNY!D7+'First Natl (Thrnr)'!D7+'Freelancers CO-OP'!D7+HealthyCT!D7+'Land of Lincoln'!D7+Lumbermens!D7+'Memorial Service'!D7+NNIC!D7+Reliance!D7+'Standard Life IN'!D7+'Universal Health Care'!D7</f>
        <v>0.51000000000021828</v>
      </c>
      <c r="E7" s="1">
        <f>+'Colorado Health'!E7+'Compass (dbs Meritus)'!E7+'Consumers Choice'!E7+CoOportunity!E7+'Coordinated Hlth'!E7+ELNY!E7+'First Natl (Thrnr)'!E7+'Freelancers CO-OP'!E7+HealthyCT!E7+'Land of Lincoln'!E7+Lumbermens!E7+'Memorial Service'!E7+NNIC!E7+Reliance!E7+'Standard Life IN'!E7+'Universal Health Care'!E7</f>
        <v>0</v>
      </c>
      <c r="F7" s="1">
        <f>+'Colorado Health'!F7+'Compass (dbs Meritus)'!F7+'Consumers Choice'!F7+CoOportunity!F7+'Coordinated Hlth'!F7+ELNY!F7+'First Natl (Thrnr)'!F7+'Freelancers CO-OP'!F7+HealthyCT!F7+'Land of Lincoln'!F7+Lumbermens!F7+'Memorial Service'!F7+NNIC!F7+Reliance!F7+'Standard Life IN'!F7+'Universal Health Care'!F7</f>
        <v>0</v>
      </c>
      <c r="G7" s="1">
        <f t="shared" si="0"/>
        <v>78171.791029944245</v>
      </c>
      <c r="H7" s="1">
        <f>+'Colorado Health'!G7+'Compass (dbs Meritus)'!G7+'Consumers Choice'!G7+CoOportunity!G7+'Coordinated Hlth'!G7+ELNY!G7+'First Natl (Thrnr)'!G7+'Freelancers CO-OP'!G7+HealthyCT!G7+'Land of Lincoln'!G7+Lumbermens!G7+'Memorial Service'!G7+NNIC!G7+Reliance!G7+'Standard Life IN'!G7+'Universal Health Care'!G7</f>
        <v>78171.791029944245</v>
      </c>
      <c r="I7" s="1">
        <f t="shared" si="1"/>
        <v>0</v>
      </c>
      <c r="K7" s="1" t="s">
        <v>270</v>
      </c>
      <c r="L7" s="1">
        <f>Summary!TOTAL_15092</f>
        <v>3347549</v>
      </c>
    </row>
    <row r="8" spans="1:12">
      <c r="A8" s="1" t="s">
        <v>13</v>
      </c>
      <c r="B8" s="1">
        <f>+'Colorado Health'!B8+'Compass (dbs Meritus)'!B8+'Consumers Choice'!B8+CoOportunity!B8+'Coordinated Hlth'!B8+ELNY!B8+'First Natl (Thrnr)'!B8+'Freelancers CO-OP'!B8+HealthyCT!B8+'Land of Lincoln'!B8+Lumbermens!B8+'Memorial Service'!B8+NNIC!B8+Reliance!B8+'Standard Life IN'!B8+'Universal Health Care'!B8</f>
        <v>9632.9764689473668</v>
      </c>
      <c r="C8" s="1">
        <f>+'Colorado Health'!C8+'Compass (dbs Meritus)'!C8+'Consumers Choice'!C8+CoOportunity!C8+'Coordinated Hlth'!C8+ELNY!C8+'First Natl (Thrnr)'!C8+'Freelancers CO-OP'!C8+HealthyCT!C8+'Land of Lincoln'!C8+Lumbermens!C8+'Memorial Service'!C8+NNIC!C8+Reliance!C8+'Standard Life IN'!C8+'Universal Health Care'!C8</f>
        <v>1610309.171944509</v>
      </c>
      <c r="D8" s="1">
        <f>+'Colorado Health'!D8+'Compass (dbs Meritus)'!D8+'Consumers Choice'!D8+CoOportunity!D8+'Coordinated Hlth'!D8+ELNY!D8+'First Natl (Thrnr)'!D8+'Freelancers CO-OP'!D8+HealthyCT!D8+'Land of Lincoln'!D8+Lumbermens!D8+'Memorial Service'!D8+NNIC!D8+Reliance!D8+'Standard Life IN'!D8+'Universal Health Care'!D8</f>
        <v>3870687.6001819023</v>
      </c>
      <c r="E8" s="1">
        <f>+'Colorado Health'!E8+'Compass (dbs Meritus)'!E8+'Consumers Choice'!E8+CoOportunity!E8+'Coordinated Hlth'!E8+ELNY!E8+'First Natl (Thrnr)'!E8+'Freelancers CO-OP'!E8+HealthyCT!E8+'Land of Lincoln'!E8+Lumbermens!E8+'Memorial Service'!E8+NNIC!E8+Reliance!E8+'Standard Life IN'!E8+'Universal Health Care'!E8</f>
        <v>0</v>
      </c>
      <c r="F8" s="1">
        <f>+'Colorado Health'!F8+'Compass (dbs Meritus)'!F8+'Consumers Choice'!F8+CoOportunity!F8+'Coordinated Hlth'!F8+ELNY!F8+'First Natl (Thrnr)'!F8+'Freelancers CO-OP'!F8+HealthyCT!F8+'Land of Lincoln'!F8+Lumbermens!F8+'Memorial Service'!F8+NNIC!F8+Reliance!F8+'Standard Life IN'!F8+'Universal Health Care'!F8</f>
        <v>0</v>
      </c>
      <c r="G8" s="1">
        <f t="shared" si="0"/>
        <v>5490629.7485953588</v>
      </c>
      <c r="H8" s="1">
        <f>+'Colorado Health'!G8+'Compass (dbs Meritus)'!G8+'Consumers Choice'!G8+CoOportunity!G8+'Coordinated Hlth'!G8+ELNY!G8+'First Natl (Thrnr)'!G8+'Freelancers CO-OP'!G8+HealthyCT!G8+'Land of Lincoln'!G8+Lumbermens!G8+'Memorial Service'!G8+NNIC!G8+Reliance!G8+'Standard Life IN'!G8+'Universal Health Care'!G8</f>
        <v>5490629.7485953588</v>
      </c>
      <c r="I8" s="1">
        <f t="shared" si="1"/>
        <v>0</v>
      </c>
      <c r="K8" s="1" t="s">
        <v>275</v>
      </c>
      <c r="L8" s="1">
        <f>Summary!TOTAL_15145</f>
        <v>34784248.960000001</v>
      </c>
    </row>
    <row r="9" spans="1:12">
      <c r="A9" s="1" t="s">
        <v>15</v>
      </c>
      <c r="B9" s="1">
        <f>+'Colorado Health'!B9+'Compass (dbs Meritus)'!B9+'Consumers Choice'!B9+CoOportunity!B9+'Coordinated Hlth'!B9+ELNY!B9+'First Natl (Thrnr)'!B9+'Freelancers CO-OP'!B9+HealthyCT!B9+'Land of Lincoln'!B9+Lumbermens!B9+'Memorial Service'!B9+NNIC!B9+Reliance!B9+'Standard Life IN'!B9+'Universal Health Care'!B9</f>
        <v>2748.6536316094425</v>
      </c>
      <c r="C9" s="1">
        <f>+'Colorado Health'!C9+'Compass (dbs Meritus)'!C9+'Consumers Choice'!C9+CoOportunity!C9+'Coordinated Hlth'!C9+ELNY!C9+'First Natl (Thrnr)'!C9+'Freelancers CO-OP'!C9+HealthyCT!C9+'Land of Lincoln'!C9+Lumbermens!C9+'Memorial Service'!C9+NNIC!C9+Reliance!C9+'Standard Life IN'!C9+'Universal Health Care'!C9</f>
        <v>3035522.3597226082</v>
      </c>
      <c r="D9" s="1">
        <f>+'Colorado Health'!D9+'Compass (dbs Meritus)'!D9+'Consumers Choice'!D9+CoOportunity!D9+'Coordinated Hlth'!D9+ELNY!D9+'First Natl (Thrnr)'!D9+'Freelancers CO-OP'!D9+HealthyCT!D9+'Land of Lincoln'!D9+Lumbermens!D9+'Memorial Service'!D9+NNIC!D9+Reliance!D9+'Standard Life IN'!D9+'Universal Health Care'!D9</f>
        <v>291639.5870991706</v>
      </c>
      <c r="E9" s="1">
        <f>+'Colorado Health'!E9+'Compass (dbs Meritus)'!E9+'Consumers Choice'!E9+CoOportunity!E9+'Coordinated Hlth'!E9+ELNY!E9+'First Natl (Thrnr)'!E9+'Freelancers CO-OP'!E9+HealthyCT!E9+'Land of Lincoln'!E9+Lumbermens!E9+'Memorial Service'!E9+NNIC!E9+Reliance!E9+'Standard Life IN'!E9+'Universal Health Care'!E9</f>
        <v>0</v>
      </c>
      <c r="F9" s="1">
        <f>+'Colorado Health'!F9+'Compass (dbs Meritus)'!F9+'Consumers Choice'!F9+CoOportunity!F9+'Coordinated Hlth'!F9+ELNY!F9+'First Natl (Thrnr)'!F9+'Freelancers CO-OP'!F9+HealthyCT!F9+'Land of Lincoln'!F9+Lumbermens!F9+'Memorial Service'!F9+NNIC!F9+Reliance!F9+'Standard Life IN'!F9+'Universal Health Care'!F9</f>
        <v>0</v>
      </c>
      <c r="G9" s="1">
        <f t="shared" si="0"/>
        <v>3329910.6004533884</v>
      </c>
      <c r="H9" s="1">
        <f>+'Colorado Health'!G9+'Compass (dbs Meritus)'!G9+'Consumers Choice'!G9+CoOportunity!G9+'Coordinated Hlth'!G9+ELNY!G9+'First Natl (Thrnr)'!G9+'Freelancers CO-OP'!G9+HealthyCT!G9+'Land of Lincoln'!G9+Lumbermens!G9+'Memorial Service'!G9+NNIC!G9+Reliance!G9+'Standard Life IN'!G9+'Universal Health Care'!G9</f>
        <v>3329910.6004533884</v>
      </c>
      <c r="I9" s="1">
        <f t="shared" si="1"/>
        <v>0</v>
      </c>
      <c r="K9" s="1" t="s">
        <v>107</v>
      </c>
      <c r="L9" s="1">
        <f>Summary!TOTAL_15093</f>
        <v>29171521.632349882</v>
      </c>
    </row>
    <row r="10" spans="1:12">
      <c r="A10" s="1" t="s">
        <v>16</v>
      </c>
      <c r="B10" s="1">
        <f>+'Colorado Health'!B10+'Compass (dbs Meritus)'!B10+'Consumers Choice'!B10+CoOportunity!B10+'Coordinated Hlth'!B10+ELNY!B10+'First Natl (Thrnr)'!B10+'Freelancers CO-OP'!B10+HealthyCT!B10+'Land of Lincoln'!B10+Lumbermens!B10+'Memorial Service'!B10+NNIC!B10+Reliance!B10+'Standard Life IN'!B10+'Universal Health Care'!B10</f>
        <v>33148.033605579112</v>
      </c>
      <c r="C10" s="1">
        <f>+'Colorado Health'!C10+'Compass (dbs Meritus)'!C10+'Consumers Choice'!C10+CoOportunity!C10+'Coordinated Hlth'!C10+ELNY!C10+'First Natl (Thrnr)'!C10+'Freelancers CO-OP'!C10+HealthyCT!C10+'Land of Lincoln'!C10+Lumbermens!C10+'Memorial Service'!C10+NNIC!C10+Reliance!C10+'Standard Life IN'!C10+'Universal Health Care'!C10</f>
        <v>21724721.296958126</v>
      </c>
      <c r="D10" s="1">
        <f>+'Colorado Health'!D10+'Compass (dbs Meritus)'!D10+'Consumers Choice'!D10+CoOportunity!D10+'Coordinated Hlth'!D10+ELNY!D10+'First Natl (Thrnr)'!D10+'Freelancers CO-OP'!D10+HealthyCT!D10+'Land of Lincoln'!D10+Lumbermens!D10+'Memorial Service'!D10+NNIC!D10+Reliance!D10+'Standard Life IN'!D10+'Universal Health Care'!D10</f>
        <v>1815567.7723477245</v>
      </c>
      <c r="E10" s="1">
        <f>+'Colorado Health'!E10+'Compass (dbs Meritus)'!E10+'Consumers Choice'!E10+CoOportunity!E10+'Coordinated Hlth'!E10+ELNY!E10+'First Natl (Thrnr)'!E10+'Freelancers CO-OP'!E10+HealthyCT!E10+'Land of Lincoln'!E10+Lumbermens!E10+'Memorial Service'!E10+NNIC!E10+Reliance!E10+'Standard Life IN'!E10+'Universal Health Care'!E10</f>
        <v>0</v>
      </c>
      <c r="F10" s="1">
        <f>+'Colorado Health'!F10+'Compass (dbs Meritus)'!F10+'Consumers Choice'!F10+CoOportunity!F10+'Coordinated Hlth'!F10+ELNY!F10+'First Natl (Thrnr)'!F10+'Freelancers CO-OP'!F10+HealthyCT!F10+'Land of Lincoln'!F10+Lumbermens!F10+'Memorial Service'!F10+NNIC!F10+Reliance!F10+'Standard Life IN'!F10+'Universal Health Care'!F10</f>
        <v>0</v>
      </c>
      <c r="G10" s="1">
        <f t="shared" si="0"/>
        <v>23573437.102911431</v>
      </c>
      <c r="H10" s="1">
        <f>+'Colorado Health'!G10+'Compass (dbs Meritus)'!G10+'Consumers Choice'!G10+CoOportunity!G10+'Coordinated Hlth'!G10+ELNY!G10+'First Natl (Thrnr)'!G10+'Freelancers CO-OP'!G10+HealthyCT!G10+'Land of Lincoln'!G10+Lumbermens!G10+'Memorial Service'!G10+NNIC!G10+Reliance!G10+'Standard Life IN'!G10+'Universal Health Care'!G10</f>
        <v>23573437.102911428</v>
      </c>
      <c r="I10" s="1">
        <f t="shared" si="1"/>
        <v>0</v>
      </c>
      <c r="K10" s="1" t="s">
        <v>284</v>
      </c>
      <c r="L10" s="1">
        <f>Summary!TOTAL_15314</f>
        <v>8388718</v>
      </c>
    </row>
    <row r="11" spans="1:12">
      <c r="A11" s="1" t="s">
        <v>18</v>
      </c>
      <c r="B11" s="1">
        <f>+'Colorado Health'!B11+'Compass (dbs Meritus)'!B11+'Consumers Choice'!B11+CoOportunity!B11+'Coordinated Hlth'!B11+ELNY!B11+'First Natl (Thrnr)'!B11+'Freelancers CO-OP'!B11+HealthyCT!B11+'Land of Lincoln'!B11+Lumbermens!B11+'Memorial Service'!B11+NNIC!B11+Reliance!B11+'Standard Life IN'!B11+'Universal Health Care'!B11</f>
        <v>4296.2528817224811</v>
      </c>
      <c r="C11" s="1">
        <f>+'Colorado Health'!C11+'Compass (dbs Meritus)'!C11+'Consumers Choice'!C11+CoOportunity!C11+'Coordinated Hlth'!C11+ELNY!C11+'First Natl (Thrnr)'!C11+'Freelancers CO-OP'!C11+HealthyCT!C11+'Land of Lincoln'!C11+Lumbermens!C11+'Memorial Service'!C11+NNIC!C11+Reliance!C11+'Standard Life IN'!C11+'Universal Health Care'!C11</f>
        <v>2059170.9434326731</v>
      </c>
      <c r="D11" s="1">
        <f>+'Colorado Health'!D11+'Compass (dbs Meritus)'!D11+'Consumers Choice'!D11+CoOportunity!D11+'Coordinated Hlth'!D11+ELNY!D11+'First Natl (Thrnr)'!D11+'Freelancers CO-OP'!D11+HealthyCT!D11+'Land of Lincoln'!D11+Lumbermens!D11+'Memorial Service'!D11+NNIC!D11+Reliance!D11+'Standard Life IN'!D11+'Universal Health Care'!D11</f>
        <v>83750712.518154889</v>
      </c>
      <c r="E11" s="1">
        <f>+'Colorado Health'!E11+'Compass (dbs Meritus)'!E11+'Consumers Choice'!E11+CoOportunity!E11+'Coordinated Hlth'!E11+ELNY!E11+'First Natl (Thrnr)'!E11+'Freelancers CO-OP'!E11+HealthyCT!E11+'Land of Lincoln'!E11+Lumbermens!E11+'Memorial Service'!E11+NNIC!E11+Reliance!E11+'Standard Life IN'!E11+'Universal Health Care'!E11</f>
        <v>0</v>
      </c>
      <c r="F11" s="1">
        <f>+'Colorado Health'!F11+'Compass (dbs Meritus)'!F11+'Consumers Choice'!F11+CoOportunity!F11+'Coordinated Hlth'!F11+ELNY!F11+'First Natl (Thrnr)'!F11+'Freelancers CO-OP'!F11+HealthyCT!F11+'Land of Lincoln'!F11+Lumbermens!F11+'Memorial Service'!F11+NNIC!F11+Reliance!F11+'Standard Life IN'!F11+'Universal Health Care'!F11</f>
        <v>0</v>
      </c>
      <c r="G11" s="1">
        <f t="shared" si="0"/>
        <v>85814179.714469284</v>
      </c>
      <c r="H11" s="1">
        <f>+'Colorado Health'!G11+'Compass (dbs Meritus)'!G11+'Consumers Choice'!G11+CoOportunity!G11+'Coordinated Hlth'!G11+ELNY!G11+'First Natl (Thrnr)'!G11+'Freelancers CO-OP'!G11+HealthyCT!G11+'Land of Lincoln'!G11+Lumbermens!G11+'Memorial Service'!G11+NNIC!G11+Reliance!G11+'Standard Life IN'!G11+'Universal Health Care'!G11</f>
        <v>85814179.714469284</v>
      </c>
      <c r="I11" s="1">
        <f t="shared" si="1"/>
        <v>0</v>
      </c>
      <c r="K11" s="1" t="s">
        <v>288</v>
      </c>
      <c r="L11" s="1">
        <f>Summary!TOTAL_61913</f>
        <v>801859656.73644018</v>
      </c>
    </row>
    <row r="12" spans="1:12">
      <c r="A12" s="1" t="s">
        <v>19</v>
      </c>
      <c r="B12" s="1">
        <f>+'Colorado Health'!B12+'Compass (dbs Meritus)'!B12+'Consumers Choice'!B12+CoOportunity!B12+'Coordinated Hlth'!B12+ELNY!B12+'First Natl (Thrnr)'!B12+'Freelancers CO-OP'!B12+HealthyCT!B12+'Land of Lincoln'!B12+Lumbermens!B12+'Memorial Service'!B12+NNIC!B12+Reliance!B12+'Standard Life IN'!B12+'Universal Health Care'!B12</f>
        <v>0</v>
      </c>
      <c r="C12" s="1">
        <f>+'Colorado Health'!C12+'Compass (dbs Meritus)'!C12+'Consumers Choice'!C12+CoOportunity!C12+'Coordinated Hlth'!C12+ELNY!C12+'First Natl (Thrnr)'!C12+'Freelancers CO-OP'!C12+HealthyCT!C12+'Land of Lincoln'!C12+Lumbermens!C12+'Memorial Service'!C12+NNIC!C12+Reliance!C12+'Standard Life IN'!C12+'Universal Health Care'!C12</f>
        <v>24271157.907914273</v>
      </c>
      <c r="D12" s="1">
        <f>+'Colorado Health'!D12+'Compass (dbs Meritus)'!D12+'Consumers Choice'!D12+CoOportunity!D12+'Coordinated Hlth'!D12+ELNY!D12+'First Natl (Thrnr)'!D12+'Freelancers CO-OP'!D12+HealthyCT!D12+'Land of Lincoln'!D12+Lumbermens!D12+'Memorial Service'!D12+NNIC!D12+Reliance!D12+'Standard Life IN'!D12+'Universal Health Care'!D12</f>
        <v>261022.90741372635</v>
      </c>
      <c r="E12" s="1">
        <f>+'Colorado Health'!E12+'Compass (dbs Meritus)'!E12+'Consumers Choice'!E12+CoOportunity!E12+'Coordinated Hlth'!E12+ELNY!E12+'First Natl (Thrnr)'!E12+'Freelancers CO-OP'!E12+HealthyCT!E12+'Land of Lincoln'!E12+Lumbermens!E12+'Memorial Service'!E12+NNIC!E12+Reliance!E12+'Standard Life IN'!E12+'Universal Health Care'!E12</f>
        <v>0</v>
      </c>
      <c r="F12" s="1">
        <f>+'Colorado Health'!F12+'Compass (dbs Meritus)'!F12+'Consumers Choice'!F12+CoOportunity!F12+'Coordinated Hlth'!F12+ELNY!F12+'First Natl (Thrnr)'!F12+'Freelancers CO-OP'!F12+HealthyCT!F12+'Land of Lincoln'!F12+Lumbermens!F12+'Memorial Service'!F12+NNIC!F12+Reliance!F12+'Standard Life IN'!F12+'Universal Health Care'!F12</f>
        <v>0</v>
      </c>
      <c r="G12" s="1">
        <f t="shared" si="0"/>
        <v>24532180.815327998</v>
      </c>
      <c r="H12" s="1">
        <f>+'Colorado Health'!G12+'Compass (dbs Meritus)'!G12+'Consumers Choice'!G12+CoOportunity!G12+'Coordinated Hlth'!G12+ELNY!G12+'First Natl (Thrnr)'!G12+'Freelancers CO-OP'!G12+HealthyCT!G12+'Land of Lincoln'!G12+Lumbermens!G12+'Memorial Service'!G12+NNIC!G12+Reliance!G12+'Standard Life IN'!G12+'Universal Health Care'!G12</f>
        <v>24532180.815327998</v>
      </c>
      <c r="I12" s="1">
        <f t="shared" si="1"/>
        <v>0</v>
      </c>
      <c r="K12" s="1" t="s">
        <v>293</v>
      </c>
      <c r="L12" s="1">
        <f>Summary!TOTAL_63525</f>
        <v>4669973.5202963641</v>
      </c>
    </row>
    <row r="13" spans="1:12">
      <c r="A13" s="1" t="s">
        <v>21</v>
      </c>
      <c r="B13" s="1">
        <f>+'Colorado Health'!B13+'Compass (dbs Meritus)'!B13+'Consumers Choice'!B13+CoOportunity!B13+'Coordinated Hlth'!B13+ELNY!B13+'First Natl (Thrnr)'!B13+'Freelancers CO-OP'!B13+HealthyCT!B13+'Land of Lincoln'!B13+Lumbermens!B13+'Memorial Service'!B13+NNIC!B13+Reliance!B13+'Standard Life IN'!B13+'Universal Health Care'!B13</f>
        <v>1794.7190031290229</v>
      </c>
      <c r="C13" s="1">
        <f>+'Colorado Health'!C13+'Compass (dbs Meritus)'!C13+'Consumers Choice'!C13+CoOportunity!C13+'Coordinated Hlth'!C13+ELNY!C13+'First Natl (Thrnr)'!C13+'Freelancers CO-OP'!C13+HealthyCT!C13+'Land of Lincoln'!C13+Lumbermens!C13+'Memorial Service'!C13+NNIC!C13+Reliance!C13+'Standard Life IN'!C13+'Universal Health Care'!C13</f>
        <v>2884320.2610820979</v>
      </c>
      <c r="D13" s="1">
        <f>+'Colorado Health'!D13+'Compass (dbs Meritus)'!D13+'Consumers Choice'!D13+CoOportunity!D13+'Coordinated Hlth'!D13+ELNY!D13+'First Natl (Thrnr)'!D13+'Freelancers CO-OP'!D13+HealthyCT!D13+'Land of Lincoln'!D13+Lumbermens!D13+'Memorial Service'!D13+NNIC!D13+Reliance!D13+'Standard Life IN'!D13+'Universal Health Care'!D13</f>
        <v>61046.866670579766</v>
      </c>
      <c r="E13" s="1">
        <f>+'Colorado Health'!E13+'Compass (dbs Meritus)'!E13+'Consumers Choice'!E13+CoOportunity!E13+'Coordinated Hlth'!E13+ELNY!E13+'First Natl (Thrnr)'!E13+'Freelancers CO-OP'!E13+HealthyCT!E13+'Land of Lincoln'!E13+Lumbermens!E13+'Memorial Service'!E13+NNIC!E13+Reliance!E13+'Standard Life IN'!E13+'Universal Health Care'!E13</f>
        <v>0</v>
      </c>
      <c r="F13" s="1">
        <f>+'Colorado Health'!F13+'Compass (dbs Meritus)'!F13+'Consumers Choice'!F13+CoOportunity!F13+'Coordinated Hlth'!F13+ELNY!F13+'First Natl (Thrnr)'!F13+'Freelancers CO-OP'!F13+HealthyCT!F13+'Land of Lincoln'!F13+Lumbermens!F13+'Memorial Service'!F13+NNIC!F13+Reliance!F13+'Standard Life IN'!F13+'Universal Health Care'!F13</f>
        <v>0</v>
      </c>
      <c r="G13" s="1">
        <f t="shared" si="0"/>
        <v>2947161.8467558064</v>
      </c>
      <c r="H13" s="1">
        <f>+'Colorado Health'!G13+'Compass (dbs Meritus)'!G13+'Consumers Choice'!G13+CoOportunity!G13+'Coordinated Hlth'!G13+ELNY!G13+'First Natl (Thrnr)'!G13+'Freelancers CO-OP'!G13+HealthyCT!G13+'Land of Lincoln'!G13+Lumbermens!G13+'Memorial Service'!G13+NNIC!G13+Reliance!G13+'Standard Life IN'!G13+'Universal Health Care'!G13</f>
        <v>2947161.8467558073</v>
      </c>
      <c r="I13" s="1">
        <f t="shared" si="1"/>
        <v>0</v>
      </c>
      <c r="K13" s="1" t="s">
        <v>299</v>
      </c>
      <c r="L13" s="1">
        <f>Summary!TOTAL_15197</f>
        <v>23625000</v>
      </c>
    </row>
    <row r="14" spans="1:12">
      <c r="A14" s="1" t="s">
        <v>23</v>
      </c>
      <c r="B14" s="1">
        <f>+'Colorado Health'!B14+'Compass (dbs Meritus)'!B14+'Consumers Choice'!B14+CoOportunity!B14+'Coordinated Hlth'!B14+ELNY!B14+'First Natl (Thrnr)'!B14+'Freelancers CO-OP'!B14+HealthyCT!B14+'Land of Lincoln'!B14+Lumbermens!B14+'Memorial Service'!B14+NNIC!B14+Reliance!B14+'Standard Life IN'!B14+'Universal Health Care'!B14</f>
        <v>5462.1630946412261</v>
      </c>
      <c r="C14" s="1">
        <f>+'Colorado Health'!C14+'Compass (dbs Meritus)'!C14+'Consumers Choice'!C14+CoOportunity!C14+'Coordinated Hlth'!C14+ELNY!C14+'First Natl (Thrnr)'!C14+'Freelancers CO-OP'!C14+HealthyCT!C14+'Land of Lincoln'!C14+Lumbermens!C14+'Memorial Service'!C14+NNIC!C14+Reliance!C14+'Standard Life IN'!C14+'Universal Health Care'!C14</f>
        <v>53408.457943357702</v>
      </c>
      <c r="D14" s="1">
        <f>+'Colorado Health'!D14+'Compass (dbs Meritus)'!D14+'Consumers Choice'!D14+CoOportunity!D14+'Coordinated Hlth'!D14+ELNY!D14+'First Natl (Thrnr)'!D14+'Freelancers CO-OP'!D14+HealthyCT!D14+'Land of Lincoln'!D14+Lumbermens!D14+'Memorial Service'!D14+NNIC!D14+Reliance!D14+'Standard Life IN'!D14+'Universal Health Care'!D14</f>
        <v>-6.9999999999708962E-2</v>
      </c>
      <c r="E14" s="1">
        <f>+'Colorado Health'!E14+'Compass (dbs Meritus)'!E14+'Consumers Choice'!E14+CoOportunity!E14+'Coordinated Hlth'!E14+ELNY!E14+'First Natl (Thrnr)'!E14+'Freelancers CO-OP'!E14+HealthyCT!E14+'Land of Lincoln'!E14+Lumbermens!E14+'Memorial Service'!E14+NNIC!E14+Reliance!E14+'Standard Life IN'!E14+'Universal Health Care'!E14</f>
        <v>0</v>
      </c>
      <c r="F14" s="1">
        <f>+'Colorado Health'!F14+'Compass (dbs Meritus)'!F14+'Consumers Choice'!F14+CoOportunity!F14+'Coordinated Hlth'!F14+ELNY!F14+'First Natl (Thrnr)'!F14+'Freelancers CO-OP'!F14+HealthyCT!F14+'Land of Lincoln'!F14+Lumbermens!F14+'Memorial Service'!F14+NNIC!F14+Reliance!F14+'Standard Life IN'!F14+'Universal Health Care'!F14</f>
        <v>0</v>
      </c>
      <c r="G14" s="1">
        <f t="shared" si="0"/>
        <v>58870.551037998928</v>
      </c>
      <c r="H14" s="1">
        <f>+'Colorado Health'!G14+'Compass (dbs Meritus)'!G14+'Consumers Choice'!G14+CoOportunity!G14+'Coordinated Hlth'!G14+ELNY!G14+'First Natl (Thrnr)'!G14+'Freelancers CO-OP'!G14+HealthyCT!G14+'Land of Lincoln'!G14+Lumbermens!G14+'Memorial Service'!G14+NNIC!G14+Reliance!G14+'Standard Life IN'!G14+'Universal Health Care'!G14</f>
        <v>58870.551037998928</v>
      </c>
      <c r="I14" s="1">
        <f t="shared" si="1"/>
        <v>0</v>
      </c>
      <c r="K14" s="1" t="s">
        <v>128</v>
      </c>
      <c r="L14" s="1">
        <f>Summary!TOTAL_15046</f>
        <v>9165</v>
      </c>
    </row>
    <row r="15" spans="1:12">
      <c r="A15" s="1" t="s">
        <v>25</v>
      </c>
      <c r="B15" s="1">
        <f>+'Colorado Health'!B15+'Compass (dbs Meritus)'!B15+'Consumers Choice'!B15+CoOportunity!B15+'Coordinated Hlth'!B15+ELNY!B15+'First Natl (Thrnr)'!B15+'Freelancers CO-OP'!B15+HealthyCT!B15+'Land of Lincoln'!B15+Lumbermens!B15+'Memorial Service'!B15+NNIC!B15+Reliance!B15+'Standard Life IN'!B15+'Universal Health Care'!B15</f>
        <v>35961.720566290198</v>
      </c>
      <c r="C15" s="1">
        <f>+'Colorado Health'!C15+'Compass (dbs Meritus)'!C15+'Consumers Choice'!C15+CoOportunity!C15+'Coordinated Hlth'!C15+ELNY!C15+'First Natl (Thrnr)'!C15+'Freelancers CO-OP'!C15+HealthyCT!C15+'Land of Lincoln'!C15+Lumbermens!C15+'Memorial Service'!C15+NNIC!C15+Reliance!C15+'Standard Life IN'!C15+'Universal Health Care'!C15</f>
        <v>969229.14495629934</v>
      </c>
      <c r="D15" s="1">
        <f>+'Colorado Health'!D15+'Compass (dbs Meritus)'!D15+'Consumers Choice'!D15+CoOportunity!D15+'Coordinated Hlth'!D15+ELNY!D15+'First Natl (Thrnr)'!D15+'Freelancers CO-OP'!D15+HealthyCT!D15+'Land of Lincoln'!D15+Lumbermens!D15+'Memorial Service'!D15+NNIC!D15+Reliance!D15+'Standard Life IN'!D15+'Universal Health Care'!D15</f>
        <v>2871759.5457211533</v>
      </c>
      <c r="E15" s="1">
        <f>+'Colorado Health'!E15+'Compass (dbs Meritus)'!E15+'Consumers Choice'!E15+CoOportunity!E15+'Coordinated Hlth'!E15+ELNY!E15+'First Natl (Thrnr)'!E15+'Freelancers CO-OP'!E15+HealthyCT!E15+'Land of Lincoln'!E15+Lumbermens!E15+'Memorial Service'!E15+NNIC!E15+Reliance!E15+'Standard Life IN'!E15+'Universal Health Care'!E15</f>
        <v>0</v>
      </c>
      <c r="F15" s="1">
        <f>+'Colorado Health'!F15+'Compass (dbs Meritus)'!F15+'Consumers Choice'!F15+CoOportunity!F15+'Coordinated Hlth'!F15+ELNY!F15+'First Natl (Thrnr)'!F15+'Freelancers CO-OP'!F15+HealthyCT!F15+'Land of Lincoln'!F15+Lumbermens!F15+'Memorial Service'!F15+NNIC!F15+Reliance!F15+'Standard Life IN'!F15+'Universal Health Care'!F15</f>
        <v>0</v>
      </c>
      <c r="G15" s="1">
        <f t="shared" si="0"/>
        <v>3876950.4112437428</v>
      </c>
      <c r="H15" s="1">
        <f>+'Colorado Health'!G15+'Compass (dbs Meritus)'!G15+'Consumers Choice'!G15+CoOportunity!G15+'Coordinated Hlth'!G15+ELNY!G15+'First Natl (Thrnr)'!G15+'Freelancers CO-OP'!G15+HealthyCT!G15+'Land of Lincoln'!G15+Lumbermens!G15+'Memorial Service'!G15+NNIC!G15+Reliance!G15+'Standard Life IN'!G15+'Universal Health Care'!G15</f>
        <v>3876950.4112437433</v>
      </c>
      <c r="I15" s="1">
        <f t="shared" si="1"/>
        <v>0</v>
      </c>
      <c r="K15" s="1" t="s">
        <v>308</v>
      </c>
      <c r="L15" s="1">
        <f>Summary!TOTAL_15102</f>
        <v>9776890</v>
      </c>
    </row>
    <row r="16" spans="1:12">
      <c r="A16" s="1" t="s">
        <v>27</v>
      </c>
      <c r="B16" s="1">
        <f>+'Colorado Health'!B16+'Compass (dbs Meritus)'!B16+'Consumers Choice'!B16+CoOportunity!B16+'Coordinated Hlth'!B16+ELNY!B16+'First Natl (Thrnr)'!B16+'Freelancers CO-OP'!B16+HealthyCT!B16+'Land of Lincoln'!B16+Lumbermens!B16+'Memorial Service'!B16+NNIC!B16+Reliance!B16+'Standard Life IN'!B16+'Universal Health Care'!B16</f>
        <v>36487.861232223455</v>
      </c>
      <c r="C16" s="1">
        <f>+'Colorado Health'!C16+'Compass (dbs Meritus)'!C16+'Consumers Choice'!C16+CoOportunity!C16+'Coordinated Hlth'!C16+ELNY!C16+'First Natl (Thrnr)'!C16+'Freelancers CO-OP'!C16+HealthyCT!C16+'Land of Lincoln'!C16+Lumbermens!C16+'Memorial Service'!C16+NNIC!C16+Reliance!C16+'Standard Life IN'!C16+'Universal Health Care'!C16</f>
        <v>4785659.2142977705</v>
      </c>
      <c r="D16" s="1">
        <f>+'Colorado Health'!D16+'Compass (dbs Meritus)'!D16+'Consumers Choice'!D16+CoOportunity!D16+'Coordinated Hlth'!D16+ELNY!D16+'First Natl (Thrnr)'!D16+'Freelancers CO-OP'!D16+HealthyCT!D16+'Land of Lincoln'!D16+Lumbermens!D16+'Memorial Service'!D16+NNIC!D16+Reliance!D16+'Standard Life IN'!D16+'Universal Health Care'!D16</f>
        <v>-11887.794022893824</v>
      </c>
      <c r="E16" s="1">
        <f>+'Colorado Health'!E16+'Compass (dbs Meritus)'!E16+'Consumers Choice'!E16+CoOportunity!E16+'Coordinated Hlth'!E16+ELNY!E16+'First Natl (Thrnr)'!E16+'Freelancers CO-OP'!E16+HealthyCT!E16+'Land of Lincoln'!E16+Lumbermens!E16+'Memorial Service'!E16+NNIC!E16+Reliance!E16+'Standard Life IN'!E16+'Universal Health Care'!E16</f>
        <v>0</v>
      </c>
      <c r="F16" s="1">
        <f>+'Colorado Health'!F16+'Compass (dbs Meritus)'!F16+'Consumers Choice'!F16+CoOportunity!F16+'Coordinated Hlth'!F16+ELNY!F16+'First Natl (Thrnr)'!F16+'Freelancers CO-OP'!F16+HealthyCT!F16+'Land of Lincoln'!F16+Lumbermens!F16+'Memorial Service'!F16+NNIC!F16+Reliance!F16+'Standard Life IN'!F16+'Universal Health Care'!F16</f>
        <v>0</v>
      </c>
      <c r="G16" s="1">
        <f t="shared" si="0"/>
        <v>4810259.2815071009</v>
      </c>
      <c r="H16" s="1">
        <f>+'Colorado Health'!G16+'Compass (dbs Meritus)'!G16+'Consumers Choice'!G16+CoOportunity!G16+'Coordinated Hlth'!G16+ELNY!G16+'First Natl (Thrnr)'!G16+'Freelancers CO-OP'!G16+HealthyCT!G16+'Land of Lincoln'!G16+Lumbermens!G16+'Memorial Service'!G16+NNIC!G16+Reliance!G16+'Standard Life IN'!G16+'Universal Health Care'!G16</f>
        <v>4810259.2815071009</v>
      </c>
      <c r="I16" s="1">
        <f t="shared" si="1"/>
        <v>0</v>
      </c>
      <c r="K16" s="1" t="s">
        <v>313</v>
      </c>
      <c r="L16" s="1">
        <f>Summary!TOTAL_22977</f>
        <v>13519844.831880532</v>
      </c>
    </row>
    <row r="17" spans="1:12">
      <c r="A17" s="1" t="s">
        <v>29</v>
      </c>
      <c r="B17" s="1">
        <f>+'Colorado Health'!B17+'Compass (dbs Meritus)'!B17+'Consumers Choice'!B17+CoOportunity!B17+'Coordinated Hlth'!B17+ELNY!B17+'First Natl (Thrnr)'!B17+'Freelancers CO-OP'!B17+HealthyCT!B17+'Land of Lincoln'!B17+Lumbermens!B17+'Memorial Service'!B17+NNIC!B17+Reliance!B17+'Standard Life IN'!B17+'Universal Health Care'!B17</f>
        <v>5389.0295755017578</v>
      </c>
      <c r="C17" s="1">
        <f>+'Colorado Health'!C17+'Compass (dbs Meritus)'!C17+'Consumers Choice'!C17+CoOportunity!C17+'Coordinated Hlth'!C17+ELNY!C17+'First Natl (Thrnr)'!C17+'Freelancers CO-OP'!C17+HealthyCT!C17+'Land of Lincoln'!C17+Lumbermens!C17+'Memorial Service'!C17+NNIC!C17+Reliance!C17+'Standard Life IN'!C17+'Universal Health Care'!C17</f>
        <v>637940.89292296336</v>
      </c>
      <c r="D17" s="1">
        <f>+'Colorado Health'!D17+'Compass (dbs Meritus)'!D17+'Consumers Choice'!D17+CoOportunity!D17+'Coordinated Hlth'!D17+ELNY!D17+'First Natl (Thrnr)'!D17+'Freelancers CO-OP'!D17+HealthyCT!D17+'Land of Lincoln'!D17+Lumbermens!D17+'Memorial Service'!D17+NNIC!D17+Reliance!D17+'Standard Life IN'!D17+'Universal Health Care'!D17</f>
        <v>274650.13709917059</v>
      </c>
      <c r="E17" s="1">
        <f>+'Colorado Health'!E17+'Compass (dbs Meritus)'!E17+'Consumers Choice'!E17+CoOportunity!E17+'Coordinated Hlth'!E17+ELNY!E17+'First Natl (Thrnr)'!E17+'Freelancers CO-OP'!E17+HealthyCT!E17+'Land of Lincoln'!E17+Lumbermens!E17+'Memorial Service'!E17+NNIC!E17+Reliance!E17+'Standard Life IN'!E17+'Universal Health Care'!E17</f>
        <v>0</v>
      </c>
      <c r="F17" s="1">
        <f>+'Colorado Health'!F17+'Compass (dbs Meritus)'!F17+'Consumers Choice'!F17+CoOportunity!F17+'Coordinated Hlth'!F17+ELNY!F17+'First Natl (Thrnr)'!F17+'Freelancers CO-OP'!F17+HealthyCT!F17+'Land of Lincoln'!F17+Lumbermens!F17+'Memorial Service'!F17+NNIC!F17+Reliance!F17+'Standard Life IN'!F17+'Universal Health Care'!F17</f>
        <v>0</v>
      </c>
      <c r="G17" s="1">
        <f t="shared" si="0"/>
        <v>917980.05959763576</v>
      </c>
      <c r="H17" s="1">
        <f>+'Colorado Health'!G17+'Compass (dbs Meritus)'!G17+'Consumers Choice'!G17+CoOportunity!G17+'Coordinated Hlth'!G17+ELNY!G17+'First Natl (Thrnr)'!G17+'Freelancers CO-OP'!G17+HealthyCT!G17+'Land of Lincoln'!G17+Lumbermens!G17+'Memorial Service'!G17+NNIC!G17+Reliance!G17+'Standard Life IN'!G17+'Universal Health Care'!G17</f>
        <v>917980.05959763576</v>
      </c>
      <c r="I17" s="1">
        <f t="shared" si="1"/>
        <v>0</v>
      </c>
      <c r="K17" s="1" t="s">
        <v>318</v>
      </c>
      <c r="L17" s="1">
        <f>Summary!TOTAL_74926</f>
        <v>67278973.65409556</v>
      </c>
    </row>
    <row r="18" spans="1:12">
      <c r="A18" s="1" t="s">
        <v>30</v>
      </c>
      <c r="B18" s="1">
        <f>+'Colorado Health'!B18+'Compass (dbs Meritus)'!B18+'Consumers Choice'!B18+CoOportunity!B18+'Coordinated Hlth'!B18+ELNY!B18+'First Natl (Thrnr)'!B18+'Freelancers CO-OP'!B18+HealthyCT!B18+'Land of Lincoln'!B18+Lumbermens!B18+'Memorial Service'!B18+NNIC!B18+Reliance!B18+'Standard Life IN'!B18+'Universal Health Care'!B18</f>
        <v>0</v>
      </c>
      <c r="C18" s="1">
        <f>+'Colorado Health'!C18+'Compass (dbs Meritus)'!C18+'Consumers Choice'!C18+CoOportunity!C18+'Coordinated Hlth'!C18+ELNY!C18+'First Natl (Thrnr)'!C18+'Freelancers CO-OP'!C18+HealthyCT!C18+'Land of Lincoln'!C18+Lumbermens!C18+'Memorial Service'!C18+NNIC!C18+Reliance!C18+'Standard Life IN'!C18+'Universal Health Care'!C18</f>
        <v>325651.19066075643</v>
      </c>
      <c r="D18" s="1">
        <f>+'Colorado Health'!D18+'Compass (dbs Meritus)'!D18+'Consumers Choice'!D18+CoOportunity!D18+'Coordinated Hlth'!D18+ELNY!D18+'First Natl (Thrnr)'!D18+'Freelancers CO-OP'!D18+HealthyCT!D18+'Land of Lincoln'!D18+Lumbermens!D18+'Memorial Service'!D18+NNIC!D18+Reliance!D18+'Standard Life IN'!D18+'Universal Health Care'!D18</f>
        <v>15632.169999999998</v>
      </c>
      <c r="E18" s="1">
        <f>+'Colorado Health'!E18+'Compass (dbs Meritus)'!E18+'Consumers Choice'!E18+CoOportunity!E18+'Coordinated Hlth'!E18+ELNY!E18+'First Natl (Thrnr)'!E18+'Freelancers CO-OP'!E18+HealthyCT!E18+'Land of Lincoln'!E18+Lumbermens!E18+'Memorial Service'!E18+NNIC!E18+Reliance!E18+'Standard Life IN'!E18+'Universal Health Care'!E18</f>
        <v>0</v>
      </c>
      <c r="F18" s="1">
        <f>+'Colorado Health'!F18+'Compass (dbs Meritus)'!F18+'Consumers Choice'!F18+CoOportunity!F18+'Coordinated Hlth'!F18+ELNY!F18+'First Natl (Thrnr)'!F18+'Freelancers CO-OP'!F18+HealthyCT!F18+'Land of Lincoln'!F18+Lumbermens!F18+'Memorial Service'!F18+NNIC!F18+Reliance!F18+'Standard Life IN'!F18+'Universal Health Care'!F18</f>
        <v>0</v>
      </c>
      <c r="G18" s="1">
        <f t="shared" si="0"/>
        <v>341283.36066075641</v>
      </c>
      <c r="H18" s="1">
        <f>+'Colorado Health'!G18+'Compass (dbs Meritus)'!G18+'Consumers Choice'!G18+CoOportunity!G18+'Coordinated Hlth'!G18+ELNY!G18+'First Natl (Thrnr)'!G18+'Freelancers CO-OP'!G18+HealthyCT!G18+'Land of Lincoln'!G18+Lumbermens!G18+'Memorial Service'!G18+NNIC!G18+Reliance!G18+'Standard Life IN'!G18+'Universal Health Care'!G18</f>
        <v>341283.36066075641</v>
      </c>
      <c r="I18" s="1">
        <f t="shared" si="1"/>
        <v>0</v>
      </c>
      <c r="K18" s="1" t="s">
        <v>321</v>
      </c>
      <c r="L18" s="1">
        <f>Summary!TOTAL_23914</f>
        <v>5850842.055905154</v>
      </c>
    </row>
    <row r="19" spans="1:12">
      <c r="A19" s="1" t="s">
        <v>32</v>
      </c>
      <c r="B19" s="1">
        <f>+'Colorado Health'!B19+'Compass (dbs Meritus)'!B19+'Consumers Choice'!B19+CoOportunity!B19+'Coordinated Hlth'!B19+ELNY!B19+'First Natl (Thrnr)'!B19+'Freelancers CO-OP'!B19+HealthyCT!B19+'Land of Lincoln'!B19+Lumbermens!B19+'Memorial Service'!B19+NNIC!B19+Reliance!B19+'Standard Life IN'!B19+'Universal Health Care'!B19</f>
        <v>17820.804736599675</v>
      </c>
      <c r="C19" s="1">
        <f>+'Colorado Health'!C19+'Compass (dbs Meritus)'!C19+'Consumers Choice'!C19+CoOportunity!C19+'Coordinated Hlth'!C19+ELNY!C19+'First Natl (Thrnr)'!C19+'Freelancers CO-OP'!C19+HealthyCT!C19+'Land of Lincoln'!C19+Lumbermens!C19+'Memorial Service'!C19+NNIC!C19+Reliance!C19+'Standard Life IN'!C19+'Universal Health Care'!C19</f>
        <v>22209960.239322253</v>
      </c>
      <c r="D19" s="1">
        <f>+'Colorado Health'!D19+'Compass (dbs Meritus)'!D19+'Consumers Choice'!D19+CoOportunity!D19+'Coordinated Hlth'!D19+ELNY!D19+'First Natl (Thrnr)'!D19+'Freelancers CO-OP'!D19+HealthyCT!D19+'Land of Lincoln'!D19+Lumbermens!D19+'Memorial Service'!D19+NNIC!D19+Reliance!D19+'Standard Life IN'!D19+'Universal Health Care'!D19</f>
        <v>10382238.101522194</v>
      </c>
      <c r="E19" s="1">
        <f>+'Colorado Health'!E19+'Compass (dbs Meritus)'!E19+'Consumers Choice'!E19+CoOportunity!E19+'Coordinated Hlth'!E19+ELNY!E19+'First Natl (Thrnr)'!E19+'Freelancers CO-OP'!E19+HealthyCT!E19+'Land of Lincoln'!E19+Lumbermens!E19+'Memorial Service'!E19+NNIC!E19+Reliance!E19+'Standard Life IN'!E19+'Universal Health Care'!E19</f>
        <v>0</v>
      </c>
      <c r="F19" s="1">
        <f>+'Colorado Health'!F19+'Compass (dbs Meritus)'!F19+'Consumers Choice'!F19+CoOportunity!F19+'Coordinated Hlth'!F19+ELNY!F19+'First Natl (Thrnr)'!F19+'Freelancers CO-OP'!F19+HealthyCT!F19+'Land of Lincoln'!F19+Lumbermens!F19+'Memorial Service'!F19+NNIC!F19+Reliance!F19+'Standard Life IN'!F19+'Universal Health Care'!F19</f>
        <v>0</v>
      </c>
      <c r="G19" s="1">
        <f t="shared" si="0"/>
        <v>32610019.145581044</v>
      </c>
      <c r="H19" s="1">
        <f>+'Colorado Health'!G19+'Compass (dbs Meritus)'!G19+'Consumers Choice'!G19+CoOportunity!G19+'Coordinated Hlth'!G19+ELNY!G19+'First Natl (Thrnr)'!G19+'Freelancers CO-OP'!G19+HealthyCT!G19+'Land of Lincoln'!G19+Lumbermens!G19+'Memorial Service'!G19+NNIC!G19+Reliance!G19+'Standard Life IN'!G19+'Universal Health Care'!G19</f>
        <v>32610019.145581044</v>
      </c>
      <c r="I19" s="1">
        <f t="shared" si="1"/>
        <v>0</v>
      </c>
      <c r="K19" s="1" t="s">
        <v>325</v>
      </c>
      <c r="L19" s="1">
        <f>Summary!TOTAL_24457</f>
        <v>512896.03600000095</v>
      </c>
    </row>
    <row r="20" spans="1:12">
      <c r="A20" s="1" t="s">
        <v>34</v>
      </c>
      <c r="B20" s="1">
        <f>+'Colorado Health'!B20+'Compass (dbs Meritus)'!B20+'Consumers Choice'!B20+CoOportunity!B20+'Coordinated Hlth'!B20+ELNY!B20+'First Natl (Thrnr)'!B20+'Freelancers CO-OP'!B20+HealthyCT!B20+'Land of Lincoln'!B20+Lumbermens!B20+'Memorial Service'!B20+NNIC!B20+Reliance!B20+'Standard Life IN'!B20+'Universal Health Care'!B20</f>
        <v>0</v>
      </c>
      <c r="C20" s="1">
        <f>+'Colorado Health'!C20+'Compass (dbs Meritus)'!C20+'Consumers Choice'!C20+CoOportunity!C20+'Coordinated Hlth'!C20+ELNY!C20+'First Natl (Thrnr)'!C20+'Freelancers CO-OP'!C20+HealthyCT!C20+'Land of Lincoln'!C20+Lumbermens!C20+'Memorial Service'!C20+NNIC!C20+Reliance!C20+'Standard Life IN'!C20+'Universal Health Care'!C20</f>
        <v>1583998.1583730732</v>
      </c>
      <c r="D20" s="1">
        <f>+'Colorado Health'!D20+'Compass (dbs Meritus)'!D20+'Consumers Choice'!D20+CoOportunity!D20+'Coordinated Hlth'!D20+ELNY!D20+'First Natl (Thrnr)'!D20+'Freelancers CO-OP'!D20+HealthyCT!D20+'Land of Lincoln'!D20+Lumbermens!D20+'Memorial Service'!D20+NNIC!D20+Reliance!D20+'Standard Life IN'!D20+'Universal Health Care'!D20</f>
        <v>63094.971361961754</v>
      </c>
      <c r="E20" s="1">
        <f>+'Colorado Health'!E20+'Compass (dbs Meritus)'!E20+'Consumers Choice'!E20+CoOportunity!E20+'Coordinated Hlth'!E20+ELNY!E20+'First Natl (Thrnr)'!E20+'Freelancers CO-OP'!E20+HealthyCT!E20+'Land of Lincoln'!E20+Lumbermens!E20+'Memorial Service'!E20+NNIC!E20+Reliance!E20+'Standard Life IN'!E20+'Universal Health Care'!E20</f>
        <v>0</v>
      </c>
      <c r="F20" s="1">
        <f>+'Colorado Health'!F20+'Compass (dbs Meritus)'!F20+'Consumers Choice'!F20+CoOportunity!F20+'Coordinated Hlth'!F20+ELNY!F20+'First Natl (Thrnr)'!F20+'Freelancers CO-OP'!F20+HealthyCT!F20+'Land of Lincoln'!F20+Lumbermens!F20+'Memorial Service'!F20+NNIC!F20+Reliance!F20+'Standard Life IN'!F20+'Universal Health Care'!F20</f>
        <v>0</v>
      </c>
      <c r="G20" s="1">
        <f t="shared" si="0"/>
        <v>1647093.1297350349</v>
      </c>
      <c r="H20" s="1">
        <f>+'Colorado Health'!G20+'Compass (dbs Meritus)'!G20+'Consumers Choice'!G20+CoOportunity!G20+'Coordinated Hlth'!G20+ELNY!G20+'First Natl (Thrnr)'!G20+'Freelancers CO-OP'!G20+HealthyCT!G20+'Land of Lincoln'!G20+Lumbermens!G20+'Memorial Service'!G20+NNIC!G20+Reliance!G20+'Standard Life IN'!G20+'Universal Health Care'!G20</f>
        <v>1647093.1297350349</v>
      </c>
      <c r="I20" s="1">
        <f t="shared" si="1"/>
        <v>0</v>
      </c>
      <c r="K20" s="1" t="s">
        <v>330</v>
      </c>
      <c r="L20" s="1">
        <f>Summary!TOTAL_69051</f>
        <v>3028888.897625369</v>
      </c>
    </row>
    <row r="21" spans="1:12">
      <c r="A21" s="1" t="s">
        <v>36</v>
      </c>
      <c r="B21" s="1">
        <f>+'Colorado Health'!B21+'Compass (dbs Meritus)'!B21+'Consumers Choice'!B21+CoOportunity!B21+'Coordinated Hlth'!B21+ELNY!B21+'First Natl (Thrnr)'!B21+'Freelancers CO-OP'!B21+HealthyCT!B21+'Land of Lincoln'!B21+Lumbermens!B21+'Memorial Service'!B21+NNIC!B21+Reliance!B21+'Standard Life IN'!B21+'Universal Health Care'!B21</f>
        <v>0</v>
      </c>
      <c r="C21" s="1">
        <f>+'Colorado Health'!C21+'Compass (dbs Meritus)'!C21+'Consumers Choice'!C21+CoOportunity!C21+'Coordinated Hlth'!C21+ELNY!C21+'First Natl (Thrnr)'!C21+'Freelancers CO-OP'!C21+HealthyCT!C21+'Land of Lincoln'!C21+Lumbermens!C21+'Memorial Service'!C21+NNIC!C21+Reliance!C21+'Standard Life IN'!C21+'Universal Health Care'!C21</f>
        <v>3955528.615744995</v>
      </c>
      <c r="D21" s="1">
        <f>+'Colorado Health'!D21+'Compass (dbs Meritus)'!D21+'Consumers Choice'!D21+CoOportunity!D21+'Coordinated Hlth'!D21+ELNY!D21+'First Natl (Thrnr)'!D21+'Freelancers CO-OP'!D21+HealthyCT!D21+'Land of Lincoln'!D21+Lumbermens!D21+'Memorial Service'!D21+NNIC!D21+Reliance!D21+'Standard Life IN'!D21+'Universal Health Care'!D21</f>
        <v>10042949.027579136</v>
      </c>
      <c r="E21" s="1">
        <f>+'Colorado Health'!E21+'Compass (dbs Meritus)'!E21+'Consumers Choice'!E21+CoOportunity!E21+'Coordinated Hlth'!E21+ELNY!E21+'First Natl (Thrnr)'!E21+'Freelancers CO-OP'!E21+HealthyCT!E21+'Land of Lincoln'!E21+Lumbermens!E21+'Memorial Service'!E21+NNIC!E21+Reliance!E21+'Standard Life IN'!E21+'Universal Health Care'!E21</f>
        <v>0</v>
      </c>
      <c r="F21" s="1">
        <f>+'Colorado Health'!F21+'Compass (dbs Meritus)'!F21+'Consumers Choice'!F21+CoOportunity!F21+'Coordinated Hlth'!F21+ELNY!F21+'First Natl (Thrnr)'!F21+'Freelancers CO-OP'!F21+HealthyCT!F21+'Land of Lincoln'!F21+Lumbermens!F21+'Memorial Service'!F21+NNIC!F21+Reliance!F21+'Standard Life IN'!F21+'Universal Health Care'!F21</f>
        <v>0</v>
      </c>
      <c r="G21" s="1">
        <f t="shared" si="0"/>
        <v>13998477.643324131</v>
      </c>
      <c r="H21" s="1">
        <f>+'Colorado Health'!G21+'Compass (dbs Meritus)'!G21+'Consumers Choice'!G21+CoOportunity!G21+'Coordinated Hlth'!G21+ELNY!G21+'First Natl (Thrnr)'!G21+'Freelancers CO-OP'!G21+HealthyCT!G21+'Land of Lincoln'!G21+Lumbermens!G21+'Memorial Service'!G21+NNIC!G21+Reliance!G21+'Standard Life IN'!G21+'Universal Health Care'!G21</f>
        <v>13998477.643324131</v>
      </c>
      <c r="I21" s="1">
        <f t="shared" si="1"/>
        <v>0</v>
      </c>
      <c r="K21" s="1" t="s">
        <v>335</v>
      </c>
      <c r="L21" s="1">
        <f>Summary!TOTAL_12577</f>
        <v>-1166994.4613558461</v>
      </c>
    </row>
    <row r="22" spans="1:12">
      <c r="A22" s="1" t="s">
        <v>38</v>
      </c>
      <c r="B22" s="1">
        <f>+'Colorado Health'!B22+'Compass (dbs Meritus)'!B22+'Consumers Choice'!B22+CoOportunity!B22+'Coordinated Hlth'!B22+ELNY!B22+'First Natl (Thrnr)'!B22+'Freelancers CO-OP'!B22+HealthyCT!B22+'Land of Lincoln'!B22+Lumbermens!B22+'Memorial Service'!B22+NNIC!B22+Reliance!B22+'Standard Life IN'!B22+'Universal Health Care'!B22</f>
        <v>6472.7435066686012</v>
      </c>
      <c r="C22" s="1">
        <f>+'Colorado Health'!C22+'Compass (dbs Meritus)'!C22+'Consumers Choice'!C22+CoOportunity!C22+'Coordinated Hlth'!C22+ELNY!C22+'First Natl (Thrnr)'!C22+'Freelancers CO-OP'!C22+HealthyCT!C22+'Land of Lincoln'!C22+Lumbermens!C22+'Memorial Service'!C22+NNIC!C22+Reliance!C22+'Standard Life IN'!C22+'Universal Health Care'!C22</f>
        <v>108372.01875784626</v>
      </c>
      <c r="D22" s="1">
        <f>+'Colorado Health'!D22+'Compass (dbs Meritus)'!D22+'Consumers Choice'!D22+CoOportunity!D22+'Coordinated Hlth'!D22+ELNY!D22+'First Natl (Thrnr)'!D22+'Freelancers CO-OP'!D22+HealthyCT!D22+'Land of Lincoln'!D22+Lumbermens!D22+'Memorial Service'!D22+NNIC!D22+Reliance!D22+'Standard Life IN'!D22+'Universal Health Care'!D22</f>
        <v>33321.348070223758</v>
      </c>
      <c r="E22" s="1">
        <f>+'Colorado Health'!E22+'Compass (dbs Meritus)'!E22+'Consumers Choice'!E22+CoOportunity!E22+'Coordinated Hlth'!E22+ELNY!E22+'First Natl (Thrnr)'!E22+'Freelancers CO-OP'!E22+HealthyCT!E22+'Land of Lincoln'!E22+Lumbermens!E22+'Memorial Service'!E22+NNIC!E22+Reliance!E22+'Standard Life IN'!E22+'Universal Health Care'!E22</f>
        <v>0</v>
      </c>
      <c r="F22" s="1">
        <f>+'Colorado Health'!F22+'Compass (dbs Meritus)'!F22+'Consumers Choice'!F22+CoOportunity!F22+'Coordinated Hlth'!F22+ELNY!F22+'First Natl (Thrnr)'!F22+'Freelancers CO-OP'!F22+HealthyCT!F22+'Land of Lincoln'!F22+Lumbermens!F22+'Memorial Service'!F22+NNIC!F22+Reliance!F22+'Standard Life IN'!F22+'Universal Health Care'!F22</f>
        <v>0</v>
      </c>
      <c r="G22" s="1">
        <f t="shared" si="0"/>
        <v>148166.11033473862</v>
      </c>
      <c r="H22" s="1">
        <f>+'Colorado Health'!G22+'Compass (dbs Meritus)'!G22+'Consumers Choice'!G22+CoOportunity!G22+'Coordinated Hlth'!G22+ELNY!G22+'First Natl (Thrnr)'!G22+'Freelancers CO-OP'!G22+HealthyCT!G22+'Land of Lincoln'!G22+Lumbermens!G22+'Memorial Service'!G22+NNIC!G22+Reliance!G22+'Standard Life IN'!G22+'Universal Health Care'!G22</f>
        <v>148166.11033473862</v>
      </c>
      <c r="I22" s="1">
        <f t="shared" si="1"/>
        <v>0</v>
      </c>
    </row>
    <row r="23" spans="1:12">
      <c r="A23" s="1" t="s">
        <v>40</v>
      </c>
      <c r="B23" s="1">
        <f>+'Colorado Health'!B23+'Compass (dbs Meritus)'!B23+'Consumers Choice'!B23+CoOportunity!B23+'Coordinated Hlth'!B23+ELNY!B23+'First Natl (Thrnr)'!B23+'Freelancers CO-OP'!B23+HealthyCT!B23+'Land of Lincoln'!B23+Lumbermens!B23+'Memorial Service'!B23+NNIC!B23+Reliance!B23+'Standard Life IN'!B23+'Universal Health Care'!B23</f>
        <v>5861.6913727293722</v>
      </c>
      <c r="C23" s="1">
        <f>+'Colorado Health'!C23+'Compass (dbs Meritus)'!C23+'Consumers Choice'!C23+CoOportunity!C23+'Coordinated Hlth'!C23+ELNY!C23+'First Natl (Thrnr)'!C23+'Freelancers CO-OP'!C23+HealthyCT!C23+'Land of Lincoln'!C23+Lumbermens!C23+'Memorial Service'!C23+NNIC!C23+Reliance!C23+'Standard Life IN'!C23+'Universal Health Care'!C23</f>
        <v>1184383.5879680088</v>
      </c>
      <c r="D23" s="1">
        <f>+'Colorado Health'!D23+'Compass (dbs Meritus)'!D23+'Consumers Choice'!D23+CoOportunity!D23+'Coordinated Hlth'!D23+ELNY!D23+'First Natl (Thrnr)'!D23+'Freelancers CO-OP'!D23+HealthyCT!D23+'Land of Lincoln'!D23+Lumbermens!D23+'Memorial Service'!D23+NNIC!D23+Reliance!D23+'Standard Life IN'!D23+'Universal Health Care'!D23</f>
        <v>90532.334722634638</v>
      </c>
      <c r="E23" s="1">
        <f>+'Colorado Health'!E23+'Compass (dbs Meritus)'!E23+'Consumers Choice'!E23+CoOportunity!E23+'Coordinated Hlth'!E23+ELNY!E23+'First Natl (Thrnr)'!E23+'Freelancers CO-OP'!E23+HealthyCT!E23+'Land of Lincoln'!E23+Lumbermens!E23+'Memorial Service'!E23+NNIC!E23+Reliance!E23+'Standard Life IN'!E23+'Universal Health Care'!E23</f>
        <v>0</v>
      </c>
      <c r="F23" s="1">
        <f>+'Colorado Health'!F23+'Compass (dbs Meritus)'!F23+'Consumers Choice'!F23+CoOportunity!F23+'Coordinated Hlth'!F23+ELNY!F23+'First Natl (Thrnr)'!F23+'Freelancers CO-OP'!F23+HealthyCT!F23+'Land of Lincoln'!F23+Lumbermens!F23+'Memorial Service'!F23+NNIC!F23+Reliance!F23+'Standard Life IN'!F23+'Universal Health Care'!F23</f>
        <v>0</v>
      </c>
      <c r="G23" s="1">
        <f t="shared" si="0"/>
        <v>1280777.6140633728</v>
      </c>
      <c r="H23" s="1">
        <f>+'Colorado Health'!G23+'Compass (dbs Meritus)'!G23+'Consumers Choice'!G23+CoOportunity!G23+'Coordinated Hlth'!G23+ELNY!G23+'First Natl (Thrnr)'!G23+'Freelancers CO-OP'!G23+HealthyCT!G23+'Land of Lincoln'!G23+Lumbermens!G23+'Memorial Service'!G23+NNIC!G23+Reliance!G23+'Standard Life IN'!G23+'Universal Health Care'!G23</f>
        <v>1280777.6140633728</v>
      </c>
      <c r="I23" s="1">
        <f t="shared" si="1"/>
        <v>0</v>
      </c>
      <c r="K23" s="1" t="s">
        <v>8</v>
      </c>
      <c r="L23" s="1">
        <f>SUM(REC_TOTAL)</f>
        <v>1088315468.8632371</v>
      </c>
    </row>
    <row r="24" spans="1:12">
      <c r="A24" s="1" t="s">
        <v>42</v>
      </c>
      <c r="B24" s="1">
        <f>+'Colorado Health'!B24+'Compass (dbs Meritus)'!B24+'Consumers Choice'!B24+CoOportunity!B24+'Coordinated Hlth'!B24+ELNY!B24+'First Natl (Thrnr)'!B24+'Freelancers CO-OP'!B24+HealthyCT!B24+'Land of Lincoln'!B24+Lumbermens!B24+'Memorial Service'!B24+NNIC!B24+Reliance!B24+'Standard Life IN'!B24+'Universal Health Care'!B24</f>
        <v>12699.319541319972</v>
      </c>
      <c r="C24" s="1">
        <f>+'Colorado Health'!C24+'Compass (dbs Meritus)'!C24+'Consumers Choice'!C24+CoOportunity!C24+'Coordinated Hlth'!C24+ELNY!C24+'First Natl (Thrnr)'!C24+'Freelancers CO-OP'!C24+HealthyCT!C24+'Land of Lincoln'!C24+Lumbermens!C24+'Memorial Service'!C24+NNIC!C24+Reliance!C24+'Standard Life IN'!C24+'Universal Health Care'!C24</f>
        <v>102122.18105800184</v>
      </c>
      <c r="D24" s="1">
        <f>+'Colorado Health'!D24+'Compass (dbs Meritus)'!D24+'Consumers Choice'!D24+CoOportunity!D24+'Coordinated Hlth'!D24+ELNY!D24+'First Natl (Thrnr)'!D24+'Freelancers CO-OP'!D24+HealthyCT!D24+'Land of Lincoln'!D24+Lumbermens!D24+'Memorial Service'!D24+NNIC!D24+Reliance!D24+'Standard Life IN'!D24+'Universal Health Care'!D24</f>
        <v>51233.83324345007</v>
      </c>
      <c r="E24" s="1">
        <f>+'Colorado Health'!E24+'Compass (dbs Meritus)'!E24+'Consumers Choice'!E24+CoOportunity!E24+'Coordinated Hlth'!E24+ELNY!E24+'First Natl (Thrnr)'!E24+'Freelancers CO-OP'!E24+HealthyCT!E24+'Land of Lincoln'!E24+Lumbermens!E24+'Memorial Service'!E24+NNIC!E24+Reliance!E24+'Standard Life IN'!E24+'Universal Health Care'!E24</f>
        <v>0</v>
      </c>
      <c r="F24" s="1">
        <f>+'Colorado Health'!F24+'Compass (dbs Meritus)'!F24+'Consumers Choice'!F24+CoOportunity!F24+'Coordinated Hlth'!F24+ELNY!F24+'First Natl (Thrnr)'!F24+'Freelancers CO-OP'!F24+HealthyCT!F24+'Land of Lincoln'!F24+Lumbermens!F24+'Memorial Service'!F24+NNIC!F24+Reliance!F24+'Standard Life IN'!F24+'Universal Health Care'!F24</f>
        <v>0</v>
      </c>
      <c r="G24" s="1">
        <f t="shared" si="0"/>
        <v>166055.33384277188</v>
      </c>
      <c r="H24" s="1">
        <f>+'Colorado Health'!G24+'Compass (dbs Meritus)'!G24+'Consumers Choice'!G24+CoOportunity!G24+'Coordinated Hlth'!G24+ELNY!G24+'First Natl (Thrnr)'!G24+'Freelancers CO-OP'!G24+HealthyCT!G24+'Land of Lincoln'!G24+Lumbermens!G24+'Memorial Service'!G24+NNIC!G24+Reliance!G24+'Standard Life IN'!G24+'Universal Health Care'!G24</f>
        <v>166055.33384277188</v>
      </c>
      <c r="I24" s="1">
        <f t="shared" si="1"/>
        <v>0</v>
      </c>
      <c r="K24" s="1" t="s">
        <v>699</v>
      </c>
      <c r="L24" s="1">
        <f>SUM(TOTAL)</f>
        <v>1088315468.8632369</v>
      </c>
    </row>
    <row r="25" spans="1:12">
      <c r="A25" s="1" t="s">
        <v>44</v>
      </c>
      <c r="B25" s="1">
        <f>+'Colorado Health'!B25+'Compass (dbs Meritus)'!B25+'Consumers Choice'!B25+CoOportunity!B25+'Coordinated Hlth'!B25+ELNY!B25+'First Natl (Thrnr)'!B25+'Freelancers CO-OP'!B25+HealthyCT!B25+'Land of Lincoln'!B25+Lumbermens!B25+'Memorial Service'!B25+NNIC!B25+Reliance!B25+'Standard Life IN'!B25+'Universal Health Care'!B25</f>
        <v>0</v>
      </c>
      <c r="C25" s="1">
        <f>+'Colorado Health'!C25+'Compass (dbs Meritus)'!C25+'Consumers Choice'!C25+CoOportunity!C25+'Coordinated Hlth'!C25+ELNY!C25+'First Natl (Thrnr)'!C25+'Freelancers CO-OP'!C25+HealthyCT!C25+'Land of Lincoln'!C25+Lumbermens!C25+'Memorial Service'!C25+NNIC!C25+Reliance!C25+'Standard Life IN'!C25+'Universal Health Care'!C25</f>
        <v>1347394.8288805129</v>
      </c>
      <c r="D25" s="1">
        <f>+'Colorado Health'!D25+'Compass (dbs Meritus)'!D25+'Consumers Choice'!D25+CoOportunity!D25+'Coordinated Hlth'!D25+ELNY!D25+'First Natl (Thrnr)'!D25+'Freelancers CO-OP'!D25+HealthyCT!D25+'Land of Lincoln'!D25+Lumbermens!D25+'Memorial Service'!D25+NNIC!D25+Reliance!D25+'Standard Life IN'!D25+'Universal Health Care'!D25</f>
        <v>233582.78447060424</v>
      </c>
      <c r="E25" s="1">
        <f>+'Colorado Health'!E25+'Compass (dbs Meritus)'!E25+'Consumers Choice'!E25+CoOportunity!E25+'Coordinated Hlth'!E25+ELNY!E25+'First Natl (Thrnr)'!E25+'Freelancers CO-OP'!E25+HealthyCT!E25+'Land of Lincoln'!E25+Lumbermens!E25+'Memorial Service'!E25+NNIC!E25+Reliance!E25+'Standard Life IN'!E25+'Universal Health Care'!E25</f>
        <v>0</v>
      </c>
      <c r="F25" s="1">
        <f>+'Colorado Health'!F25+'Compass (dbs Meritus)'!F25+'Consumers Choice'!F25+CoOportunity!F25+'Coordinated Hlth'!F25+ELNY!F25+'First Natl (Thrnr)'!F25+'Freelancers CO-OP'!F25+HealthyCT!F25+'Land of Lincoln'!F25+Lumbermens!F25+'Memorial Service'!F25+NNIC!F25+Reliance!F25+'Standard Life IN'!F25+'Universal Health Care'!F25</f>
        <v>0</v>
      </c>
      <c r="G25" s="1">
        <f t="shared" si="0"/>
        <v>1580977.6133511171</v>
      </c>
      <c r="H25" s="1">
        <f>+'Colorado Health'!G25+'Compass (dbs Meritus)'!G25+'Consumers Choice'!G25+CoOportunity!G25+'Coordinated Hlth'!G25+ELNY!G25+'First Natl (Thrnr)'!G25+'Freelancers CO-OP'!G25+HealthyCT!G25+'Land of Lincoln'!G25+Lumbermens!G25+'Memorial Service'!G25+NNIC!G25+Reliance!G25+'Standard Life IN'!G25+'Universal Health Care'!G25</f>
        <v>1580977.6133511171</v>
      </c>
      <c r="I25" s="1">
        <f t="shared" si="1"/>
        <v>0</v>
      </c>
      <c r="L25" s="1">
        <f>SUM(TOTAL)-SUM(REC_TOTAL)</f>
        <v>0</v>
      </c>
    </row>
    <row r="26" spans="1:12">
      <c r="A26" s="1" t="s">
        <v>45</v>
      </c>
      <c r="B26" s="1">
        <f>+'Colorado Health'!B26+'Compass (dbs Meritus)'!B26+'Consumers Choice'!B26+CoOportunity!B26+'Coordinated Hlth'!B26+ELNY!B26+'First Natl (Thrnr)'!B26+'Freelancers CO-OP'!B26+HealthyCT!B26+'Land of Lincoln'!B26+Lumbermens!B26+'Memorial Service'!B26+NNIC!B26+Reliance!B26+'Standard Life IN'!B26+'Universal Health Care'!B26</f>
        <v>22766.076258009591</v>
      </c>
      <c r="C26" s="1">
        <f>+'Colorado Health'!C26+'Compass (dbs Meritus)'!C26+'Consumers Choice'!C26+CoOportunity!C26+'Coordinated Hlth'!C26+ELNY!C26+'First Natl (Thrnr)'!C26+'Freelancers CO-OP'!C26+HealthyCT!C26+'Land of Lincoln'!C26+Lumbermens!C26+'Memorial Service'!C26+NNIC!C26+Reliance!C26+'Standard Life IN'!C26+'Universal Health Care'!C26</f>
        <v>5995444.0954837538</v>
      </c>
      <c r="D26" s="1">
        <f>+'Colorado Health'!D26+'Compass (dbs Meritus)'!D26+'Consumers Choice'!D26+CoOportunity!D26+'Coordinated Hlth'!D26+ELNY!D26+'First Natl (Thrnr)'!D26+'Freelancers CO-OP'!D26+HealthyCT!D26+'Land of Lincoln'!D26+Lumbermens!D26+'Memorial Service'!D26+NNIC!D26+Reliance!D26+'Standard Life IN'!D26+'Universal Health Care'!D26</f>
        <v>974973.53438276099</v>
      </c>
      <c r="E26" s="1">
        <f>+'Colorado Health'!E26+'Compass (dbs Meritus)'!E26+'Consumers Choice'!E26+CoOportunity!E26+'Coordinated Hlth'!E26+ELNY!E26+'First Natl (Thrnr)'!E26+'Freelancers CO-OP'!E26+HealthyCT!E26+'Land of Lincoln'!E26+Lumbermens!E26+'Memorial Service'!E26+NNIC!E26+Reliance!E26+'Standard Life IN'!E26+'Universal Health Care'!E26</f>
        <v>0</v>
      </c>
      <c r="F26" s="1">
        <f>+'Colorado Health'!F26+'Compass (dbs Meritus)'!F26+'Consumers Choice'!F26+CoOportunity!F26+'Coordinated Hlth'!F26+ELNY!F26+'First Natl (Thrnr)'!F26+'Freelancers CO-OP'!F26+HealthyCT!F26+'Land of Lincoln'!F26+Lumbermens!F26+'Memorial Service'!F26+NNIC!F26+Reliance!F26+'Standard Life IN'!F26+'Universal Health Care'!F26</f>
        <v>0</v>
      </c>
      <c r="G26" s="1">
        <f t="shared" si="0"/>
        <v>6993183.7061245237</v>
      </c>
      <c r="H26" s="1">
        <f>+'Colorado Health'!G26+'Compass (dbs Meritus)'!G26+'Consumers Choice'!G26+CoOportunity!G26+'Coordinated Hlth'!G26+ELNY!G26+'First Natl (Thrnr)'!G26+'Freelancers CO-OP'!G26+HealthyCT!G26+'Land of Lincoln'!G26+Lumbermens!G26+'Memorial Service'!G26+NNIC!G26+Reliance!G26+'Standard Life IN'!G26+'Universal Health Care'!G26</f>
        <v>6993183.7061245237</v>
      </c>
      <c r="I26" s="1">
        <f t="shared" si="1"/>
        <v>0</v>
      </c>
    </row>
    <row r="27" spans="1:12">
      <c r="A27" s="1" t="s">
        <v>47</v>
      </c>
      <c r="B27" s="1">
        <f>+'Colorado Health'!B27+'Compass (dbs Meritus)'!B27+'Consumers Choice'!B27+CoOportunity!B27+'Coordinated Hlth'!B27+ELNY!B27+'First Natl (Thrnr)'!B27+'Freelancers CO-OP'!B27+HealthyCT!B27+'Land of Lincoln'!B27+Lumbermens!B27+'Memorial Service'!B27+NNIC!B27+Reliance!B27+'Standard Life IN'!B27+'Universal Health Care'!B27</f>
        <v>0</v>
      </c>
      <c r="C27" s="1">
        <f>+'Colorado Health'!C27+'Compass (dbs Meritus)'!C27+'Consumers Choice'!C27+CoOportunity!C27+'Coordinated Hlth'!C27+ELNY!C27+'First Natl (Thrnr)'!C27+'Freelancers CO-OP'!C27+HealthyCT!C27+'Land of Lincoln'!C27+Lumbermens!C27+'Memorial Service'!C27+NNIC!C27+Reliance!C27+'Standard Life IN'!C27+'Universal Health Care'!C27</f>
        <v>96032.100758286804</v>
      </c>
      <c r="D27" s="1">
        <f>+'Colorado Health'!D27+'Compass (dbs Meritus)'!D27+'Consumers Choice'!D27+CoOportunity!D27+'Coordinated Hlth'!D27+ELNY!D27+'First Natl (Thrnr)'!D27+'Freelancers CO-OP'!D27+HealthyCT!D27+'Land of Lincoln'!D27+Lumbermens!D27+'Memorial Service'!D27+NNIC!D27+Reliance!D27+'Standard Life IN'!D27+'Universal Health Care'!D27</f>
        <v>938067.14374201</v>
      </c>
      <c r="E27" s="1">
        <f>+'Colorado Health'!E27+'Compass (dbs Meritus)'!E27+'Consumers Choice'!E27+CoOportunity!E27+'Coordinated Hlth'!E27+ELNY!E27+'First Natl (Thrnr)'!E27+'Freelancers CO-OP'!E27+HealthyCT!E27+'Land of Lincoln'!E27+Lumbermens!E27+'Memorial Service'!E27+NNIC!E27+Reliance!E27+'Standard Life IN'!E27+'Universal Health Care'!E27</f>
        <v>0</v>
      </c>
      <c r="F27" s="1">
        <f>+'Colorado Health'!F27+'Compass (dbs Meritus)'!F27+'Consumers Choice'!F27+CoOportunity!F27+'Coordinated Hlth'!F27+ELNY!F27+'First Natl (Thrnr)'!F27+'Freelancers CO-OP'!F27+HealthyCT!F27+'Land of Lincoln'!F27+Lumbermens!F27+'Memorial Service'!F27+NNIC!F27+Reliance!F27+'Standard Life IN'!F27+'Universal Health Care'!F27</f>
        <v>0</v>
      </c>
      <c r="G27" s="1">
        <f t="shared" si="0"/>
        <v>1034099.2445002968</v>
      </c>
      <c r="H27" s="1">
        <f>+'Colorado Health'!G27+'Compass (dbs Meritus)'!G27+'Consumers Choice'!G27+CoOportunity!G27+'Coordinated Hlth'!G27+ELNY!G27+'First Natl (Thrnr)'!G27+'Freelancers CO-OP'!G27+HealthyCT!G27+'Land of Lincoln'!G27+Lumbermens!G27+'Memorial Service'!G27+NNIC!G27+Reliance!G27+'Standard Life IN'!G27+'Universal Health Care'!G27</f>
        <v>1034099.2445002969</v>
      </c>
      <c r="I27" s="1">
        <f t="shared" si="1"/>
        <v>0</v>
      </c>
    </row>
    <row r="28" spans="1:12">
      <c r="A28" s="1" t="s">
        <v>49</v>
      </c>
      <c r="B28" s="1">
        <f>+'Colorado Health'!B28+'Compass (dbs Meritus)'!B28+'Consumers Choice'!B28+CoOportunity!B28+'Coordinated Hlth'!B28+ELNY!B28+'First Natl (Thrnr)'!B28+'Freelancers CO-OP'!B28+HealthyCT!B28+'Land of Lincoln'!B28+Lumbermens!B28+'Memorial Service'!B28+NNIC!B28+Reliance!B28+'Standard Life IN'!B28+'Universal Health Care'!B28</f>
        <v>14419.464044781518</v>
      </c>
      <c r="C28" s="1">
        <f>+'Colorado Health'!C28+'Compass (dbs Meritus)'!C28+'Consumers Choice'!C28+CoOportunity!C28+'Coordinated Hlth'!C28+ELNY!C28+'First Natl (Thrnr)'!C28+'Freelancers CO-OP'!C28+HealthyCT!C28+'Land of Lincoln'!C28+Lumbermens!C28+'Memorial Service'!C28+NNIC!C28+Reliance!C28+'Standard Life IN'!C28+'Universal Health Care'!C28</f>
        <v>12956135.001473496</v>
      </c>
      <c r="D28" s="1">
        <f>+'Colorado Health'!D28+'Compass (dbs Meritus)'!D28+'Consumers Choice'!D28+CoOportunity!D28+'Coordinated Hlth'!D28+ELNY!D28+'First Natl (Thrnr)'!D28+'Freelancers CO-OP'!D28+HealthyCT!D28+'Land of Lincoln'!D28+Lumbermens!D28+'Memorial Service'!D28+NNIC!D28+Reliance!D28+'Standard Life IN'!D28+'Universal Health Care'!D28</f>
        <v>945871.80663373729</v>
      </c>
      <c r="E28" s="1">
        <f>+'Colorado Health'!E28+'Compass (dbs Meritus)'!E28+'Consumers Choice'!E28+CoOportunity!E28+'Coordinated Hlth'!E28+ELNY!E28+'First Natl (Thrnr)'!E28+'Freelancers CO-OP'!E28+HealthyCT!E28+'Land of Lincoln'!E28+Lumbermens!E28+'Memorial Service'!E28+NNIC!E28+Reliance!E28+'Standard Life IN'!E28+'Universal Health Care'!E28</f>
        <v>0</v>
      </c>
      <c r="F28" s="1">
        <f>+'Colorado Health'!F28+'Compass (dbs Meritus)'!F28+'Consumers Choice'!F28+CoOportunity!F28+'Coordinated Hlth'!F28+ELNY!F28+'First Natl (Thrnr)'!F28+'Freelancers CO-OP'!F28+HealthyCT!F28+'Land of Lincoln'!F28+Lumbermens!F28+'Memorial Service'!F28+NNIC!F28+Reliance!F28+'Standard Life IN'!F28+'Universal Health Care'!F28</f>
        <v>0</v>
      </c>
      <c r="G28" s="1">
        <f t="shared" si="0"/>
        <v>13916426.272152014</v>
      </c>
      <c r="H28" s="1">
        <f>+'Colorado Health'!G28+'Compass (dbs Meritus)'!G28+'Consumers Choice'!G28+CoOportunity!G28+'Coordinated Hlth'!G28+ELNY!G28+'First Natl (Thrnr)'!G28+'Freelancers CO-OP'!G28+HealthyCT!G28+'Land of Lincoln'!G28+Lumbermens!G28+'Memorial Service'!G28+NNIC!G28+Reliance!G28+'Standard Life IN'!G28+'Universal Health Care'!G28</f>
        <v>13916426.272152014</v>
      </c>
      <c r="I28" s="1">
        <f t="shared" si="1"/>
        <v>0</v>
      </c>
    </row>
    <row r="29" spans="1:12">
      <c r="A29" s="1" t="s">
        <v>50</v>
      </c>
      <c r="B29" s="1">
        <f>+'Colorado Health'!B29+'Compass (dbs Meritus)'!B29+'Consumers Choice'!B29+CoOportunity!B29+'Coordinated Hlth'!B29+ELNY!B29+'First Natl (Thrnr)'!B29+'Freelancers CO-OP'!B29+HealthyCT!B29+'Land of Lincoln'!B29+Lumbermens!B29+'Memorial Service'!B29+NNIC!B29+Reliance!B29+'Standard Life IN'!B29+'Universal Health Care'!B29</f>
        <v>0</v>
      </c>
      <c r="C29" s="1">
        <f>+'Colorado Health'!C29+'Compass (dbs Meritus)'!C29+'Consumers Choice'!C29+CoOportunity!C29+'Coordinated Hlth'!C29+ELNY!C29+'First Natl (Thrnr)'!C29+'Freelancers CO-OP'!C29+HealthyCT!C29+'Land of Lincoln'!C29+Lumbermens!C29+'Memorial Service'!C29+NNIC!C29+Reliance!C29+'Standard Life IN'!C29+'Universal Health Care'!C29</f>
        <v>4062652.0974184829</v>
      </c>
      <c r="D29" s="1">
        <f>+'Colorado Health'!D29+'Compass (dbs Meritus)'!D29+'Consumers Choice'!D29+CoOportunity!D29+'Coordinated Hlth'!D29+ELNY!D29+'First Natl (Thrnr)'!D29+'Freelancers CO-OP'!D29+HealthyCT!D29+'Land of Lincoln'!D29+Lumbermens!D29+'Memorial Service'!D29+NNIC!D29+Reliance!D29+'Standard Life IN'!D29+'Universal Health Care'!D29</f>
        <v>224238.67513643109</v>
      </c>
      <c r="E29" s="1">
        <f>+'Colorado Health'!E29+'Compass (dbs Meritus)'!E29+'Consumers Choice'!E29+CoOportunity!E29+'Coordinated Hlth'!E29+ELNY!E29+'First Natl (Thrnr)'!E29+'Freelancers CO-OP'!E29+HealthyCT!E29+'Land of Lincoln'!E29+Lumbermens!E29+'Memorial Service'!E29+NNIC!E29+Reliance!E29+'Standard Life IN'!E29+'Universal Health Care'!E29</f>
        <v>0</v>
      </c>
      <c r="F29" s="1">
        <f>+'Colorado Health'!F29+'Compass (dbs Meritus)'!F29+'Consumers Choice'!F29+CoOportunity!F29+'Coordinated Hlth'!F29+ELNY!F29+'First Natl (Thrnr)'!F29+'Freelancers CO-OP'!F29+HealthyCT!F29+'Land of Lincoln'!F29+Lumbermens!F29+'Memorial Service'!F29+NNIC!F29+Reliance!F29+'Standard Life IN'!F29+'Universal Health Care'!F29</f>
        <v>0</v>
      </c>
      <c r="G29" s="1">
        <f t="shared" si="0"/>
        <v>4286890.7725549135</v>
      </c>
      <c r="H29" s="1">
        <f>+'Colorado Health'!G29+'Compass (dbs Meritus)'!G29+'Consumers Choice'!G29+CoOportunity!G29+'Coordinated Hlth'!G29+ELNY!G29+'First Natl (Thrnr)'!G29+'Freelancers CO-OP'!G29+HealthyCT!G29+'Land of Lincoln'!G29+Lumbermens!G29+'Memorial Service'!G29+NNIC!G29+Reliance!G29+'Standard Life IN'!G29+'Universal Health Care'!G29</f>
        <v>4286890.7725549145</v>
      </c>
      <c r="I29" s="1">
        <f t="shared" si="1"/>
        <v>0</v>
      </c>
    </row>
    <row r="30" spans="1:12">
      <c r="A30" s="1" t="s">
        <v>51</v>
      </c>
      <c r="B30" s="1">
        <f>+'Colorado Health'!B30+'Compass (dbs Meritus)'!B30+'Consumers Choice'!B30+CoOportunity!B30+'Coordinated Hlth'!B30+ELNY!B30+'First Natl (Thrnr)'!B30+'Freelancers CO-OP'!B30+HealthyCT!B30+'Land of Lincoln'!B30+Lumbermens!B30+'Memorial Service'!B30+NNIC!B30+Reliance!B30+'Standard Life IN'!B30+'Universal Health Care'!B30</f>
        <v>66069.315828727093</v>
      </c>
      <c r="C30" s="1">
        <f>+'Colorado Health'!C30+'Compass (dbs Meritus)'!C30+'Consumers Choice'!C30+CoOportunity!C30+'Coordinated Hlth'!C30+ELNY!C30+'First Natl (Thrnr)'!C30+'Freelancers CO-OP'!C30+HealthyCT!C30+'Land of Lincoln'!C30+Lumbermens!C30+'Memorial Service'!C30+NNIC!C30+Reliance!C30+'Standard Life IN'!C30+'Universal Health Care'!C30</f>
        <v>1100367.2104394599</v>
      </c>
      <c r="D30" s="1">
        <f>+'Colorado Health'!D30+'Compass (dbs Meritus)'!D30+'Consumers Choice'!D30+CoOportunity!D30+'Coordinated Hlth'!D30+ELNY!D30+'First Natl (Thrnr)'!D30+'Freelancers CO-OP'!D30+HealthyCT!D30+'Land of Lincoln'!D30+Lumbermens!D30+'Memorial Service'!D30+NNIC!D30+Reliance!D30+'Standard Life IN'!D30+'Universal Health Care'!D30</f>
        <v>-102155.88197990593</v>
      </c>
      <c r="E30" s="1">
        <f>+'Colorado Health'!E30+'Compass (dbs Meritus)'!E30+'Consumers Choice'!E30+CoOportunity!E30+'Coordinated Hlth'!E30+ELNY!E30+'First Natl (Thrnr)'!E30+'Freelancers CO-OP'!E30+HealthyCT!E30+'Land of Lincoln'!E30+Lumbermens!E30+'Memorial Service'!E30+NNIC!E30+Reliance!E30+'Standard Life IN'!E30+'Universal Health Care'!E30</f>
        <v>0</v>
      </c>
      <c r="F30" s="1">
        <f>+'Colorado Health'!F30+'Compass (dbs Meritus)'!F30+'Consumers Choice'!F30+CoOportunity!F30+'Coordinated Hlth'!F30+ELNY!F30+'First Natl (Thrnr)'!F30+'Freelancers CO-OP'!F30+HealthyCT!F30+'Land of Lincoln'!F30+Lumbermens!F30+'Memorial Service'!F30+NNIC!F30+Reliance!F30+'Standard Life IN'!F30+'Universal Health Care'!F30</f>
        <v>0</v>
      </c>
      <c r="G30" s="1">
        <f t="shared" si="0"/>
        <v>1064280.644288281</v>
      </c>
      <c r="H30" s="1">
        <f>+'Colorado Health'!G30+'Compass (dbs Meritus)'!G30+'Consumers Choice'!G30+CoOportunity!G30+'Coordinated Hlth'!G30+ELNY!G30+'First Natl (Thrnr)'!G30+'Freelancers CO-OP'!G30+HealthyCT!G30+'Land of Lincoln'!G30+Lumbermens!G30+'Memorial Service'!G30+NNIC!G30+Reliance!G30+'Standard Life IN'!G30+'Universal Health Care'!G30</f>
        <v>1064280.644288281</v>
      </c>
      <c r="I30" s="1">
        <f t="shared" si="1"/>
        <v>0</v>
      </c>
    </row>
    <row r="31" spans="1:12">
      <c r="A31" s="1" t="s">
        <v>52</v>
      </c>
      <c r="B31" s="1">
        <f>+'Colorado Health'!B31+'Compass (dbs Meritus)'!B31+'Consumers Choice'!B31+CoOportunity!B31+'Coordinated Hlth'!B31+ELNY!B31+'First Natl (Thrnr)'!B31+'Freelancers CO-OP'!B31+HealthyCT!B31+'Land of Lincoln'!B31+Lumbermens!B31+'Memorial Service'!B31+NNIC!B31+Reliance!B31+'Standard Life IN'!B31+'Universal Health Care'!B31</f>
        <v>16486.324541422538</v>
      </c>
      <c r="C31" s="1">
        <f>+'Colorado Health'!C31+'Compass (dbs Meritus)'!C31+'Consumers Choice'!C31+CoOportunity!C31+'Coordinated Hlth'!C31+ELNY!C31+'First Natl (Thrnr)'!C31+'Freelancers CO-OP'!C31+HealthyCT!C31+'Land of Lincoln'!C31+Lumbermens!C31+'Memorial Service'!C31+NNIC!C31+Reliance!C31+'Standard Life IN'!C31+'Universal Health Care'!C31</f>
        <v>271631.92682164657</v>
      </c>
      <c r="D31" s="1">
        <f>+'Colorado Health'!D31+'Compass (dbs Meritus)'!D31+'Consumers Choice'!D31+CoOportunity!D31+'Coordinated Hlth'!D31+ELNY!D31+'First Natl (Thrnr)'!D31+'Freelancers CO-OP'!D31+HealthyCT!D31+'Land of Lincoln'!D31+Lumbermens!D31+'Memorial Service'!D31+NNIC!D31+Reliance!D31+'Standard Life IN'!D31+'Universal Health Care'!D31</f>
        <v>123411.75248331514</v>
      </c>
      <c r="E31" s="1">
        <f>+'Colorado Health'!E31+'Compass (dbs Meritus)'!E31+'Consumers Choice'!E31+CoOportunity!E31+'Coordinated Hlth'!E31+ELNY!E31+'First Natl (Thrnr)'!E31+'Freelancers CO-OP'!E31+HealthyCT!E31+'Land of Lincoln'!E31+Lumbermens!E31+'Memorial Service'!E31+NNIC!E31+Reliance!E31+'Standard Life IN'!E31+'Universal Health Care'!E31</f>
        <v>0</v>
      </c>
      <c r="F31" s="1">
        <f>+'Colorado Health'!F31+'Compass (dbs Meritus)'!F31+'Consumers Choice'!F31+CoOportunity!F31+'Coordinated Hlth'!F31+ELNY!F31+'First Natl (Thrnr)'!F31+'Freelancers CO-OP'!F31+HealthyCT!F31+'Land of Lincoln'!F31+Lumbermens!F31+'Memorial Service'!F31+NNIC!F31+Reliance!F31+'Standard Life IN'!F31+'Universal Health Care'!F31</f>
        <v>0</v>
      </c>
      <c r="G31" s="1">
        <f t="shared" si="0"/>
        <v>411530.00384638424</v>
      </c>
      <c r="H31" s="1">
        <f>+'Colorado Health'!G31+'Compass (dbs Meritus)'!G31+'Consumers Choice'!G31+CoOportunity!G31+'Coordinated Hlth'!G31+ELNY!G31+'First Natl (Thrnr)'!G31+'Freelancers CO-OP'!G31+HealthyCT!G31+'Land of Lincoln'!G31+Lumbermens!G31+'Memorial Service'!G31+NNIC!G31+Reliance!G31+'Standard Life IN'!G31+'Universal Health Care'!G31</f>
        <v>411530.00384638424</v>
      </c>
      <c r="I31" s="1">
        <f t="shared" si="1"/>
        <v>0</v>
      </c>
    </row>
    <row r="32" spans="1:12">
      <c r="A32" s="1" t="s">
        <v>53</v>
      </c>
      <c r="B32" s="1">
        <f>+'Colorado Health'!B32+'Compass (dbs Meritus)'!B32+'Consumers Choice'!B32+CoOportunity!B32+'Coordinated Hlth'!B32+ELNY!B32+'First Natl (Thrnr)'!B32+'Freelancers CO-OP'!B32+HealthyCT!B32+'Land of Lincoln'!B32+Lumbermens!B32+'Memorial Service'!B32+NNIC!B32+Reliance!B32+'Standard Life IN'!B32+'Universal Health Care'!B32</f>
        <v>0</v>
      </c>
      <c r="C32" s="1">
        <f>+'Colorado Health'!C32+'Compass (dbs Meritus)'!C32+'Consumers Choice'!C32+CoOportunity!C32+'Coordinated Hlth'!C32+ELNY!C32+'First Natl (Thrnr)'!C32+'Freelancers CO-OP'!C32+HealthyCT!C32+'Land of Lincoln'!C32+Lumbermens!C32+'Memorial Service'!C32+NNIC!C32+Reliance!C32+'Standard Life IN'!C32+'Universal Health Care'!C32</f>
        <v>792537.00069331529</v>
      </c>
      <c r="D32" s="1">
        <f>+'Colorado Health'!D32+'Compass (dbs Meritus)'!D32+'Consumers Choice'!D32+CoOportunity!D32+'Coordinated Hlth'!D32+ELNY!D32+'First Natl (Thrnr)'!D32+'Freelancers CO-OP'!D32+HealthyCT!D32+'Land of Lincoln'!D32+Lumbermens!D32+'Memorial Service'!D32+NNIC!D32+Reliance!D32+'Standard Life IN'!D32+'Universal Health Care'!D32</f>
        <v>19034.092665376644</v>
      </c>
      <c r="E32" s="1">
        <f>+'Colorado Health'!E32+'Compass (dbs Meritus)'!E32+'Consumers Choice'!E32+CoOportunity!E32+'Coordinated Hlth'!E32+ELNY!E32+'First Natl (Thrnr)'!E32+'Freelancers CO-OP'!E32+HealthyCT!E32+'Land of Lincoln'!E32+Lumbermens!E32+'Memorial Service'!E32+NNIC!E32+Reliance!E32+'Standard Life IN'!E32+'Universal Health Care'!E32</f>
        <v>0</v>
      </c>
      <c r="F32" s="1">
        <f>+'Colorado Health'!F32+'Compass (dbs Meritus)'!F32+'Consumers Choice'!F32+CoOportunity!F32+'Coordinated Hlth'!F32+ELNY!F32+'First Natl (Thrnr)'!F32+'Freelancers CO-OP'!F32+HealthyCT!F32+'Land of Lincoln'!F32+Lumbermens!F32+'Memorial Service'!F32+NNIC!F32+Reliance!F32+'Standard Life IN'!F32+'Universal Health Care'!F32</f>
        <v>0</v>
      </c>
      <c r="G32" s="1">
        <f t="shared" si="0"/>
        <v>811571.0933586919</v>
      </c>
      <c r="H32" s="1">
        <f>+'Colorado Health'!G32+'Compass (dbs Meritus)'!G32+'Consumers Choice'!G32+CoOportunity!G32+'Coordinated Hlth'!G32+ELNY!G32+'First Natl (Thrnr)'!G32+'Freelancers CO-OP'!G32+HealthyCT!G32+'Land of Lincoln'!G32+Lumbermens!G32+'Memorial Service'!G32+NNIC!G32+Reliance!G32+'Standard Life IN'!G32+'Universal Health Care'!G32</f>
        <v>811571.0933586919</v>
      </c>
      <c r="I32" s="1">
        <f t="shared" si="1"/>
        <v>0</v>
      </c>
    </row>
    <row r="33" spans="1:9">
      <c r="A33" s="1" t="s">
        <v>54</v>
      </c>
      <c r="B33" s="1">
        <f>+'Colorado Health'!B33+'Compass (dbs Meritus)'!B33+'Consumers Choice'!B33+CoOportunity!B33+'Coordinated Hlth'!B33+ELNY!B33+'First Natl (Thrnr)'!B33+'Freelancers CO-OP'!B33+HealthyCT!B33+'Land of Lincoln'!B33+Lumbermens!B33+'Memorial Service'!B33+NNIC!B33+Reliance!B33+'Standard Life IN'!B33+'Universal Health Care'!B33</f>
        <v>2529.5323684520408</v>
      </c>
      <c r="C33" s="1">
        <f>+'Colorado Health'!C33+'Compass (dbs Meritus)'!C33+'Consumers Choice'!C33+CoOportunity!C33+'Coordinated Hlth'!C33+ELNY!C33+'First Natl (Thrnr)'!C33+'Freelancers CO-OP'!C33+HealthyCT!C33+'Land of Lincoln'!C33+Lumbermens!C33+'Memorial Service'!C33+NNIC!C33+Reliance!C33+'Standard Life IN'!C33+'Universal Health Care'!C33</f>
        <v>599710.00166461931</v>
      </c>
      <c r="D33" s="1">
        <f>+'Colorado Health'!D33+'Compass (dbs Meritus)'!D33+'Consumers Choice'!D33+CoOportunity!D33+'Coordinated Hlth'!D33+ELNY!D33+'First Natl (Thrnr)'!D33+'Freelancers CO-OP'!D33+HealthyCT!D33+'Land of Lincoln'!D33+Lumbermens!D33+'Memorial Service'!D33+NNIC!D33+Reliance!D33+'Standard Life IN'!D33+'Universal Health Care'!D33</f>
        <v>19209559.538090389</v>
      </c>
      <c r="E33" s="1">
        <f>+'Colorado Health'!E33+'Compass (dbs Meritus)'!E33+'Consumers Choice'!E33+CoOportunity!E33+'Coordinated Hlth'!E33+ELNY!E33+'First Natl (Thrnr)'!E33+'Freelancers CO-OP'!E33+HealthyCT!E33+'Land of Lincoln'!E33+Lumbermens!E33+'Memorial Service'!E33+NNIC!E33+Reliance!E33+'Standard Life IN'!E33+'Universal Health Care'!E33</f>
        <v>0</v>
      </c>
      <c r="F33" s="1">
        <f>+'Colorado Health'!F33+'Compass (dbs Meritus)'!F33+'Consumers Choice'!F33+CoOportunity!F33+'Coordinated Hlth'!F33+ELNY!F33+'First Natl (Thrnr)'!F33+'Freelancers CO-OP'!F33+HealthyCT!F33+'Land of Lincoln'!F33+Lumbermens!F33+'Memorial Service'!F33+NNIC!F33+Reliance!F33+'Standard Life IN'!F33+'Universal Health Care'!F33</f>
        <v>0</v>
      </c>
      <c r="G33" s="1">
        <f t="shared" si="0"/>
        <v>19811799.07212346</v>
      </c>
      <c r="H33" s="1">
        <f>+'Colorado Health'!G33+'Compass (dbs Meritus)'!G33+'Consumers Choice'!G33+CoOportunity!G33+'Coordinated Hlth'!G33+ELNY!G33+'First Natl (Thrnr)'!G33+'Freelancers CO-OP'!G33+HealthyCT!G33+'Land of Lincoln'!G33+Lumbermens!G33+'Memorial Service'!G33+NNIC!G33+Reliance!G33+'Standard Life IN'!G33+'Universal Health Care'!G33</f>
        <v>19811799.07212346</v>
      </c>
      <c r="I33" s="1">
        <f t="shared" si="1"/>
        <v>0</v>
      </c>
    </row>
    <row r="34" spans="1:9">
      <c r="A34" s="1" t="s">
        <v>55</v>
      </c>
      <c r="B34" s="1">
        <f>+'Colorado Health'!B34+'Compass (dbs Meritus)'!B34+'Consumers Choice'!B34+CoOportunity!B34+'Coordinated Hlth'!B34+ELNY!B34+'First Natl (Thrnr)'!B34+'Freelancers CO-OP'!B34+HealthyCT!B34+'Land of Lincoln'!B34+Lumbermens!B34+'Memorial Service'!B34+NNIC!B34+Reliance!B34+'Standard Life IN'!B34+'Universal Health Care'!B34</f>
        <v>1386.6700254525422</v>
      </c>
      <c r="C34" s="1">
        <f>+'Colorado Health'!C34+'Compass (dbs Meritus)'!C34+'Consumers Choice'!C34+CoOportunity!C34+'Coordinated Hlth'!C34+ELNY!C34+'First Natl (Thrnr)'!C34+'Freelancers CO-OP'!C34+HealthyCT!C34+'Land of Lincoln'!C34+Lumbermens!C34+'Memorial Service'!C34+NNIC!C34+Reliance!C34+'Standard Life IN'!C34+'Universal Health Care'!C34</f>
        <v>313439.30895424361</v>
      </c>
      <c r="D34" s="1">
        <f>+'Colorado Health'!D34+'Compass (dbs Meritus)'!D34+'Consumers Choice'!D34+CoOportunity!D34+'Coordinated Hlth'!D34+ELNY!D34+'First Natl (Thrnr)'!D34+'Freelancers CO-OP'!D34+HealthyCT!D34+'Land of Lincoln'!D34+Lumbermens!D34+'Memorial Service'!D34+NNIC!D34+Reliance!D34+'Standard Life IN'!D34+'Universal Health Care'!D34</f>
        <v>186853.82928393397</v>
      </c>
      <c r="E34" s="1">
        <f>+'Colorado Health'!E34+'Compass (dbs Meritus)'!E34+'Consumers Choice'!E34+CoOportunity!E34+'Coordinated Hlth'!E34+ELNY!E34+'First Natl (Thrnr)'!E34+'Freelancers CO-OP'!E34+HealthyCT!E34+'Land of Lincoln'!E34+Lumbermens!E34+'Memorial Service'!E34+NNIC!E34+Reliance!E34+'Standard Life IN'!E34+'Universal Health Care'!E34</f>
        <v>0</v>
      </c>
      <c r="F34" s="1">
        <f>+'Colorado Health'!F34+'Compass (dbs Meritus)'!F34+'Consumers Choice'!F34+CoOportunity!F34+'Coordinated Hlth'!F34+ELNY!F34+'First Natl (Thrnr)'!F34+'Freelancers CO-OP'!F34+HealthyCT!F34+'Land of Lincoln'!F34+Lumbermens!F34+'Memorial Service'!F34+NNIC!F34+Reliance!F34+'Standard Life IN'!F34+'Universal Health Care'!F34</f>
        <v>0</v>
      </c>
      <c r="G34" s="1">
        <f t="shared" si="0"/>
        <v>501679.80826363014</v>
      </c>
      <c r="H34" s="1">
        <f>+'Colorado Health'!G34+'Compass (dbs Meritus)'!G34+'Consumers Choice'!G34+CoOportunity!G34+'Coordinated Hlth'!G34+ELNY!G34+'First Natl (Thrnr)'!G34+'Freelancers CO-OP'!G34+HealthyCT!G34+'Land of Lincoln'!G34+Lumbermens!G34+'Memorial Service'!G34+NNIC!G34+Reliance!G34+'Standard Life IN'!G34+'Universal Health Care'!G34</f>
        <v>501679.80826363008</v>
      </c>
      <c r="I34" s="1">
        <f t="shared" si="1"/>
        <v>0</v>
      </c>
    </row>
    <row r="35" spans="1:9">
      <c r="A35" s="1" t="s">
        <v>56</v>
      </c>
      <c r="B35" s="1">
        <f>+'Colorado Health'!B35+'Compass (dbs Meritus)'!B35+'Consumers Choice'!B35+CoOportunity!B35+'Coordinated Hlth'!B35+ELNY!B35+'First Natl (Thrnr)'!B35+'Freelancers CO-OP'!B35+HealthyCT!B35+'Land of Lincoln'!B35+Lumbermens!B35+'Memorial Service'!B35+NNIC!B35+Reliance!B35+'Standard Life IN'!B35+'Universal Health Care'!B35</f>
        <v>0</v>
      </c>
      <c r="C35" s="1">
        <f>+'Colorado Health'!C35+'Compass (dbs Meritus)'!C35+'Consumers Choice'!C35+CoOportunity!C35+'Coordinated Hlth'!C35+ELNY!C35+'First Natl (Thrnr)'!C35+'Freelancers CO-OP'!C35+HealthyCT!C35+'Land of Lincoln'!C35+Lumbermens!C35+'Memorial Service'!C35+NNIC!C35+Reliance!C35+'Standard Life IN'!C35+'Universal Health Care'!C35</f>
        <v>1874843.3152104144</v>
      </c>
      <c r="D35" s="1">
        <f>+'Colorado Health'!D35+'Compass (dbs Meritus)'!D35+'Consumers Choice'!D35+CoOportunity!D35+'Coordinated Hlth'!D35+ELNY!D35+'First Natl (Thrnr)'!D35+'Freelancers CO-OP'!D35+HealthyCT!D35+'Land of Lincoln'!D35+Lumbermens!D35+'Memorial Service'!D35+NNIC!D35+Reliance!D35+'Standard Life IN'!D35+'Universal Health Care'!D35</f>
        <v>437207.32204916864</v>
      </c>
      <c r="E35" s="1">
        <f>+'Colorado Health'!E35+'Compass (dbs Meritus)'!E35+'Consumers Choice'!E35+CoOportunity!E35+'Coordinated Hlth'!E35+ELNY!E35+'First Natl (Thrnr)'!E35+'Freelancers CO-OP'!E35+HealthyCT!E35+'Land of Lincoln'!E35+Lumbermens!E35+'Memorial Service'!E35+NNIC!E35+Reliance!E35+'Standard Life IN'!E35+'Universal Health Care'!E35</f>
        <v>0</v>
      </c>
      <c r="F35" s="1">
        <f>+'Colorado Health'!F35+'Compass (dbs Meritus)'!F35+'Consumers Choice'!F35+CoOportunity!F35+'Coordinated Hlth'!F35+ELNY!F35+'First Natl (Thrnr)'!F35+'Freelancers CO-OP'!F35+HealthyCT!F35+'Land of Lincoln'!F35+Lumbermens!F35+'Memorial Service'!F35+NNIC!F35+Reliance!F35+'Standard Life IN'!F35+'Universal Health Care'!F35</f>
        <v>0</v>
      </c>
      <c r="G35" s="1">
        <f t="shared" si="0"/>
        <v>2312050.637259583</v>
      </c>
      <c r="H35" s="1">
        <f>+'Colorado Health'!G35+'Compass (dbs Meritus)'!G35+'Consumers Choice'!G35+CoOportunity!G35+'Coordinated Hlth'!G35+ELNY!G35+'First Natl (Thrnr)'!G35+'Freelancers CO-OP'!G35+HealthyCT!G35+'Land of Lincoln'!G35+Lumbermens!G35+'Memorial Service'!G35+NNIC!G35+Reliance!G35+'Standard Life IN'!G35+'Universal Health Care'!G35</f>
        <v>2312050.6372595825</v>
      </c>
      <c r="I35" s="1">
        <f t="shared" si="1"/>
        <v>0</v>
      </c>
    </row>
    <row r="36" spans="1:9">
      <c r="A36" s="1" t="s">
        <v>57</v>
      </c>
      <c r="B36" s="1">
        <f>+'Colorado Health'!B36+'Compass (dbs Meritus)'!B36+'Consumers Choice'!B36+CoOportunity!B36+'Coordinated Hlth'!B36+ELNY!B36+'First Natl (Thrnr)'!B36+'Freelancers CO-OP'!B36+HealthyCT!B36+'Land of Lincoln'!B36+Lumbermens!B36+'Memorial Service'!B36+NNIC!B36+Reliance!B36+'Standard Life IN'!B36+'Universal Health Care'!B36</f>
        <v>0</v>
      </c>
      <c r="C36" s="1">
        <f>+'Colorado Health'!C36+'Compass (dbs Meritus)'!C36+'Consumers Choice'!C36+CoOportunity!C36+'Coordinated Hlth'!C36+ELNY!C36+'First Natl (Thrnr)'!C36+'Freelancers CO-OP'!C36+HealthyCT!C36+'Land of Lincoln'!C36+Lumbermens!C36+'Memorial Service'!C36+NNIC!C36+Reliance!C36+'Standard Life IN'!C36+'Universal Health Care'!C36</f>
        <v>55882696.267626844</v>
      </c>
      <c r="D36" s="1">
        <f>+'Colorado Health'!D36+'Compass (dbs Meritus)'!D36+'Consumers Choice'!D36+CoOportunity!D36+'Coordinated Hlth'!D36+ELNY!D36+'First Natl (Thrnr)'!D36+'Freelancers CO-OP'!D36+HealthyCT!D36+'Land of Lincoln'!D36+Lumbermens!D36+'Memorial Service'!D36+NNIC!D36+Reliance!D36+'Standard Life IN'!D36+'Universal Health Care'!D36</f>
        <v>24880502.092258979</v>
      </c>
      <c r="E36" s="1">
        <f>+'Colorado Health'!E36+'Compass (dbs Meritus)'!E36+'Consumers Choice'!E36+CoOportunity!E36+'Coordinated Hlth'!E36+ELNY!E36+'First Natl (Thrnr)'!E36+'Freelancers CO-OP'!E36+HealthyCT!E36+'Land of Lincoln'!E36+Lumbermens!E36+'Memorial Service'!E36+NNIC!E36+Reliance!E36+'Standard Life IN'!E36+'Universal Health Care'!E36</f>
        <v>0</v>
      </c>
      <c r="F36" s="1">
        <f>+'Colorado Health'!F36+'Compass (dbs Meritus)'!F36+'Consumers Choice'!F36+CoOportunity!F36+'Coordinated Hlth'!F36+ELNY!F36+'First Natl (Thrnr)'!F36+'Freelancers CO-OP'!F36+HealthyCT!F36+'Land of Lincoln'!F36+Lumbermens!F36+'Memorial Service'!F36+NNIC!F36+Reliance!F36+'Standard Life IN'!F36+'Universal Health Care'!F36</f>
        <v>0</v>
      </c>
      <c r="G36" s="1">
        <f t="shared" si="0"/>
        <v>80763198.359885827</v>
      </c>
      <c r="H36" s="1">
        <f>+'Colorado Health'!G36+'Compass (dbs Meritus)'!G36+'Consumers Choice'!G36+CoOportunity!G36+'Coordinated Hlth'!G36+ELNY!G36+'First Natl (Thrnr)'!G36+'Freelancers CO-OP'!G36+HealthyCT!G36+'Land of Lincoln'!G36+Lumbermens!G36+'Memorial Service'!G36+NNIC!G36+Reliance!G36+'Standard Life IN'!G36+'Universal Health Care'!G36</f>
        <v>80763198.359885827</v>
      </c>
      <c r="I36" s="1">
        <f t="shared" si="1"/>
        <v>0</v>
      </c>
    </row>
    <row r="37" spans="1:9">
      <c r="A37" s="1" t="s">
        <v>58</v>
      </c>
      <c r="B37" s="1">
        <f>+'Colorado Health'!B37+'Compass (dbs Meritus)'!B37+'Consumers Choice'!B37+CoOportunity!B37+'Coordinated Hlth'!B37+ELNY!B37+'First Natl (Thrnr)'!B37+'Freelancers CO-OP'!B37+HealthyCT!B37+'Land of Lincoln'!B37+Lumbermens!B37+'Memorial Service'!B37+NNIC!B37+Reliance!B37+'Standard Life IN'!B37+'Universal Health Care'!B37</f>
        <v>2847.7866860277572</v>
      </c>
      <c r="C37" s="1">
        <f>+'Colorado Health'!C37+'Compass (dbs Meritus)'!C37+'Consumers Choice'!C37+CoOportunity!C37+'Coordinated Hlth'!C37+ELNY!C37+'First Natl (Thrnr)'!C37+'Freelancers CO-OP'!C37+HealthyCT!C37+'Land of Lincoln'!C37+Lumbermens!C37+'Memorial Service'!C37+NNIC!C37+Reliance!C37+'Standard Life IN'!C37+'Universal Health Care'!C37</f>
        <v>400760.2636800874</v>
      </c>
      <c r="D37" s="1">
        <f>+'Colorado Health'!D37+'Compass (dbs Meritus)'!D37+'Consumers Choice'!D37+CoOportunity!D37+'Coordinated Hlth'!D37+ELNY!D37+'First Natl (Thrnr)'!D37+'Freelancers CO-OP'!D37+HealthyCT!D37+'Land of Lincoln'!D37+Lumbermens!D37+'Memorial Service'!D37+NNIC!D37+Reliance!D37+'Standard Life IN'!D37+'Universal Health Care'!D37</f>
        <v>246593.81278058683</v>
      </c>
      <c r="E37" s="1">
        <f>+'Colorado Health'!E37+'Compass (dbs Meritus)'!E37+'Consumers Choice'!E37+CoOportunity!E37+'Coordinated Hlth'!E37+ELNY!E37+'First Natl (Thrnr)'!E37+'Freelancers CO-OP'!E37+HealthyCT!E37+'Land of Lincoln'!E37+Lumbermens!E37+'Memorial Service'!E37+NNIC!E37+Reliance!E37+'Standard Life IN'!E37+'Universal Health Care'!E37</f>
        <v>0</v>
      </c>
      <c r="F37" s="1">
        <f>+'Colorado Health'!F37+'Compass (dbs Meritus)'!F37+'Consumers Choice'!F37+CoOportunity!F37+'Coordinated Hlth'!F37+ELNY!F37+'First Natl (Thrnr)'!F37+'Freelancers CO-OP'!F37+HealthyCT!F37+'Land of Lincoln'!F37+Lumbermens!F37+'Memorial Service'!F37+NNIC!F37+Reliance!F37+'Standard Life IN'!F37+'Universal Health Care'!F37</f>
        <v>0</v>
      </c>
      <c r="G37" s="1">
        <f t="shared" si="0"/>
        <v>650201.86314670206</v>
      </c>
      <c r="H37" s="1">
        <f>+'Colorado Health'!G37+'Compass (dbs Meritus)'!G37+'Consumers Choice'!G37+CoOportunity!G37+'Coordinated Hlth'!G37+ELNY!G37+'First Natl (Thrnr)'!G37+'Freelancers CO-OP'!G37+HealthyCT!G37+'Land of Lincoln'!G37+Lumbermens!G37+'Memorial Service'!G37+NNIC!G37+Reliance!G37+'Standard Life IN'!G37+'Universal Health Care'!G37</f>
        <v>650201.86314670194</v>
      </c>
      <c r="I37" s="1">
        <f t="shared" si="1"/>
        <v>0</v>
      </c>
    </row>
    <row r="38" spans="1:9">
      <c r="A38" s="1" t="s">
        <v>59</v>
      </c>
      <c r="B38" s="1">
        <f>+'Colorado Health'!B38+'Compass (dbs Meritus)'!B38+'Consumers Choice'!B38+CoOportunity!B38+'Coordinated Hlth'!B38+ELNY!B38+'First Natl (Thrnr)'!B38+'Freelancers CO-OP'!B38+HealthyCT!B38+'Land of Lincoln'!B38+Lumbermens!B38+'Memorial Service'!B38+NNIC!B38+Reliance!B38+'Standard Life IN'!B38+'Universal Health Care'!B38</f>
        <v>0</v>
      </c>
      <c r="C38" s="1">
        <f>+'Colorado Health'!C38+'Compass (dbs Meritus)'!C38+'Consumers Choice'!C38+CoOportunity!C38+'Coordinated Hlth'!C38+ELNY!C38+'First Natl (Thrnr)'!C38+'Freelancers CO-OP'!C38+HealthyCT!C38+'Land of Lincoln'!C38+Lumbermens!C38+'Memorial Service'!C38+NNIC!C38+Reliance!C38+'Standard Life IN'!C38+'Universal Health Care'!C38</f>
        <v>537970827.55575466</v>
      </c>
      <c r="D38" s="1">
        <f>+'Colorado Health'!D38+'Compass (dbs Meritus)'!D38+'Consumers Choice'!D38+CoOportunity!D38+'Coordinated Hlth'!D38+ELNY!D38+'First Natl (Thrnr)'!D38+'Freelancers CO-OP'!D38+HealthyCT!D38+'Land of Lincoln'!D38+Lumbermens!D38+'Memorial Service'!D38+NNIC!D38+Reliance!D38+'Standard Life IN'!D38+'Universal Health Care'!D38</f>
        <v>0</v>
      </c>
      <c r="E38" s="1">
        <f>+'Colorado Health'!E38+'Compass (dbs Meritus)'!E38+'Consumers Choice'!E38+CoOportunity!E38+'Coordinated Hlth'!E38+ELNY!E38+'First Natl (Thrnr)'!E38+'Freelancers CO-OP'!E38+HealthyCT!E38+'Land of Lincoln'!E38+Lumbermens!E38+'Memorial Service'!E38+NNIC!E38+Reliance!E38+'Standard Life IN'!E38+'Universal Health Care'!E38</f>
        <v>0</v>
      </c>
      <c r="F38" s="1">
        <f>+'Colorado Health'!F38+'Compass (dbs Meritus)'!F38+'Consumers Choice'!F38+CoOportunity!F38+'Coordinated Hlth'!F38+ELNY!F38+'First Natl (Thrnr)'!F38+'Freelancers CO-OP'!F38+HealthyCT!F38+'Land of Lincoln'!F38+Lumbermens!F38+'Memorial Service'!F38+NNIC!F38+Reliance!F38+'Standard Life IN'!F38+'Universal Health Care'!F38</f>
        <v>0</v>
      </c>
      <c r="G38" s="1">
        <f t="shared" ref="G38:G58" si="2">SUM(B38:F38)</f>
        <v>537970827.55575466</v>
      </c>
      <c r="H38" s="1">
        <f>+'Colorado Health'!G38+'Compass (dbs Meritus)'!G38+'Consumers Choice'!G38+CoOportunity!G38+'Coordinated Hlth'!G38+ELNY!G38+'First Natl (Thrnr)'!G38+'Freelancers CO-OP'!G38+HealthyCT!G38+'Land of Lincoln'!G38+Lumbermens!G38+'Memorial Service'!G38+NNIC!G38+Reliance!G38+'Standard Life IN'!G38+'Universal Health Care'!G38</f>
        <v>537970827.55575466</v>
      </c>
      <c r="I38" s="1">
        <f t="shared" ref="I38:I58" si="3">G38-H38</f>
        <v>0</v>
      </c>
    </row>
    <row r="39" spans="1:9">
      <c r="A39" s="1" t="s">
        <v>60</v>
      </c>
      <c r="B39" s="1">
        <f>+'Colorado Health'!B39+'Compass (dbs Meritus)'!B39+'Consumers Choice'!B39+CoOportunity!B39+'Coordinated Hlth'!B39+ELNY!B39+'First Natl (Thrnr)'!B39+'Freelancers CO-OP'!B39+HealthyCT!B39+'Land of Lincoln'!B39+Lumbermens!B39+'Memorial Service'!B39+NNIC!B39+Reliance!B39+'Standard Life IN'!B39+'Universal Health Care'!B39</f>
        <v>28893.525853674859</v>
      </c>
      <c r="C39" s="1">
        <f>+'Colorado Health'!C39+'Compass (dbs Meritus)'!C39+'Consumers Choice'!C39+CoOportunity!C39+'Coordinated Hlth'!C39+ELNY!C39+'First Natl (Thrnr)'!C39+'Freelancers CO-OP'!C39+HealthyCT!C39+'Land of Lincoln'!C39+Lumbermens!C39+'Memorial Service'!C39+NNIC!C39+Reliance!C39+'Standard Life IN'!C39+'Universal Health Care'!C39</f>
        <v>20308392.264038656</v>
      </c>
      <c r="D39" s="1">
        <f>+'Colorado Health'!D39+'Compass (dbs Meritus)'!D39+'Consumers Choice'!D39+CoOportunity!D39+'Coordinated Hlth'!D39+ELNY!D39+'First Natl (Thrnr)'!D39+'Freelancers CO-OP'!D39+HealthyCT!D39+'Land of Lincoln'!D39+Lumbermens!D39+'Memorial Service'!D39+NNIC!D39+Reliance!D39+'Standard Life IN'!D39+'Universal Health Care'!D39</f>
        <v>586626.28877221025</v>
      </c>
      <c r="E39" s="1">
        <f>+'Colorado Health'!E39+'Compass (dbs Meritus)'!E39+'Consumers Choice'!E39+CoOportunity!E39+'Coordinated Hlth'!E39+ELNY!E39+'First Natl (Thrnr)'!E39+'Freelancers CO-OP'!E39+HealthyCT!E39+'Land of Lincoln'!E39+Lumbermens!E39+'Memorial Service'!E39+NNIC!E39+Reliance!E39+'Standard Life IN'!E39+'Universal Health Care'!E39</f>
        <v>0</v>
      </c>
      <c r="F39" s="1">
        <f>+'Colorado Health'!F39+'Compass (dbs Meritus)'!F39+'Consumers Choice'!F39+CoOportunity!F39+'Coordinated Hlth'!F39+ELNY!F39+'First Natl (Thrnr)'!F39+'Freelancers CO-OP'!F39+HealthyCT!F39+'Land of Lincoln'!F39+Lumbermens!F39+'Memorial Service'!F39+NNIC!F39+Reliance!F39+'Standard Life IN'!F39+'Universal Health Care'!F39</f>
        <v>0</v>
      </c>
      <c r="G39" s="1">
        <f t="shared" si="2"/>
        <v>20923912.078664541</v>
      </c>
      <c r="H39" s="1">
        <f>+'Colorado Health'!G39+'Compass (dbs Meritus)'!G39+'Consumers Choice'!G39+CoOportunity!G39+'Coordinated Hlth'!G39+ELNY!G39+'First Natl (Thrnr)'!G39+'Freelancers CO-OP'!G39+HealthyCT!G39+'Land of Lincoln'!G39+Lumbermens!G39+'Memorial Service'!G39+NNIC!G39+Reliance!G39+'Standard Life IN'!G39+'Universal Health Care'!G39</f>
        <v>20923912.078664538</v>
      </c>
      <c r="I39" s="1">
        <f t="shared" si="3"/>
        <v>0</v>
      </c>
    </row>
    <row r="40" spans="1:9">
      <c r="A40" s="1" t="s">
        <v>61</v>
      </c>
      <c r="B40" s="1">
        <f>+'Colorado Health'!B40+'Compass (dbs Meritus)'!B40+'Consumers Choice'!B40+CoOportunity!B40+'Coordinated Hlth'!B40+ELNY!B40+'First Natl (Thrnr)'!B40+'Freelancers CO-OP'!B40+HealthyCT!B40+'Land of Lincoln'!B40+Lumbermens!B40+'Memorial Service'!B40+NNIC!B40+Reliance!B40+'Standard Life IN'!B40+'Universal Health Care'!B40</f>
        <v>0</v>
      </c>
      <c r="C40" s="1">
        <f>+'Colorado Health'!C40+'Compass (dbs Meritus)'!C40+'Consumers Choice'!C40+CoOportunity!C40+'Coordinated Hlth'!C40+ELNY!C40+'First Natl (Thrnr)'!C40+'Freelancers CO-OP'!C40+HealthyCT!C40+'Land of Lincoln'!C40+Lumbermens!C40+'Memorial Service'!C40+NNIC!C40+Reliance!C40+'Standard Life IN'!C40+'Universal Health Care'!C40</f>
        <v>13681.509621007328</v>
      </c>
      <c r="D40" s="1">
        <f>+'Colorado Health'!D40+'Compass (dbs Meritus)'!D40+'Consumers Choice'!D40+CoOportunity!D40+'Coordinated Hlth'!D40+ELNY!D40+'First Natl (Thrnr)'!D40+'Freelancers CO-OP'!D40+HealthyCT!D40+'Land of Lincoln'!D40+Lumbermens!D40+'Memorial Service'!D40+NNIC!D40+Reliance!D40+'Standard Life IN'!D40+'Universal Health Care'!D40</f>
        <v>0.46000000000000796</v>
      </c>
      <c r="E40" s="1">
        <f>+'Colorado Health'!E40+'Compass (dbs Meritus)'!E40+'Consumers Choice'!E40+CoOportunity!E40+'Coordinated Hlth'!E40+ELNY!E40+'First Natl (Thrnr)'!E40+'Freelancers CO-OP'!E40+HealthyCT!E40+'Land of Lincoln'!E40+Lumbermens!E40+'Memorial Service'!E40+NNIC!E40+Reliance!E40+'Standard Life IN'!E40+'Universal Health Care'!E40</f>
        <v>0</v>
      </c>
      <c r="F40" s="1">
        <f>+'Colorado Health'!F40+'Compass (dbs Meritus)'!F40+'Consumers Choice'!F40+CoOportunity!F40+'Coordinated Hlth'!F40+ELNY!F40+'First Natl (Thrnr)'!F40+'Freelancers CO-OP'!F40+HealthyCT!F40+'Land of Lincoln'!F40+Lumbermens!F40+'Memorial Service'!F40+NNIC!F40+Reliance!F40+'Standard Life IN'!F40+'Universal Health Care'!F40</f>
        <v>0</v>
      </c>
      <c r="G40" s="1">
        <f t="shared" si="2"/>
        <v>13681.969621007327</v>
      </c>
      <c r="H40" s="1">
        <f>+'Colorado Health'!G40+'Compass (dbs Meritus)'!G40+'Consumers Choice'!G40+CoOportunity!G40+'Coordinated Hlth'!G40+ELNY!G40+'First Natl (Thrnr)'!G40+'Freelancers CO-OP'!G40+HealthyCT!G40+'Land of Lincoln'!G40+Lumbermens!G40+'Memorial Service'!G40+NNIC!G40+Reliance!G40+'Standard Life IN'!G40+'Universal Health Care'!G40</f>
        <v>13681.969621007327</v>
      </c>
      <c r="I40" s="1">
        <f t="shared" si="3"/>
        <v>0</v>
      </c>
    </row>
    <row r="41" spans="1:9">
      <c r="A41" s="1" t="s">
        <v>62</v>
      </c>
      <c r="B41" s="1">
        <f>+'Colorado Health'!B41+'Compass (dbs Meritus)'!B41+'Consumers Choice'!B41+CoOportunity!B41+'Coordinated Hlth'!B41+ELNY!B41+'First Natl (Thrnr)'!B41+'Freelancers CO-OP'!B41+HealthyCT!B41+'Land of Lincoln'!B41+Lumbermens!B41+'Memorial Service'!B41+NNIC!B41+Reliance!B41+'Standard Life IN'!B41+'Universal Health Care'!B41</f>
        <v>9539.1038642450003</v>
      </c>
      <c r="C41" s="1">
        <f>+'Colorado Health'!C41+'Compass (dbs Meritus)'!C41+'Consumers Choice'!C41+CoOportunity!C41+'Coordinated Hlth'!C41+ELNY!C41+'First Natl (Thrnr)'!C41+'Freelancers CO-OP'!C41+HealthyCT!C41+'Land of Lincoln'!C41+Lumbermens!C41+'Memorial Service'!C41+NNIC!C41+Reliance!C41+'Standard Life IN'!C41+'Universal Health Care'!C41</f>
        <v>5377812.0751202647</v>
      </c>
      <c r="D41" s="1">
        <f>+'Colorado Health'!D41+'Compass (dbs Meritus)'!D41+'Consumers Choice'!D41+CoOportunity!D41+'Coordinated Hlth'!D41+ELNY!D41+'First Natl (Thrnr)'!D41+'Freelancers CO-OP'!D41+HealthyCT!D41+'Land of Lincoln'!D41+Lumbermens!D41+'Memorial Service'!D41+NNIC!D41+Reliance!D41+'Standard Life IN'!D41+'Universal Health Care'!D41</f>
        <v>9739111.7587409653</v>
      </c>
      <c r="E41" s="1">
        <f>+'Colorado Health'!E41+'Compass (dbs Meritus)'!E41+'Consumers Choice'!E41+CoOportunity!E41+'Coordinated Hlth'!E41+ELNY!E41+'First Natl (Thrnr)'!E41+'Freelancers CO-OP'!E41+HealthyCT!E41+'Land of Lincoln'!E41+Lumbermens!E41+'Memorial Service'!E41+NNIC!E41+Reliance!E41+'Standard Life IN'!E41+'Universal Health Care'!E41</f>
        <v>0</v>
      </c>
      <c r="F41" s="1">
        <f>+'Colorado Health'!F41+'Compass (dbs Meritus)'!F41+'Consumers Choice'!F41+CoOportunity!F41+'Coordinated Hlth'!F41+ELNY!F41+'First Natl (Thrnr)'!F41+'Freelancers CO-OP'!F41+HealthyCT!F41+'Land of Lincoln'!F41+Lumbermens!F41+'Memorial Service'!F41+NNIC!F41+Reliance!F41+'Standard Life IN'!F41+'Universal Health Care'!F41</f>
        <v>0</v>
      </c>
      <c r="G41" s="1">
        <f t="shared" si="2"/>
        <v>15126462.937725475</v>
      </c>
      <c r="H41" s="1">
        <f>+'Colorado Health'!G41+'Compass (dbs Meritus)'!G41+'Consumers Choice'!G41+CoOportunity!G41+'Coordinated Hlth'!G41+ELNY!G41+'First Natl (Thrnr)'!G41+'Freelancers CO-OP'!G41+HealthyCT!G41+'Land of Lincoln'!G41+Lumbermens!G41+'Memorial Service'!G41+NNIC!G41+Reliance!G41+'Standard Life IN'!G41+'Universal Health Care'!G41</f>
        <v>15126462.937725475</v>
      </c>
      <c r="I41" s="1">
        <f t="shared" si="3"/>
        <v>0</v>
      </c>
    </row>
    <row r="42" spans="1:9">
      <c r="A42" s="1" t="s">
        <v>63</v>
      </c>
      <c r="B42" s="1">
        <f>+'Colorado Health'!B42+'Compass (dbs Meritus)'!B42+'Consumers Choice'!B42+CoOportunity!B42+'Coordinated Hlth'!B42+ELNY!B42+'First Natl (Thrnr)'!B42+'Freelancers CO-OP'!B42+HealthyCT!B42+'Land of Lincoln'!B42+Lumbermens!B42+'Memorial Service'!B42+NNIC!B42+Reliance!B42+'Standard Life IN'!B42+'Universal Health Care'!B42</f>
        <v>6464.0653201862297</v>
      </c>
      <c r="C42" s="1">
        <f>+'Colorado Health'!C42+'Compass (dbs Meritus)'!C42+'Consumers Choice'!C42+CoOportunity!C42+'Coordinated Hlth'!C42+ELNY!C42+'First Natl (Thrnr)'!C42+'Freelancers CO-OP'!C42+HealthyCT!C42+'Land of Lincoln'!C42+Lumbermens!C42+'Memorial Service'!C42+NNIC!C42+Reliance!C42+'Standard Life IN'!C42+'Universal Health Care'!C42</f>
        <v>325955.65860347566</v>
      </c>
      <c r="D42" s="1">
        <f>+'Colorado Health'!D42+'Compass (dbs Meritus)'!D42+'Consumers Choice'!D42+CoOportunity!D42+'Coordinated Hlth'!D42+ELNY!D42+'First Natl (Thrnr)'!D42+'Freelancers CO-OP'!D42+HealthyCT!D42+'Land of Lincoln'!D42+Lumbermens!D42+'Memorial Service'!D42+NNIC!D42+Reliance!D42+'Standard Life IN'!D42+'Universal Health Care'!D42</f>
        <v>16044.590000000084</v>
      </c>
      <c r="E42" s="1">
        <f>+'Colorado Health'!E42+'Compass (dbs Meritus)'!E42+'Consumers Choice'!E42+CoOportunity!E42+'Coordinated Hlth'!E42+ELNY!E42+'First Natl (Thrnr)'!E42+'Freelancers CO-OP'!E42+HealthyCT!E42+'Land of Lincoln'!E42+Lumbermens!E42+'Memorial Service'!E42+NNIC!E42+Reliance!E42+'Standard Life IN'!E42+'Universal Health Care'!E42</f>
        <v>0</v>
      </c>
      <c r="F42" s="1">
        <f>+'Colorado Health'!F42+'Compass (dbs Meritus)'!F42+'Consumers Choice'!F42+CoOportunity!F42+'Coordinated Hlth'!F42+ELNY!F42+'First Natl (Thrnr)'!F42+'Freelancers CO-OP'!F42+HealthyCT!F42+'Land of Lincoln'!F42+Lumbermens!F42+'Memorial Service'!F42+NNIC!F42+Reliance!F42+'Standard Life IN'!F42+'Universal Health Care'!F42</f>
        <v>0</v>
      </c>
      <c r="G42" s="1">
        <f t="shared" si="2"/>
        <v>348464.31392366195</v>
      </c>
      <c r="H42" s="1">
        <f>+'Colorado Health'!G42+'Compass (dbs Meritus)'!G42+'Consumers Choice'!G42+CoOportunity!G42+'Coordinated Hlth'!G42+ELNY!G42+'First Natl (Thrnr)'!G42+'Freelancers CO-OP'!G42+HealthyCT!G42+'Land of Lincoln'!G42+Lumbermens!G42+'Memorial Service'!G42+NNIC!G42+Reliance!G42+'Standard Life IN'!G42+'Universal Health Care'!G42</f>
        <v>348464.313923662</v>
      </c>
      <c r="I42" s="1">
        <f t="shared" si="3"/>
        <v>0</v>
      </c>
    </row>
    <row r="43" spans="1:9">
      <c r="A43" s="1" t="s">
        <v>64</v>
      </c>
      <c r="B43" s="1">
        <f>+'Colorado Health'!B43+'Compass (dbs Meritus)'!B43+'Consumers Choice'!B43+CoOportunity!B43+'Coordinated Hlth'!B43+ELNY!B43+'First Natl (Thrnr)'!B43+'Freelancers CO-OP'!B43+HealthyCT!B43+'Land of Lincoln'!B43+Lumbermens!B43+'Memorial Service'!B43+NNIC!B43+Reliance!B43+'Standard Life IN'!B43+'Universal Health Care'!B43</f>
        <v>2884.7261059137454</v>
      </c>
      <c r="C43" s="1">
        <f>+'Colorado Health'!C43+'Compass (dbs Meritus)'!C43+'Consumers Choice'!C43+CoOportunity!C43+'Coordinated Hlth'!C43+ELNY!C43+'First Natl (Thrnr)'!C43+'Freelancers CO-OP'!C43+HealthyCT!C43+'Land of Lincoln'!C43+Lumbermens!C43+'Memorial Service'!C43+NNIC!C43+Reliance!C43+'Standard Life IN'!C43+'Universal Health Care'!C43</f>
        <v>60798.411740266754</v>
      </c>
      <c r="D43" s="1">
        <f>+'Colorado Health'!D43+'Compass (dbs Meritus)'!D43+'Consumers Choice'!D43+CoOportunity!D43+'Coordinated Hlth'!D43+ELNY!D43+'First Natl (Thrnr)'!D43+'Freelancers CO-OP'!D43+HealthyCT!D43+'Land of Lincoln'!D43+Lumbermens!D43+'Memorial Service'!D43+NNIC!D43+Reliance!D43+'Standard Life IN'!D43+'Universal Health Care'!D43</f>
        <v>60108.76658248173</v>
      </c>
      <c r="E43" s="1">
        <f>+'Colorado Health'!E43+'Compass (dbs Meritus)'!E43+'Consumers Choice'!E43+CoOportunity!E43+'Coordinated Hlth'!E43+ELNY!E43+'First Natl (Thrnr)'!E43+'Freelancers CO-OP'!E43+HealthyCT!E43+'Land of Lincoln'!E43+Lumbermens!E43+'Memorial Service'!E43+NNIC!E43+Reliance!E43+'Standard Life IN'!E43+'Universal Health Care'!E43</f>
        <v>0</v>
      </c>
      <c r="F43" s="1">
        <f>+'Colorado Health'!F43+'Compass (dbs Meritus)'!F43+'Consumers Choice'!F43+CoOportunity!F43+'Coordinated Hlth'!F43+ELNY!F43+'First Natl (Thrnr)'!F43+'Freelancers CO-OP'!F43+HealthyCT!F43+'Land of Lincoln'!F43+Lumbermens!F43+'Memorial Service'!F43+NNIC!F43+Reliance!F43+'Standard Life IN'!F43+'Universal Health Care'!F43</f>
        <v>0</v>
      </c>
      <c r="G43" s="1">
        <f t="shared" si="2"/>
        <v>123791.90442866224</v>
      </c>
      <c r="H43" s="1">
        <f>+'Colorado Health'!G43+'Compass (dbs Meritus)'!G43+'Consumers Choice'!G43+CoOportunity!G43+'Coordinated Hlth'!G43+ELNY!G43+'First Natl (Thrnr)'!G43+'Freelancers CO-OP'!G43+HealthyCT!G43+'Land of Lincoln'!G43+Lumbermens!G43+'Memorial Service'!G43+NNIC!G43+Reliance!G43+'Standard Life IN'!G43+'Universal Health Care'!G43</f>
        <v>123791.90442866222</v>
      </c>
      <c r="I43" s="1">
        <f t="shared" si="3"/>
        <v>0</v>
      </c>
    </row>
    <row r="44" spans="1:9">
      <c r="A44" s="1" t="s">
        <v>65</v>
      </c>
      <c r="B44" s="1">
        <f>+'Colorado Health'!B44+'Compass (dbs Meritus)'!B44+'Consumers Choice'!B44+CoOportunity!B44+'Coordinated Hlth'!B44+ELNY!B44+'First Natl (Thrnr)'!B44+'Freelancers CO-OP'!B44+HealthyCT!B44+'Land of Lincoln'!B44+Lumbermens!B44+'Memorial Service'!B44+NNIC!B44+Reliance!B44+'Standard Life IN'!B44+'Universal Health Care'!B44</f>
        <v>0</v>
      </c>
      <c r="C44" s="1">
        <f>+'Colorado Health'!C44+'Compass (dbs Meritus)'!C44+'Consumers Choice'!C44+CoOportunity!C44+'Coordinated Hlth'!C44+ELNY!C44+'First Natl (Thrnr)'!C44+'Freelancers CO-OP'!C44+HealthyCT!C44+'Land of Lincoln'!C44+Lumbermens!C44+'Memorial Service'!C44+NNIC!C44+Reliance!C44+'Standard Life IN'!C44+'Universal Health Care'!C44</f>
        <v>45325832.18114385</v>
      </c>
      <c r="D44" s="1">
        <f>+'Colorado Health'!D44+'Compass (dbs Meritus)'!D44+'Consumers Choice'!D44+CoOportunity!D44+'Coordinated Hlth'!D44+ELNY!D44+'First Natl (Thrnr)'!D44+'Freelancers CO-OP'!D44+HealthyCT!D44+'Land of Lincoln'!D44+Lumbermens!D44+'Memorial Service'!D44+NNIC!D44+Reliance!D44+'Standard Life IN'!D44+'Universal Health Care'!D44</f>
        <v>1661062.2495827635</v>
      </c>
      <c r="E44" s="1">
        <f>+'Colorado Health'!E44+'Compass (dbs Meritus)'!E44+'Consumers Choice'!E44+CoOportunity!E44+'Coordinated Hlth'!E44+ELNY!E44+'First Natl (Thrnr)'!E44+'Freelancers CO-OP'!E44+HealthyCT!E44+'Land of Lincoln'!E44+Lumbermens!E44+'Memorial Service'!E44+NNIC!E44+Reliance!E44+'Standard Life IN'!E44+'Universal Health Care'!E44</f>
        <v>0</v>
      </c>
      <c r="F44" s="1">
        <f>+'Colorado Health'!F44+'Compass (dbs Meritus)'!F44+'Consumers Choice'!F44+CoOportunity!F44+'Coordinated Hlth'!F44+ELNY!F44+'First Natl (Thrnr)'!F44+'Freelancers CO-OP'!F44+HealthyCT!F44+'Land of Lincoln'!F44+Lumbermens!F44+'Memorial Service'!F44+NNIC!F44+Reliance!F44+'Standard Life IN'!F44+'Universal Health Care'!F44</f>
        <v>0</v>
      </c>
      <c r="G44" s="1">
        <f t="shared" si="2"/>
        <v>46986894.43072661</v>
      </c>
      <c r="H44" s="1">
        <f>+'Colorado Health'!G44+'Compass (dbs Meritus)'!G44+'Consumers Choice'!G44+CoOportunity!G44+'Coordinated Hlth'!G44+ELNY!G44+'First Natl (Thrnr)'!G44+'Freelancers CO-OP'!G44+HealthyCT!G44+'Land of Lincoln'!G44+Lumbermens!G44+'Memorial Service'!G44+NNIC!G44+Reliance!G44+'Standard Life IN'!G44+'Universal Health Care'!G44</f>
        <v>46986894.430726618</v>
      </c>
      <c r="I44" s="1">
        <f t="shared" si="3"/>
        <v>0</v>
      </c>
    </row>
    <row r="45" spans="1:9">
      <c r="A45" s="1" t="s">
        <v>66</v>
      </c>
      <c r="B45" s="1">
        <f>+'Colorado Health'!B45+'Compass (dbs Meritus)'!B45+'Consumers Choice'!B45+CoOportunity!B45+'Coordinated Hlth'!B45+ELNY!B45+'First Natl (Thrnr)'!B45+'Freelancers CO-OP'!B45+HealthyCT!B45+'Land of Lincoln'!B45+Lumbermens!B45+'Memorial Service'!B45+NNIC!B45+Reliance!B45+'Standard Life IN'!B45+'Universal Health Care'!B45</f>
        <v>0</v>
      </c>
      <c r="C45" s="1">
        <f>+'Colorado Health'!C45+'Compass (dbs Meritus)'!C45+'Consumers Choice'!C45+CoOportunity!C45+'Coordinated Hlth'!C45+ELNY!C45+'First Natl (Thrnr)'!C45+'Freelancers CO-OP'!C45+HealthyCT!C45+'Land of Lincoln'!C45+Lumbermens!C45+'Memorial Service'!C45+NNIC!C45+Reliance!C45+'Standard Life IN'!C45+'Universal Health Care'!C45</f>
        <v>48703.951362923312</v>
      </c>
      <c r="D45" s="1">
        <f>+'Colorado Health'!D45+'Compass (dbs Meritus)'!D45+'Consumers Choice'!D45+CoOportunity!D45+'Coordinated Hlth'!D45+ELNY!D45+'First Natl (Thrnr)'!D45+'Freelancers CO-OP'!D45+HealthyCT!D45+'Land of Lincoln'!D45+Lumbermens!D45+'Memorial Service'!D45+NNIC!D45+Reliance!D45+'Standard Life IN'!D45+'Universal Health Care'!D45</f>
        <v>0</v>
      </c>
      <c r="E45" s="1">
        <f>+'Colorado Health'!E45+'Compass (dbs Meritus)'!E45+'Consumers Choice'!E45+CoOportunity!E45+'Coordinated Hlth'!E45+ELNY!E45+'First Natl (Thrnr)'!E45+'Freelancers CO-OP'!E45+HealthyCT!E45+'Land of Lincoln'!E45+Lumbermens!E45+'Memorial Service'!E45+NNIC!E45+Reliance!E45+'Standard Life IN'!E45+'Universal Health Care'!E45</f>
        <v>0</v>
      </c>
      <c r="F45" s="1">
        <f>+'Colorado Health'!F45+'Compass (dbs Meritus)'!F45+'Consumers Choice'!F45+CoOportunity!F45+'Coordinated Hlth'!F45+ELNY!F45+'First Natl (Thrnr)'!F45+'Freelancers CO-OP'!F45+HealthyCT!F45+'Land of Lincoln'!F45+Lumbermens!F45+'Memorial Service'!F45+NNIC!F45+Reliance!F45+'Standard Life IN'!F45+'Universal Health Care'!F45</f>
        <v>0</v>
      </c>
      <c r="G45" s="1">
        <f t="shared" si="2"/>
        <v>48703.951362923312</v>
      </c>
      <c r="H45" s="1">
        <f>+'Colorado Health'!G45+'Compass (dbs Meritus)'!G45+'Consumers Choice'!G45+CoOportunity!G45+'Coordinated Hlth'!G45+ELNY!G45+'First Natl (Thrnr)'!G45+'Freelancers CO-OP'!G45+HealthyCT!G45+'Land of Lincoln'!G45+Lumbermens!G45+'Memorial Service'!G45+NNIC!G45+Reliance!G45+'Standard Life IN'!G45+'Universal Health Care'!G45</f>
        <v>48703.951362923312</v>
      </c>
      <c r="I45" s="1">
        <f t="shared" si="3"/>
        <v>0</v>
      </c>
    </row>
    <row r="46" spans="1:9">
      <c r="A46" s="1" t="s">
        <v>67</v>
      </c>
      <c r="B46" s="1">
        <f>+'Colorado Health'!B46+'Compass (dbs Meritus)'!B46+'Consumers Choice'!B46+CoOportunity!B46+'Coordinated Hlth'!B46+ELNY!B46+'First Natl (Thrnr)'!B46+'Freelancers CO-OP'!B46+HealthyCT!B46+'Land of Lincoln'!B46+Lumbermens!B46+'Memorial Service'!B46+NNIC!B46+Reliance!B46+'Standard Life IN'!B46+'Universal Health Care'!B46</f>
        <v>0</v>
      </c>
      <c r="C46" s="1">
        <f>+'Colorado Health'!C46+'Compass (dbs Meritus)'!C46+'Consumers Choice'!C46+CoOportunity!C46+'Coordinated Hlth'!C46+ELNY!C46+'First Natl (Thrnr)'!C46+'Freelancers CO-OP'!C46+HealthyCT!C46+'Land of Lincoln'!C46+Lumbermens!C46+'Memorial Service'!C46+NNIC!C46+Reliance!C46+'Standard Life IN'!C46+'Universal Health Care'!C46</f>
        <v>4666331.2225140827</v>
      </c>
      <c r="D46" s="1">
        <f>+'Colorado Health'!D46+'Compass (dbs Meritus)'!D46+'Consumers Choice'!D46+CoOportunity!D46+'Coordinated Hlth'!D46+ELNY!D46+'First Natl (Thrnr)'!D46+'Freelancers CO-OP'!D46+HealthyCT!D46+'Land of Lincoln'!D46+Lumbermens!D46+'Memorial Service'!D46+NNIC!D46+Reliance!D46+'Standard Life IN'!D46+'Universal Health Care'!D46</f>
        <v>57294.234077263172</v>
      </c>
      <c r="E46" s="1">
        <f>+'Colorado Health'!E46+'Compass (dbs Meritus)'!E46+'Consumers Choice'!E46+CoOportunity!E46+'Coordinated Hlth'!E46+ELNY!E46+'First Natl (Thrnr)'!E46+'Freelancers CO-OP'!E46+HealthyCT!E46+'Land of Lincoln'!E46+Lumbermens!E46+'Memorial Service'!E46+NNIC!E46+Reliance!E46+'Standard Life IN'!E46+'Universal Health Care'!E46</f>
        <v>0</v>
      </c>
      <c r="F46" s="1">
        <f>+'Colorado Health'!F46+'Compass (dbs Meritus)'!F46+'Consumers Choice'!F46+CoOportunity!F46+'Coordinated Hlth'!F46+ELNY!F46+'First Natl (Thrnr)'!F46+'Freelancers CO-OP'!F46+HealthyCT!F46+'Land of Lincoln'!F46+Lumbermens!F46+'Memorial Service'!F46+NNIC!F46+Reliance!F46+'Standard Life IN'!F46+'Universal Health Care'!F46</f>
        <v>0</v>
      </c>
      <c r="G46" s="1">
        <f t="shared" si="2"/>
        <v>4723625.4565913463</v>
      </c>
      <c r="H46" s="1">
        <f>+'Colorado Health'!G46+'Compass (dbs Meritus)'!G46+'Consumers Choice'!G46+CoOportunity!G46+'Coordinated Hlth'!G46+ELNY!G46+'First Natl (Thrnr)'!G46+'Freelancers CO-OP'!G46+HealthyCT!G46+'Land of Lincoln'!G46+Lumbermens!G46+'Memorial Service'!G46+NNIC!G46+Reliance!G46+'Standard Life IN'!G46+'Universal Health Care'!G46</f>
        <v>4723625.4565913463</v>
      </c>
      <c r="I46" s="1">
        <f t="shared" si="3"/>
        <v>0</v>
      </c>
    </row>
    <row r="47" spans="1:9">
      <c r="A47" s="1" t="s">
        <v>68</v>
      </c>
      <c r="B47" s="1">
        <f>+'Colorado Health'!B47+'Compass (dbs Meritus)'!B47+'Consumers Choice'!B47+CoOportunity!B47+'Coordinated Hlth'!B47+ELNY!B47+'First Natl (Thrnr)'!B47+'Freelancers CO-OP'!B47+HealthyCT!B47+'Land of Lincoln'!B47+Lumbermens!B47+'Memorial Service'!B47+NNIC!B47+Reliance!B47+'Standard Life IN'!B47+'Universal Health Care'!B47</f>
        <v>13901.298634756007</v>
      </c>
      <c r="C47" s="1">
        <f>+'Colorado Health'!C47+'Compass (dbs Meritus)'!C47+'Consumers Choice'!C47+CoOportunity!C47+'Coordinated Hlth'!C47+ELNY!C47+'First Natl (Thrnr)'!C47+'Freelancers CO-OP'!C47+HealthyCT!C47+'Land of Lincoln'!C47+Lumbermens!C47+'Memorial Service'!C47+NNIC!C47+Reliance!C47+'Standard Life IN'!C47+'Universal Health Care'!C47</f>
        <v>1136045.8035209614</v>
      </c>
      <c r="D47" s="1">
        <f>+'Colorado Health'!D47+'Compass (dbs Meritus)'!D47+'Consumers Choice'!D47+CoOportunity!D47+'Coordinated Hlth'!D47+ELNY!D47+'First Natl (Thrnr)'!D47+'Freelancers CO-OP'!D47+HealthyCT!D47+'Land of Lincoln'!D47+Lumbermens!D47+'Memorial Service'!D47+NNIC!D47+Reliance!D47+'Standard Life IN'!D47+'Universal Health Care'!D47</f>
        <v>35199454.440365575</v>
      </c>
      <c r="E47" s="1">
        <f>+'Colorado Health'!E47+'Compass (dbs Meritus)'!E47+'Consumers Choice'!E47+CoOportunity!E47+'Coordinated Hlth'!E47+ELNY!E47+'First Natl (Thrnr)'!E47+'Freelancers CO-OP'!E47+HealthyCT!E47+'Land of Lincoln'!E47+Lumbermens!E47+'Memorial Service'!E47+NNIC!E47+Reliance!E47+'Standard Life IN'!E47+'Universal Health Care'!E47</f>
        <v>0</v>
      </c>
      <c r="F47" s="1">
        <f>+'Colorado Health'!F47+'Compass (dbs Meritus)'!F47+'Consumers Choice'!F47+CoOportunity!F47+'Coordinated Hlth'!F47+ELNY!F47+'First Natl (Thrnr)'!F47+'Freelancers CO-OP'!F47+HealthyCT!F47+'Land of Lincoln'!F47+Lumbermens!F47+'Memorial Service'!F47+NNIC!F47+Reliance!F47+'Standard Life IN'!F47+'Universal Health Care'!F47</f>
        <v>0</v>
      </c>
      <c r="G47" s="1">
        <f t="shared" si="2"/>
        <v>36349401.54252129</v>
      </c>
      <c r="H47" s="1">
        <f>+'Colorado Health'!G47+'Compass (dbs Meritus)'!G47+'Consumers Choice'!G47+CoOportunity!G47+'Coordinated Hlth'!G47+ELNY!G47+'First Natl (Thrnr)'!G47+'Freelancers CO-OP'!G47+HealthyCT!G47+'Land of Lincoln'!G47+Lumbermens!G47+'Memorial Service'!G47+NNIC!G47+Reliance!G47+'Standard Life IN'!G47+'Universal Health Care'!G47</f>
        <v>36349401.542521298</v>
      </c>
      <c r="I47" s="1">
        <f t="shared" si="3"/>
        <v>0</v>
      </c>
    </row>
    <row r="48" spans="1:9">
      <c r="A48" s="1" t="s">
        <v>69</v>
      </c>
      <c r="B48" s="1">
        <f>+'Colorado Health'!B48+'Compass (dbs Meritus)'!B48+'Consumers Choice'!B48+CoOportunity!B48+'Coordinated Hlth'!B48+ELNY!B48+'First Natl (Thrnr)'!B48+'Freelancers CO-OP'!B48+HealthyCT!B48+'Land of Lincoln'!B48+Lumbermens!B48+'Memorial Service'!B48+NNIC!B48+Reliance!B48+'Standard Life IN'!B48+'Universal Health Care'!B48</f>
        <v>0</v>
      </c>
      <c r="C48" s="1">
        <f>+'Colorado Health'!C48+'Compass (dbs Meritus)'!C48+'Consumers Choice'!C48+CoOportunity!C48+'Coordinated Hlth'!C48+ELNY!C48+'First Natl (Thrnr)'!C48+'Freelancers CO-OP'!C48+HealthyCT!C48+'Land of Lincoln'!C48+Lumbermens!C48+'Memorial Service'!C48+NNIC!C48+Reliance!C48+'Standard Life IN'!C48+'Universal Health Care'!C48</f>
        <v>832456.92923018453</v>
      </c>
      <c r="D48" s="1">
        <f>+'Colorado Health'!D48+'Compass (dbs Meritus)'!D48+'Consumers Choice'!D48+CoOportunity!D48+'Coordinated Hlth'!D48+ELNY!D48+'First Natl (Thrnr)'!D48+'Freelancers CO-OP'!D48+HealthyCT!D48+'Land of Lincoln'!D48+Lumbermens!D48+'Memorial Service'!D48+NNIC!D48+Reliance!D48+'Standard Life IN'!D48+'Universal Health Care'!D48</f>
        <v>0.56999999999965212</v>
      </c>
      <c r="E48" s="1">
        <f>+'Colorado Health'!E48+'Compass (dbs Meritus)'!E48+'Consumers Choice'!E48+CoOportunity!E48+'Coordinated Hlth'!E48+ELNY!E48+'First Natl (Thrnr)'!E48+'Freelancers CO-OP'!E48+HealthyCT!E48+'Land of Lincoln'!E48+Lumbermens!E48+'Memorial Service'!E48+NNIC!E48+Reliance!E48+'Standard Life IN'!E48+'Universal Health Care'!E48</f>
        <v>0</v>
      </c>
      <c r="F48" s="1">
        <f>+'Colorado Health'!F48+'Compass (dbs Meritus)'!F48+'Consumers Choice'!F48+CoOportunity!F48+'Coordinated Hlth'!F48+ELNY!F48+'First Natl (Thrnr)'!F48+'Freelancers CO-OP'!F48+HealthyCT!F48+'Land of Lincoln'!F48+Lumbermens!F48+'Memorial Service'!F48+NNIC!F48+Reliance!F48+'Standard Life IN'!F48+'Universal Health Care'!F48</f>
        <v>0</v>
      </c>
      <c r="G48" s="1">
        <f t="shared" si="2"/>
        <v>832457.49923018448</v>
      </c>
      <c r="H48" s="1">
        <f>+'Colorado Health'!G48+'Compass (dbs Meritus)'!G48+'Consumers Choice'!G48+CoOportunity!G48+'Coordinated Hlth'!G48+ELNY!G48+'First Natl (Thrnr)'!G48+'Freelancers CO-OP'!G48+HealthyCT!G48+'Land of Lincoln'!G48+Lumbermens!G48+'Memorial Service'!G48+NNIC!G48+Reliance!G48+'Standard Life IN'!G48+'Universal Health Care'!G48</f>
        <v>832457.49923018448</v>
      </c>
      <c r="I48" s="1">
        <f t="shared" si="3"/>
        <v>0</v>
      </c>
    </row>
    <row r="49" spans="1:9">
      <c r="A49" s="1" t="s">
        <v>70</v>
      </c>
      <c r="B49" s="1">
        <f>+'Colorado Health'!B49+'Compass (dbs Meritus)'!B49+'Consumers Choice'!B49+CoOportunity!B49+'Coordinated Hlth'!B49+ELNY!B49+'First Natl (Thrnr)'!B49+'Freelancers CO-OP'!B49+HealthyCT!B49+'Land of Lincoln'!B49+Lumbermens!B49+'Memorial Service'!B49+NNIC!B49+Reliance!B49+'Standard Life IN'!B49+'Universal Health Care'!B49</f>
        <v>9644.2242899825214</v>
      </c>
      <c r="C49" s="1">
        <f>+'Colorado Health'!C49+'Compass (dbs Meritus)'!C49+'Consumers Choice'!C49+CoOportunity!C49+'Coordinated Hlth'!C49+ELNY!C49+'First Natl (Thrnr)'!C49+'Freelancers CO-OP'!C49+HealthyCT!C49+'Land of Lincoln'!C49+Lumbermens!C49+'Memorial Service'!C49+NNIC!C49+Reliance!C49+'Standard Life IN'!C49+'Universal Health Care'!C49</f>
        <v>1850437.1425340581</v>
      </c>
      <c r="D49" s="1">
        <f>+'Colorado Health'!D49+'Compass (dbs Meritus)'!D49+'Consumers Choice'!D49+CoOportunity!D49+'Coordinated Hlth'!D49+ELNY!D49+'First Natl (Thrnr)'!D49+'Freelancers CO-OP'!D49+HealthyCT!D49+'Land of Lincoln'!D49+Lumbermens!D49+'Memorial Service'!D49+NNIC!D49+Reliance!D49+'Standard Life IN'!D49+'Universal Health Care'!D49</f>
        <v>119671.54089155533</v>
      </c>
      <c r="E49" s="1">
        <f>+'Colorado Health'!E49+'Compass (dbs Meritus)'!E49+'Consumers Choice'!E49+CoOportunity!E49+'Coordinated Hlth'!E49+ELNY!E49+'First Natl (Thrnr)'!E49+'Freelancers CO-OP'!E49+HealthyCT!E49+'Land of Lincoln'!E49+Lumbermens!E49+'Memorial Service'!E49+NNIC!E49+Reliance!E49+'Standard Life IN'!E49+'Universal Health Care'!E49</f>
        <v>0</v>
      </c>
      <c r="F49" s="1">
        <f>+'Colorado Health'!F49+'Compass (dbs Meritus)'!F49+'Consumers Choice'!F49+CoOportunity!F49+'Coordinated Hlth'!F49+ELNY!F49+'First Natl (Thrnr)'!F49+'Freelancers CO-OP'!F49+HealthyCT!F49+'Land of Lincoln'!F49+Lumbermens!F49+'Memorial Service'!F49+NNIC!F49+Reliance!F49+'Standard Life IN'!F49+'Universal Health Care'!F49</f>
        <v>0</v>
      </c>
      <c r="G49" s="1">
        <f t="shared" si="2"/>
        <v>1979752.907715596</v>
      </c>
      <c r="H49" s="1">
        <f>+'Colorado Health'!G49+'Compass (dbs Meritus)'!G49+'Consumers Choice'!G49+CoOportunity!G49+'Coordinated Hlth'!G49+ELNY!G49+'First Natl (Thrnr)'!G49+'Freelancers CO-OP'!G49+HealthyCT!G49+'Land of Lincoln'!G49+Lumbermens!G49+'Memorial Service'!G49+NNIC!G49+Reliance!G49+'Standard Life IN'!G49+'Universal Health Care'!G49</f>
        <v>1979752.9077155958</v>
      </c>
      <c r="I49" s="1">
        <f t="shared" si="3"/>
        <v>0</v>
      </c>
    </row>
    <row r="50" spans="1:9">
      <c r="A50" s="1" t="s">
        <v>71</v>
      </c>
      <c r="B50" s="1">
        <f>+'Colorado Health'!B50+'Compass (dbs Meritus)'!B50+'Consumers Choice'!B50+CoOportunity!B50+'Coordinated Hlth'!B50+ELNY!B50+'First Natl (Thrnr)'!B50+'Freelancers CO-OP'!B50+HealthyCT!B50+'Land of Lincoln'!B50+Lumbermens!B50+'Memorial Service'!B50+NNIC!B50+Reliance!B50+'Standard Life IN'!B50+'Universal Health Care'!B50</f>
        <v>67325041.30227834</v>
      </c>
      <c r="C50" s="1">
        <f>+'Colorado Health'!C50+'Compass (dbs Meritus)'!C50+'Consumers Choice'!C50+CoOportunity!C50+'Coordinated Hlth'!C50+ELNY!C50+'First Natl (Thrnr)'!C50+'Freelancers CO-OP'!C50+HealthyCT!C50+'Land of Lincoln'!C50+Lumbermens!C50+'Memorial Service'!C50+NNIC!C50+Reliance!C50+'Standard Life IN'!C50+'Universal Health Care'!C50</f>
        <v>973759.88992736582</v>
      </c>
      <c r="D50" s="1">
        <f>+'Colorado Health'!D50+'Compass (dbs Meritus)'!D50+'Consumers Choice'!D50+CoOportunity!D50+'Coordinated Hlth'!D50+ELNY!D50+'First Natl (Thrnr)'!D50+'Freelancers CO-OP'!D50+HealthyCT!D50+'Land of Lincoln'!D50+Lumbermens!D50+'Memorial Service'!D50+NNIC!D50+Reliance!D50+'Standard Life IN'!D50+'Universal Health Care'!D50</f>
        <v>811934.19486008352</v>
      </c>
      <c r="E50" s="1">
        <f>+'Colorado Health'!E50+'Compass (dbs Meritus)'!E50+'Consumers Choice'!E50+CoOportunity!E50+'Coordinated Hlth'!E50+ELNY!E50+'First Natl (Thrnr)'!E50+'Freelancers CO-OP'!E50+HealthyCT!E50+'Land of Lincoln'!E50+Lumbermens!E50+'Memorial Service'!E50+NNIC!E50+Reliance!E50+'Standard Life IN'!E50+'Universal Health Care'!E50</f>
        <v>0</v>
      </c>
      <c r="F50" s="1">
        <f>+'Colorado Health'!F50+'Compass (dbs Meritus)'!F50+'Consumers Choice'!F50+CoOportunity!F50+'Coordinated Hlth'!F50+ELNY!F50+'First Natl (Thrnr)'!F50+'Freelancers CO-OP'!F50+HealthyCT!F50+'Land of Lincoln'!F50+Lumbermens!F50+'Memorial Service'!F50+NNIC!F50+Reliance!F50+'Standard Life IN'!F50+'Universal Health Care'!F50</f>
        <v>0</v>
      </c>
      <c r="G50" s="1">
        <f t="shared" si="2"/>
        <v>69110735.387065798</v>
      </c>
      <c r="H50" s="1">
        <f>+'Colorado Health'!G50+'Compass (dbs Meritus)'!G50+'Consumers Choice'!G50+CoOportunity!G50+'Coordinated Hlth'!G50+ELNY!G50+'First Natl (Thrnr)'!G50+'Freelancers CO-OP'!G50+HealthyCT!G50+'Land of Lincoln'!G50+Lumbermens!G50+'Memorial Service'!G50+NNIC!G50+Reliance!G50+'Standard Life IN'!G50+'Universal Health Care'!G50</f>
        <v>69110735.387065783</v>
      </c>
      <c r="I50" s="1">
        <f t="shared" si="3"/>
        <v>0</v>
      </c>
    </row>
    <row r="51" spans="1:9">
      <c r="A51" s="1" t="s">
        <v>72</v>
      </c>
      <c r="B51" s="1">
        <f>+'Colorado Health'!B51+'Compass (dbs Meritus)'!B51+'Consumers Choice'!B51+CoOportunity!B51+'Coordinated Hlth'!B51+ELNY!B51+'First Natl (Thrnr)'!B51+'Freelancers CO-OP'!B51+HealthyCT!B51+'Land of Lincoln'!B51+Lumbermens!B51+'Memorial Service'!B51+NNIC!B51+Reliance!B51+'Standard Life IN'!B51+'Universal Health Care'!B51</f>
        <v>1846.5229149733314</v>
      </c>
      <c r="C51" s="1">
        <f>+'Colorado Health'!C51+'Compass (dbs Meritus)'!C51+'Consumers Choice'!C51+CoOportunity!C51+'Coordinated Hlth'!C51+ELNY!C51+'First Natl (Thrnr)'!C51+'Freelancers CO-OP'!C51+HealthyCT!C51+'Land of Lincoln'!C51+Lumbermens!C51+'Memorial Service'!C51+NNIC!C51+Reliance!C51+'Standard Life IN'!C51+'Universal Health Care'!C51</f>
        <v>750047.54660688806</v>
      </c>
      <c r="D51" s="1">
        <f>+'Colorado Health'!D51+'Compass (dbs Meritus)'!D51+'Consumers Choice'!D51+CoOportunity!D51+'Coordinated Hlth'!D51+ELNY!D51+'First Natl (Thrnr)'!D51+'Freelancers CO-OP'!D51+HealthyCT!D51+'Land of Lincoln'!D51+Lumbermens!D51+'Memorial Service'!D51+NNIC!D51+Reliance!D51+'Standard Life IN'!D51+'Universal Health Care'!D51</f>
        <v>31392.125995961505</v>
      </c>
      <c r="E51" s="1">
        <f>+'Colorado Health'!E51+'Compass (dbs Meritus)'!E51+'Consumers Choice'!E51+CoOportunity!E51+'Coordinated Hlth'!E51+ELNY!E51+'First Natl (Thrnr)'!E51+'Freelancers CO-OP'!E51+HealthyCT!E51+'Land of Lincoln'!E51+Lumbermens!E51+'Memorial Service'!E51+NNIC!E51+Reliance!E51+'Standard Life IN'!E51+'Universal Health Care'!E51</f>
        <v>0</v>
      </c>
      <c r="F51" s="1">
        <f>+'Colorado Health'!F51+'Compass (dbs Meritus)'!F51+'Consumers Choice'!F51+CoOportunity!F51+'Coordinated Hlth'!F51+ELNY!F51+'First Natl (Thrnr)'!F51+'Freelancers CO-OP'!F51+HealthyCT!F51+'Land of Lincoln'!F51+Lumbermens!F51+'Memorial Service'!F51+NNIC!F51+Reliance!F51+'Standard Life IN'!F51+'Universal Health Care'!F51</f>
        <v>0</v>
      </c>
      <c r="G51" s="1">
        <f t="shared" si="2"/>
        <v>783286.19551782287</v>
      </c>
      <c r="H51" s="1">
        <f>+'Colorado Health'!G51+'Compass (dbs Meritus)'!G51+'Consumers Choice'!G51+CoOportunity!G51+'Coordinated Hlth'!G51+ELNY!G51+'First Natl (Thrnr)'!G51+'Freelancers CO-OP'!G51+HealthyCT!G51+'Land of Lincoln'!G51+Lumbermens!G51+'Memorial Service'!G51+NNIC!G51+Reliance!G51+'Standard Life IN'!G51+'Universal Health Care'!G51</f>
        <v>783286.19551782287</v>
      </c>
      <c r="I51" s="1">
        <f t="shared" si="3"/>
        <v>0</v>
      </c>
    </row>
    <row r="52" spans="1:9">
      <c r="A52" s="1" t="s">
        <v>73</v>
      </c>
      <c r="B52" s="1">
        <f>+'Colorado Health'!B52+'Compass (dbs Meritus)'!B52+'Consumers Choice'!B52+CoOportunity!B52+'Coordinated Hlth'!B52+ELNY!B52+'First Natl (Thrnr)'!B52+'Freelancers CO-OP'!B52+HealthyCT!B52+'Land of Lincoln'!B52+Lumbermens!B52+'Memorial Service'!B52+NNIC!B52+Reliance!B52+'Standard Life IN'!B52+'Universal Health Care'!B52</f>
        <v>0</v>
      </c>
      <c r="C52" s="1">
        <f>+'Colorado Health'!C52+'Compass (dbs Meritus)'!C52+'Consumers Choice'!C52+CoOportunity!C52+'Coordinated Hlth'!C52+ELNY!C52+'First Natl (Thrnr)'!C52+'Freelancers CO-OP'!C52+HealthyCT!C52+'Land of Lincoln'!C52+Lumbermens!C52+'Memorial Service'!C52+NNIC!C52+Reliance!C52+'Standard Life IN'!C52+'Universal Health Care'!C52</f>
        <v>961098.90011794667</v>
      </c>
      <c r="D52" s="1">
        <f>+'Colorado Health'!D52+'Compass (dbs Meritus)'!D52+'Consumers Choice'!D52+CoOportunity!D52+'Coordinated Hlth'!D52+ELNY!D52+'First Natl (Thrnr)'!D52+'Freelancers CO-OP'!D52+HealthyCT!D52+'Land of Lincoln'!D52+Lumbermens!D52+'Memorial Service'!D52+NNIC!D52+Reliance!D52+'Standard Life IN'!D52+'Universal Health Care'!D52</f>
        <v>-1865.5441362787744</v>
      </c>
      <c r="E52" s="1">
        <f>+'Colorado Health'!E52+'Compass (dbs Meritus)'!E52+'Consumers Choice'!E52+CoOportunity!E52+'Coordinated Hlth'!E52+ELNY!E52+'First Natl (Thrnr)'!E52+'Freelancers CO-OP'!E52+HealthyCT!E52+'Land of Lincoln'!E52+Lumbermens!E52+'Memorial Service'!E52+NNIC!E52+Reliance!E52+'Standard Life IN'!E52+'Universal Health Care'!E52</f>
        <v>0</v>
      </c>
      <c r="F52" s="1">
        <f>+'Colorado Health'!F52+'Compass (dbs Meritus)'!F52+'Consumers Choice'!F52+CoOportunity!F52+'Coordinated Hlth'!F52+ELNY!F52+'First Natl (Thrnr)'!F52+'Freelancers CO-OP'!F52+HealthyCT!F52+'Land of Lincoln'!F52+Lumbermens!F52+'Memorial Service'!F52+NNIC!F52+Reliance!F52+'Standard Life IN'!F52+'Universal Health Care'!F52</f>
        <v>0</v>
      </c>
      <c r="G52" s="1">
        <f t="shared" si="2"/>
        <v>959233.35598166788</v>
      </c>
      <c r="H52" s="1">
        <f>+'Colorado Health'!G52+'Compass (dbs Meritus)'!G52+'Consumers Choice'!G52+CoOportunity!G52+'Coordinated Hlth'!G52+ELNY!G52+'First Natl (Thrnr)'!G52+'Freelancers CO-OP'!G52+HealthyCT!G52+'Land of Lincoln'!G52+Lumbermens!G52+'Memorial Service'!G52+NNIC!G52+Reliance!G52+'Standard Life IN'!G52+'Universal Health Care'!G52</f>
        <v>959233.35598166799</v>
      </c>
      <c r="I52" s="1">
        <f t="shared" si="3"/>
        <v>0</v>
      </c>
    </row>
    <row r="53" spans="1:9">
      <c r="A53" s="1" t="s">
        <v>74</v>
      </c>
      <c r="B53" s="1">
        <f>+'Colorado Health'!B53+'Compass (dbs Meritus)'!B53+'Consumers Choice'!B53+CoOportunity!B53+'Coordinated Hlth'!B53+ELNY!B53+'First Natl (Thrnr)'!B53+'Freelancers CO-OP'!B53+HealthyCT!B53+'Land of Lincoln'!B53+Lumbermens!B53+'Memorial Service'!B53+NNIC!B53+Reliance!B53+'Standard Life IN'!B53+'Universal Health Care'!B53</f>
        <v>28083.547269983741</v>
      </c>
      <c r="C53" s="1">
        <f>+'Colorado Health'!C53+'Compass (dbs Meritus)'!C53+'Consumers Choice'!C53+CoOportunity!C53+'Coordinated Hlth'!C53+ELNY!C53+'First Natl (Thrnr)'!C53+'Freelancers CO-OP'!C53+HealthyCT!C53+'Land of Lincoln'!C53+Lumbermens!C53+'Memorial Service'!C53+NNIC!C53+Reliance!C53+'Standard Life IN'!C53+'Universal Health Care'!C53</f>
        <v>2949109.2226732764</v>
      </c>
      <c r="D53" s="1">
        <f>+'Colorado Health'!D53+'Compass (dbs Meritus)'!D53+'Consumers Choice'!D53+CoOportunity!D53+'Coordinated Hlth'!D53+ELNY!D53+'First Natl (Thrnr)'!D53+'Freelancers CO-OP'!D53+HealthyCT!D53+'Land of Lincoln'!D53+Lumbermens!D53+'Memorial Service'!D53+NNIC!D53+Reliance!D53+'Standard Life IN'!D53+'Universal Health Care'!D53</f>
        <v>242155.7351957268</v>
      </c>
      <c r="E53" s="1">
        <f>+'Colorado Health'!E53+'Compass (dbs Meritus)'!E53+'Consumers Choice'!E53+CoOportunity!E53+'Coordinated Hlth'!E53+ELNY!E53+'First Natl (Thrnr)'!E53+'Freelancers CO-OP'!E53+HealthyCT!E53+'Land of Lincoln'!E53+Lumbermens!E53+'Memorial Service'!E53+NNIC!E53+Reliance!E53+'Standard Life IN'!E53+'Universal Health Care'!E53</f>
        <v>0</v>
      </c>
      <c r="F53" s="1">
        <f>+'Colorado Health'!F53+'Compass (dbs Meritus)'!F53+'Consumers Choice'!F53+CoOportunity!F53+'Coordinated Hlth'!F53+ELNY!F53+'First Natl (Thrnr)'!F53+'Freelancers CO-OP'!F53+HealthyCT!F53+'Land of Lincoln'!F53+Lumbermens!F53+'Memorial Service'!F53+NNIC!F53+Reliance!F53+'Standard Life IN'!F53+'Universal Health Care'!F53</f>
        <v>0</v>
      </c>
      <c r="G53" s="1">
        <f t="shared" si="2"/>
        <v>3219348.5051389867</v>
      </c>
      <c r="H53" s="1">
        <f>+'Colorado Health'!G53+'Compass (dbs Meritus)'!G53+'Consumers Choice'!G53+CoOportunity!G53+'Coordinated Hlth'!G53+ELNY!G53+'First Natl (Thrnr)'!G53+'Freelancers CO-OP'!G53+HealthyCT!G53+'Land of Lincoln'!G53+Lumbermens!G53+'Memorial Service'!G53+NNIC!G53+Reliance!G53+'Standard Life IN'!G53+'Universal Health Care'!G53</f>
        <v>3219348.5051389867</v>
      </c>
      <c r="I53" s="1">
        <f t="shared" si="3"/>
        <v>0</v>
      </c>
    </row>
    <row r="54" spans="1:9">
      <c r="A54" s="1" t="s">
        <v>75</v>
      </c>
      <c r="B54" s="1">
        <f>+'Colorado Health'!B54+'Compass (dbs Meritus)'!B54+'Consumers Choice'!B54+CoOportunity!B54+'Coordinated Hlth'!B54+ELNY!B54+'First Natl (Thrnr)'!B54+'Freelancers CO-OP'!B54+HealthyCT!B54+'Land of Lincoln'!B54+Lumbermens!B54+'Memorial Service'!B54+NNIC!B54+Reliance!B54+'Standard Life IN'!B54+'Universal Health Care'!B54</f>
        <v>4397.6050432067132</v>
      </c>
      <c r="C54" s="1">
        <f>+'Colorado Health'!C54+'Compass (dbs Meritus)'!C54+'Consumers Choice'!C54+CoOportunity!C54+'Coordinated Hlth'!C54+ELNY!C54+'First Natl (Thrnr)'!C54+'Freelancers CO-OP'!C54+HealthyCT!C54+'Land of Lincoln'!C54+Lumbermens!C54+'Memorial Service'!C54+NNIC!C54+Reliance!C54+'Standard Life IN'!C54+'Universal Health Care'!C54</f>
        <v>5387402.2101272726</v>
      </c>
      <c r="D54" s="1">
        <f>+'Colorado Health'!D54+'Compass (dbs Meritus)'!D54+'Consumers Choice'!D54+CoOportunity!D54+'Coordinated Hlth'!D54+ELNY!D54+'First Natl (Thrnr)'!D54+'Freelancers CO-OP'!D54+HealthyCT!D54+'Land of Lincoln'!D54+Lumbermens!D54+'Memorial Service'!D54+NNIC!D54+Reliance!D54+'Standard Life IN'!D54+'Universal Health Care'!D54</f>
        <v>450741.88024480751</v>
      </c>
      <c r="E54" s="1">
        <f>+'Colorado Health'!E54+'Compass (dbs Meritus)'!E54+'Consumers Choice'!E54+CoOportunity!E54+'Coordinated Hlth'!E54+ELNY!E54+'First Natl (Thrnr)'!E54+'Freelancers CO-OP'!E54+HealthyCT!E54+'Land of Lincoln'!E54+Lumbermens!E54+'Memorial Service'!E54+NNIC!E54+Reliance!E54+'Standard Life IN'!E54+'Universal Health Care'!E54</f>
        <v>0</v>
      </c>
      <c r="F54" s="1">
        <f>+'Colorado Health'!F54+'Compass (dbs Meritus)'!F54+'Consumers Choice'!F54+CoOportunity!F54+'Coordinated Hlth'!F54+ELNY!F54+'First Natl (Thrnr)'!F54+'Freelancers CO-OP'!F54+HealthyCT!F54+'Land of Lincoln'!F54+Lumbermens!F54+'Memorial Service'!F54+NNIC!F54+Reliance!F54+'Standard Life IN'!F54+'Universal Health Care'!F54</f>
        <v>0</v>
      </c>
      <c r="G54" s="1">
        <f t="shared" si="2"/>
        <v>5842541.6954152863</v>
      </c>
      <c r="H54" s="1">
        <f>+'Colorado Health'!G54+'Compass (dbs Meritus)'!G54+'Consumers Choice'!G54+CoOportunity!G54+'Coordinated Hlth'!G54+ELNY!G54+'First Natl (Thrnr)'!G54+'Freelancers CO-OP'!G54+HealthyCT!G54+'Land of Lincoln'!G54+Lumbermens!G54+'Memorial Service'!G54+NNIC!G54+Reliance!G54+'Standard Life IN'!G54+'Universal Health Care'!G54</f>
        <v>5842541.6954152873</v>
      </c>
      <c r="I54" s="1">
        <f t="shared" si="3"/>
        <v>0</v>
      </c>
    </row>
    <row r="55" spans="1:9">
      <c r="A55" s="1" t="s">
        <v>76</v>
      </c>
      <c r="B55" s="1">
        <f>+'Colorado Health'!B55+'Compass (dbs Meritus)'!B55+'Consumers Choice'!B55+CoOportunity!B55+'Coordinated Hlth'!B55+ELNY!B55+'First Natl (Thrnr)'!B55+'Freelancers CO-OP'!B55+HealthyCT!B55+'Land of Lincoln'!B55+Lumbermens!B55+'Memorial Service'!B55+NNIC!B55+Reliance!B55+'Standard Life IN'!B55+'Universal Health Care'!B55</f>
        <v>0</v>
      </c>
      <c r="C55" s="1">
        <f>+'Colorado Health'!C55+'Compass (dbs Meritus)'!C55+'Consumers Choice'!C55+CoOportunity!C55+'Coordinated Hlth'!C55+ELNY!C55+'First Natl (Thrnr)'!C55+'Freelancers CO-OP'!C55+HealthyCT!C55+'Land of Lincoln'!C55+Lumbermens!C55+'Memorial Service'!C55+NNIC!C55+Reliance!C55+'Standard Life IN'!C55+'Universal Health Care'!C55</f>
        <v>2066497.6566752032</v>
      </c>
      <c r="D55" s="1">
        <f>+'Colorado Health'!D55+'Compass (dbs Meritus)'!D55+'Consumers Choice'!D55+CoOportunity!D55+'Coordinated Hlth'!D55+ELNY!D55+'First Natl (Thrnr)'!D55+'Freelancers CO-OP'!D55+HealthyCT!D55+'Land of Lincoln'!D55+Lumbermens!D55+'Memorial Service'!D55+NNIC!D55+Reliance!D55+'Standard Life IN'!D55+'Universal Health Care'!D55</f>
        <v>61336.715431394739</v>
      </c>
      <c r="E55" s="1">
        <f>+'Colorado Health'!E55+'Compass (dbs Meritus)'!E55+'Consumers Choice'!E55+CoOportunity!E55+'Coordinated Hlth'!E55+ELNY!E55+'First Natl (Thrnr)'!E55+'Freelancers CO-OP'!E55+HealthyCT!E55+'Land of Lincoln'!E55+Lumbermens!E55+'Memorial Service'!E55+NNIC!E55+Reliance!E55+'Standard Life IN'!E55+'Universal Health Care'!E55</f>
        <v>0</v>
      </c>
      <c r="F55" s="1">
        <f>+'Colorado Health'!F55+'Compass (dbs Meritus)'!F55+'Consumers Choice'!F55+CoOportunity!F55+'Coordinated Hlth'!F55+ELNY!F55+'First Natl (Thrnr)'!F55+'Freelancers CO-OP'!F55+HealthyCT!F55+'Land of Lincoln'!F55+Lumbermens!F55+'Memorial Service'!F55+NNIC!F55+Reliance!F55+'Standard Life IN'!F55+'Universal Health Care'!F55</f>
        <v>0</v>
      </c>
      <c r="G55" s="1">
        <f t="shared" si="2"/>
        <v>2127834.3721065978</v>
      </c>
      <c r="H55" s="1">
        <f>+'Colorado Health'!G55+'Compass (dbs Meritus)'!G55+'Consumers Choice'!G55+CoOportunity!G55+'Coordinated Hlth'!G55+ELNY!G55+'First Natl (Thrnr)'!G55+'Freelancers CO-OP'!G55+HealthyCT!G55+'Land of Lincoln'!G55+Lumbermens!G55+'Memorial Service'!G55+NNIC!G55+Reliance!G55+'Standard Life IN'!G55+'Universal Health Care'!G55</f>
        <v>2127834.3721065978</v>
      </c>
      <c r="I55" s="1">
        <f t="shared" si="3"/>
        <v>0</v>
      </c>
    </row>
    <row r="56" spans="1:9">
      <c r="A56" s="1" t="s">
        <v>77</v>
      </c>
      <c r="B56" s="1">
        <f>+'Colorado Health'!B56+'Compass (dbs Meritus)'!B56+'Consumers Choice'!B56+CoOportunity!B56+'Coordinated Hlth'!B56+ELNY!B56+'First Natl (Thrnr)'!B56+'Freelancers CO-OP'!B56+HealthyCT!B56+'Land of Lincoln'!B56+Lumbermens!B56+'Memorial Service'!B56+NNIC!B56+Reliance!B56+'Standard Life IN'!B56+'Universal Health Care'!B56</f>
        <v>0</v>
      </c>
      <c r="C56" s="1">
        <f>+'Colorado Health'!C56+'Compass (dbs Meritus)'!C56+'Consumers Choice'!C56+CoOportunity!C56+'Coordinated Hlth'!C56+ELNY!C56+'First Natl (Thrnr)'!C56+'Freelancers CO-OP'!C56+HealthyCT!C56+'Land of Lincoln'!C56+Lumbermens!C56+'Memorial Service'!C56+NNIC!C56+Reliance!C56+'Standard Life IN'!C56+'Universal Health Care'!C56</f>
        <v>196610.04979960812</v>
      </c>
      <c r="D56" s="1">
        <f>+'Colorado Health'!D56+'Compass (dbs Meritus)'!D56+'Consumers Choice'!D56+CoOportunity!D56+'Coordinated Hlth'!D56+ELNY!D56+'First Natl (Thrnr)'!D56+'Freelancers CO-OP'!D56+HealthyCT!D56+'Land of Lincoln'!D56+Lumbermens!D56+'Memorial Service'!D56+NNIC!D56+Reliance!D56+'Standard Life IN'!D56+'Universal Health Care'!D56</f>
        <v>13117.529999999999</v>
      </c>
      <c r="E56" s="1">
        <f>+'Colorado Health'!E56+'Compass (dbs Meritus)'!E56+'Consumers Choice'!E56+CoOportunity!E56+'Coordinated Hlth'!E56+ELNY!E56+'First Natl (Thrnr)'!E56+'Freelancers CO-OP'!E56+HealthyCT!E56+'Land of Lincoln'!E56+Lumbermens!E56+'Memorial Service'!E56+NNIC!E56+Reliance!E56+'Standard Life IN'!E56+'Universal Health Care'!E56</f>
        <v>0</v>
      </c>
      <c r="F56" s="1">
        <f>+'Colorado Health'!F56+'Compass (dbs Meritus)'!F56+'Consumers Choice'!F56+CoOportunity!F56+'Coordinated Hlth'!F56+ELNY!F56+'First Natl (Thrnr)'!F56+'Freelancers CO-OP'!F56+HealthyCT!F56+'Land of Lincoln'!F56+Lumbermens!F56+'Memorial Service'!F56+NNIC!F56+Reliance!F56+'Standard Life IN'!F56+'Universal Health Care'!F56</f>
        <v>0</v>
      </c>
      <c r="G56" s="1">
        <f t="shared" si="2"/>
        <v>209727.57979960812</v>
      </c>
      <c r="H56" s="1">
        <f>+'Colorado Health'!G56+'Compass (dbs Meritus)'!G56+'Consumers Choice'!G56+CoOportunity!G56+'Coordinated Hlth'!G56+ELNY!G56+'First Natl (Thrnr)'!G56+'Freelancers CO-OP'!G56+HealthyCT!G56+'Land of Lincoln'!G56+Lumbermens!G56+'Memorial Service'!G56+NNIC!G56+Reliance!G56+'Standard Life IN'!G56+'Universal Health Care'!G56</f>
        <v>209727.57979960812</v>
      </c>
      <c r="I56" s="1">
        <f t="shared" si="3"/>
        <v>0</v>
      </c>
    </row>
    <row r="57" spans="1:9">
      <c r="A57" s="1" t="s">
        <v>78</v>
      </c>
      <c r="B57" s="1">
        <f>+'Colorado Health'!B57+'Compass (dbs Meritus)'!B57+'Consumers Choice'!B57+CoOportunity!B57+'Coordinated Hlth'!B57+ELNY!B57+'First Natl (Thrnr)'!B57+'Freelancers CO-OP'!B57+HealthyCT!B57+'Land of Lincoln'!B57+Lumbermens!B57+'Memorial Service'!B57+NNIC!B57+Reliance!B57+'Standard Life IN'!B57+'Universal Health Care'!B57</f>
        <v>0</v>
      </c>
      <c r="C57" s="1">
        <f>+'Colorado Health'!C57+'Compass (dbs Meritus)'!C57+'Consumers Choice'!C57+CoOportunity!C57+'Coordinated Hlth'!C57+ELNY!C57+'First Natl (Thrnr)'!C57+'Freelancers CO-OP'!C57+HealthyCT!C57+'Land of Lincoln'!C57+Lumbermens!C57+'Memorial Service'!C57+NNIC!C57+Reliance!C57+'Standard Life IN'!C57+'Universal Health Care'!C57</f>
        <v>392003.81968407828</v>
      </c>
      <c r="D57" s="1">
        <f>+'Colorado Health'!D57+'Compass (dbs Meritus)'!D57+'Consumers Choice'!D57+CoOportunity!D57+'Coordinated Hlth'!D57+ELNY!D57+'First Natl (Thrnr)'!D57+'Freelancers CO-OP'!D57+HealthyCT!D57+'Land of Lincoln'!D57+Lumbermens!D57+'Memorial Service'!D57+NNIC!D57+Reliance!D57+'Standard Life IN'!D57+'Universal Health Care'!D57</f>
        <v>113413.03053027176</v>
      </c>
      <c r="E57" s="1">
        <f>+'Colorado Health'!E57+'Compass (dbs Meritus)'!E57+'Consumers Choice'!E57+CoOportunity!E57+'Coordinated Hlth'!E57+ELNY!E57+'First Natl (Thrnr)'!E57+'Freelancers CO-OP'!E57+HealthyCT!E57+'Land of Lincoln'!E57+Lumbermens!E57+'Memorial Service'!E57+NNIC!E57+Reliance!E57+'Standard Life IN'!E57+'Universal Health Care'!E57</f>
        <v>0</v>
      </c>
      <c r="F57" s="1">
        <f>+'Colorado Health'!F57+'Compass (dbs Meritus)'!F57+'Consumers Choice'!F57+CoOportunity!F57+'Coordinated Hlth'!F57+ELNY!F57+'First Natl (Thrnr)'!F57+'Freelancers CO-OP'!F57+HealthyCT!F57+'Land of Lincoln'!F57+Lumbermens!F57+'Memorial Service'!F57+NNIC!F57+Reliance!F57+'Standard Life IN'!F57+'Universal Health Care'!F57</f>
        <v>0</v>
      </c>
      <c r="G57" s="1">
        <f t="shared" si="2"/>
        <v>505416.85021435004</v>
      </c>
      <c r="H57" s="1">
        <f>+'Colorado Health'!G57+'Compass (dbs Meritus)'!G57+'Consumers Choice'!G57+CoOportunity!G57+'Coordinated Hlth'!G57+ELNY!G57+'First Natl (Thrnr)'!G57+'Freelancers CO-OP'!G57+HealthyCT!G57+'Land of Lincoln'!G57+Lumbermens!G57+'Memorial Service'!G57+NNIC!G57+Reliance!G57+'Standard Life IN'!G57+'Universal Health Care'!G57</f>
        <v>505416.85021435004</v>
      </c>
      <c r="I57" s="1">
        <f t="shared" si="3"/>
        <v>0</v>
      </c>
    </row>
    <row r="58" spans="1:9">
      <c r="A58" s="1" t="s">
        <v>79</v>
      </c>
      <c r="B58" s="1">
        <f>+'Colorado Health'!B58+'Compass (dbs Meritus)'!B58+'Consumers Choice'!B58+CoOportunity!B58+'Coordinated Hlth'!B58+ELNY!B58+'First Natl (Thrnr)'!B58+'Freelancers CO-OP'!B58+HealthyCT!B58+'Land of Lincoln'!B58+Lumbermens!B58+'Memorial Service'!B58+NNIC!B58+Reliance!B58+'Standard Life IN'!B58+'Universal Health Care'!B58</f>
        <v>0</v>
      </c>
      <c r="C58" s="1">
        <f>+'Colorado Health'!C58+'Compass (dbs Meritus)'!C58+'Consumers Choice'!C58+CoOportunity!C58+'Coordinated Hlth'!C58+ELNY!C58+'First Natl (Thrnr)'!C58+'Freelancers CO-OP'!C58+HealthyCT!C58+'Land of Lincoln'!C58+Lumbermens!C58+'Memorial Service'!C58+NNIC!C58+Reliance!C58+'Standard Life IN'!C58+'Universal Health Care'!C58</f>
        <v>0</v>
      </c>
      <c r="D58" s="1">
        <f>+'Colorado Health'!D58+'Compass (dbs Meritus)'!D58+'Consumers Choice'!D58+CoOportunity!D58+'Coordinated Hlth'!D58+ELNY!D58+'First Natl (Thrnr)'!D58+'Freelancers CO-OP'!D58+HealthyCT!D58+'Land of Lincoln'!D58+Lumbermens!D58+'Memorial Service'!D58+NNIC!D58+Reliance!D58+'Standard Life IN'!D58+'Universal Health Care'!D58</f>
        <v>0</v>
      </c>
      <c r="E58" s="1">
        <f>+'Colorado Health'!E58+'Compass (dbs Meritus)'!E58+'Consumers Choice'!E58+CoOportunity!E58+'Coordinated Hlth'!E58+ELNY!E58+'First Natl (Thrnr)'!E58+'Freelancers CO-OP'!E58+HealthyCT!E58+'Land of Lincoln'!E58+Lumbermens!E58+'Memorial Service'!E58+NNIC!E58+Reliance!E58+'Standard Life IN'!E58+'Universal Health Care'!E58</f>
        <v>0</v>
      </c>
      <c r="F58" s="1">
        <f>+'Colorado Health'!F58+'Compass (dbs Meritus)'!F58+'Consumers Choice'!F58+CoOportunity!F58+'Coordinated Hlth'!F58+ELNY!F58+'First Natl (Thrnr)'!F58+'Freelancers CO-OP'!F58+HealthyCT!F58+'Land of Lincoln'!F58+Lumbermens!F58+'Memorial Service'!F58+NNIC!F58+Reliance!F58+'Standard Life IN'!F58+'Universal Health Care'!F58</f>
        <v>0</v>
      </c>
      <c r="G58" s="1">
        <f t="shared" si="2"/>
        <v>0</v>
      </c>
      <c r="H58" s="1">
        <f>+'Colorado Health'!G58+'Compass (dbs Meritus)'!G58+'Consumers Choice'!G58+CoOportunity!G58+'Coordinated Hlth'!G58+ELNY!G58+'First Natl (Thrnr)'!G58+'Freelancers CO-OP'!G58+HealthyCT!G58+'Land of Lincoln'!G58+Lumbermens!G58+'Memorial Service'!G58+NNIC!G58+Reliance!G58+'Standard Life IN'!G58+'Universal Health Care'!G58</f>
        <v>0</v>
      </c>
      <c r="I58" s="1">
        <f t="shared" si="3"/>
        <v>0</v>
      </c>
    </row>
    <row r="61" spans="1:9">
      <c r="A61" s="1" t="s">
        <v>8</v>
      </c>
      <c r="B61" s="1">
        <f>SUM(LIFE)</f>
        <v>67750099.490739271</v>
      </c>
      <c r="C61" s="1">
        <f>SUM(ALLOCATED)</f>
        <v>809087393.31771815</v>
      </c>
      <c r="D61" s="1">
        <f>SUM(HEALTH)</f>
        <v>211477976.05477974</v>
      </c>
      <c r="E61" s="1">
        <f>SUM(UNALLOCATED)</f>
        <v>0</v>
      </c>
      <c r="F61" s="1">
        <f>SUM(LTC)</f>
        <v>0</v>
      </c>
      <c r="G61" s="1">
        <f>SUM(TOTAL)</f>
        <v>1088315468.8632369</v>
      </c>
      <c r="H61" s="1">
        <f>SUM(TOTAL_CROSSCHECK)</f>
        <v>1088315468.8632371</v>
      </c>
      <c r="I61" s="1">
        <f>SUM(RECON)</f>
        <v>0</v>
      </c>
    </row>
  </sheetData>
  <mergeCells count="1">
    <mergeCell ref="A1:G1"/>
  </mergeCells>
  <pageMargins left="0" right="0" top="0.5" bottom="0.5" header="0.3" footer="0.3"/>
  <pageSetup paperSize="5" scale="60"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L68"/>
  <sheetViews>
    <sheetView topLeftCell="A19" zoomScale="75" workbookViewId="0">
      <selection activeCell="M49" sqref="M49"/>
    </sheetView>
  </sheetViews>
  <sheetFormatPr defaultColWidth="9.109375" defaultRowHeight="14.4"/>
  <cols>
    <col min="1" max="1" width="20" style="1" customWidth="1"/>
    <col min="2" max="8" width="15" style="1" customWidth="1"/>
    <col min="9" max="9" width="5" style="1" customWidth="1"/>
    <col min="10" max="10" width="9.109375" style="1" customWidth="1"/>
    <col min="11" max="11" width="40" style="1" customWidth="1"/>
    <col min="12" max="12" width="15" style="1" customWidth="1"/>
    <col min="13" max="13" width="9.109375" style="1" customWidth="1"/>
    <col min="14" max="16384" width="9.109375" style="1"/>
  </cols>
  <sheetData>
    <row r="1" spans="1:12">
      <c r="A1" s="135" t="s">
        <v>702</v>
      </c>
      <c r="B1" s="135"/>
      <c r="C1" s="135"/>
      <c r="D1" s="135"/>
      <c r="E1" s="135"/>
      <c r="F1" s="135"/>
      <c r="G1" s="135"/>
    </row>
    <row r="3" spans="1:12">
      <c r="B3" s="3"/>
      <c r="C3" s="3" t="s">
        <v>696</v>
      </c>
      <c r="D3" s="3"/>
      <c r="E3" s="3" t="s">
        <v>697</v>
      </c>
      <c r="F3" s="3"/>
      <c r="G3" s="3"/>
    </row>
    <row r="4" spans="1:12">
      <c r="B4" s="3" t="s">
        <v>3</v>
      </c>
      <c r="C4" s="3" t="s">
        <v>698</v>
      </c>
      <c r="D4" s="3" t="s">
        <v>5</v>
      </c>
      <c r="E4" s="3" t="s">
        <v>698</v>
      </c>
      <c r="F4" s="3" t="s">
        <v>7</v>
      </c>
      <c r="G4" s="3" t="s">
        <v>8</v>
      </c>
    </row>
    <row r="6" spans="1:12">
      <c r="A6" s="1" t="s">
        <v>11</v>
      </c>
      <c r="B6" s="1">
        <f>+'Alabama Life'!B6+'American Chambers'!B6+'American Educators'!B6+'American Integrity'!B6+'Amer Life Asr'!B6+'American Medical'!B6+'Amer Std Life Acc'!B6+AmerWstrn!B6+'AMS Life'!B6+'Andrew Jackson'!B6+'Bankers Commercial'!B6+Benicorp!B6+Centennial!B6+'Coastal States'!B6+'Confed Life (CLIC)'!B6+'Consolidated National'!B6+'Consumers Mutual'!B6+'Consumers United'!B6+'Corporate Life'!B6+'Diamond Benefits'!B6+'EBL Life'!B6+'Family Guaranty'!B6+'Farmers &amp; Ranchers'!B6+'Fidelity Bankers'!B6+'First Natl'!B6+'Franklin American'!B6+'Franklin Protective'!B6+'George Washington'!B6+'Golden State'!B6+'Guarantee Security'!B6+Imerica!B6+'Inter-American'!B6+'International Fin'!B6+'Investment Life of America'!B6+'Investors Equity'!B6+'Kentucky Central'!B6+Legion!B6+'London Pac'!B6+'Medical Savings'!B6+'Midwest Life'!B6+'Mutual Benefit'!B6+'Mutual Security'!B6+'National Affiliated'!B6+'Natl American'!B6+'National Heritage'!B6+'New Jersey Life'!B6+'Old Colony Life'!B6+'Old Faithful'!B6+'Pacific Standard'!B6+SeeChange!B6+'States General'!B6+Statesman!B6+'Summit National'!B6+Supreme!B6+Underwriters!B6+Unison!B6+'United Republic'!B6+Universe!B6+Villanova!B6</f>
        <v>5228589.3397897817</v>
      </c>
      <c r="C6" s="1">
        <f>+'Alabama Life'!C6+'American Chambers'!C6+'American Educators'!C6+'American Integrity'!C6+'Amer Life Asr'!C6+'American Medical'!C6+'Amer Std Life Acc'!C6+AmerWstrn!C6+'AMS Life'!C6+'Andrew Jackson'!C6+'Bankers Commercial'!C6+Benicorp!C6+Centennial!C6+'Coastal States'!C6+'Confed Life (CLIC)'!C6+'Consolidated National'!C6+'Consumers Mutual'!C6+'Consumers United'!C6+'Corporate Life'!C6+'Diamond Benefits'!C6+'EBL Life'!C6+'Family Guaranty'!C6+'Farmers &amp; Ranchers'!C6+'Fidelity Bankers'!C6+'First Natl'!C6+'Franklin American'!C6+'Franklin Protective'!C6+'George Washington'!C6+'Golden State'!C6+'Guarantee Security'!C6+Imerica!C6+'Inter-American'!C6+'International Fin'!C6+'Investment Life of America'!C6+'Investors Equity'!C6+'Kentucky Central'!C6+Legion!C6+'London Pac'!C6+'Medical Savings'!C6+'Midwest Life'!C6+'Mutual Benefit'!C6+'Mutual Security'!C6+'National Affiliated'!C6+'Natl American'!C6+'National Heritage'!C6+'New Jersey Life'!C6+'Old Colony Life'!C6+'Old Faithful'!C6+'Pacific Standard'!C6+SeeChange!C6+'States General'!C6+Statesman!C6+'Summit National'!C6+Supreme!C6+Underwriters!C6+Unison!C6+'United Republic'!C6+Universe!C6+Villanova!C6</f>
        <v>9096845.1723327581</v>
      </c>
      <c r="D6" s="1">
        <f>+'Alabama Life'!D6+'American Chambers'!D6+'American Educators'!D6+'American Integrity'!D6+'Amer Life Asr'!D6+'American Medical'!D6+'Amer Std Life Acc'!D6+AmerWstrn!D6+'AMS Life'!D6+'Andrew Jackson'!D6+'Bankers Commercial'!D6+Benicorp!D6+Centennial!D6+'Coastal States'!D6+'Confed Life (CLIC)'!D6+'Consolidated National'!D6+'Consumers Mutual'!D6+'Consumers United'!D6+'Corporate Life'!D6+'Diamond Benefits'!D6+'EBL Life'!D6+'Family Guaranty'!D6+'Farmers &amp; Ranchers'!D6+'Fidelity Bankers'!D6+'First Natl'!D6+'Franklin American'!D6+'Franklin Protective'!D6+'George Washington'!D6+'Golden State'!D6+'Guarantee Security'!D6+Imerica!D6+'Inter-American'!D6+'International Fin'!D6+'Investment Life of America'!D6+'Investors Equity'!D6+'Kentucky Central'!D6+Legion!D6+'London Pac'!D6+'Medical Savings'!D6+'Midwest Life'!D6+'Mutual Benefit'!D6+'Mutual Security'!D6+'National Affiliated'!D6+'Natl American'!D6+'National Heritage'!D6+'New Jersey Life'!D6+'Old Colony Life'!D6+'Old Faithful'!D6+'Pacific Standard'!D6+SeeChange!D6+'States General'!D6+Statesman!D6+'Summit National'!D6+Supreme!D6+Underwriters!D6+Unison!D6+'United Republic'!D6+Universe!D6+Villanova!D6</f>
        <v>1821458.966612919</v>
      </c>
      <c r="E6" s="1">
        <f>+'Alabama Life'!E6+'American Chambers'!E6+'American Educators'!E6+'American Integrity'!E6+'Amer Life Asr'!E6+'American Medical'!E6+'Amer Std Life Acc'!E6+AmerWstrn!E6+'AMS Life'!E6+'Andrew Jackson'!E6+'Bankers Commercial'!E6+Benicorp!E6+Centennial!E6+'Coastal States'!E6+'Confed Life (CLIC)'!E6+'Consolidated National'!E6+'Consumers Mutual'!E6+'Consumers United'!E6+'Corporate Life'!E6+'Diamond Benefits'!E6+'EBL Life'!E6+'Family Guaranty'!E6+'Farmers &amp; Ranchers'!E6+'Fidelity Bankers'!E6+'First Natl'!E6+'Franklin American'!E6+'Franklin Protective'!E6+'George Washington'!E6+'Golden State'!E6+'Guarantee Security'!E6+Imerica!E6+'Inter-American'!E6+'International Fin'!E6+'Investment Life of America'!E6+'Investors Equity'!E6+'Kentucky Central'!E6+Legion!E6+'London Pac'!E6+'Medical Savings'!E6+'Midwest Life'!E6+'Mutual Benefit'!E6+'Mutual Security'!E6+'National Affiliated'!E6+'Natl American'!E6+'National Heritage'!E6+'New Jersey Life'!E6+'Old Colony Life'!E6+'Old Faithful'!E6+'Pacific Standard'!E6+SeeChange!E6+'States General'!E6+Statesman!E6+'Summit National'!E6+Supreme!E6+Underwriters!E6+Unison!E6+'United Republic'!E6+Universe!E6+Villanova!E6</f>
        <v>0</v>
      </c>
      <c r="F6" s="1">
        <f>+'Alabama Life'!F6+'American Chambers'!F6+'American Educators'!F6+'American Integrity'!F6+'Amer Life Asr'!F6+'American Medical'!F6+'Amer Std Life Acc'!F6+AmerWstrn!F6+'AMS Life'!F6+'Andrew Jackson'!F6+'Bankers Commercial'!F6+Benicorp!F6+Centennial!F6+'Coastal States'!F6+'Confed Life (CLIC)'!F6+'Consolidated National'!F6+'Consumers Mutual'!F6+'Consumers United'!F6+'Corporate Life'!F6+'Diamond Benefits'!F6+'EBL Life'!F6+'Family Guaranty'!F6+'Farmers &amp; Ranchers'!F6+'Fidelity Bankers'!F6+'First Natl'!F6+'Franklin American'!F6+'Franklin Protective'!F6+'George Washington'!F6+'Golden State'!F6+'Guarantee Security'!F6+Imerica!F6+'Inter-American'!F6+'International Fin'!F6+'Investment Life of America'!F6+'Investors Equity'!F6+'Kentucky Central'!F6+Legion!F6+'London Pac'!F6+'Medical Savings'!F6+'Midwest Life'!F6+'Mutual Benefit'!F6+'Mutual Security'!F6+'National Affiliated'!F6+'Natl American'!F6+'National Heritage'!F6+'New Jersey Life'!F6+'Old Colony Life'!F6+'Old Faithful'!F6+'Pacific Standard'!F6+SeeChange!F6+'States General'!F6+Statesman!F6+'Summit National'!F6+Supreme!F6+Underwriters!F6+Unison!F6+'United Republic'!F6+Universe!F6+Villanova!F6</f>
        <v>0</v>
      </c>
      <c r="G6" s="1">
        <f t="shared" ref="G6:G37" si="0">SUM(B6:F6)</f>
        <v>16146893.478735458</v>
      </c>
      <c r="H6" s="1">
        <f>+'Alabama Life'!G6+'American Chambers'!G6+'American Educators'!G6+'American Integrity'!G6+'Amer Life Asr'!G6+'American Medical'!G6+'Amer Std Life Acc'!G6+AmerWstrn!G6+'AMS Life'!G6+'Andrew Jackson'!G6+'Bankers Commercial'!G6+Benicorp!G6+Centennial!G6+'Coastal States'!G6+'Confed Life (CLIC)'!G6+'Consolidated National'!G6+'Consumers Mutual'!G6+'Consumers United'!G6+'Corporate Life'!G6+'Diamond Benefits'!G6+'EBL Life'!G6+'Family Guaranty'!G6+'Farmers &amp; Ranchers'!G6+'Fidelity Bankers'!G6+'First Natl'!G6+'Franklin American'!G6+'Franklin Protective'!G6+'George Washington'!G6+'Golden State'!G6+'Guarantee Security'!G6+Imerica!G6+'Inter-American'!G6+'International Fin'!G6+'Investment Life of America'!G6+'Investors Equity'!G6+'Kentucky Central'!G6+Legion!G6+'London Pac'!G6+'Medical Savings'!G6+'Midwest Life'!G6+'Mutual Benefit'!G6+'Mutual Security'!G6+'National Affiliated'!G6+'Natl American'!G6+'National Heritage'!G6+'New Jersey Life'!G6+'Old Colony Life'!G6+'Old Faithful'!G6+'Pacific Standard'!G6+SeeChange!G6+'States General'!G6+Statesman!G6+'Summit National'!G6+Supreme!G6+Underwriters!G6+Unison!G6+'United Republic'!G6+Universe!G6+Villanova!G6</f>
        <v>16146893.478735462</v>
      </c>
      <c r="I6" s="1">
        <f t="shared" ref="I6:I37" si="1">G6-H6</f>
        <v>0</v>
      </c>
      <c r="K6" s="1" t="s">
        <v>342</v>
      </c>
      <c r="L6" s="1">
        <f>Summary!TOTAL_98825</f>
        <v>3318532.7600000002</v>
      </c>
    </row>
    <row r="7" spans="1:12">
      <c r="A7" s="1" t="s">
        <v>12</v>
      </c>
      <c r="B7" s="1">
        <f>+'Alabama Life'!B7+'American Chambers'!B7+'American Educators'!B7+'American Integrity'!B7+'Amer Life Asr'!B7+'American Medical'!B7+'Amer Std Life Acc'!B7+AmerWstrn!B7+'AMS Life'!B7+'Andrew Jackson'!B7+'Bankers Commercial'!B7+Benicorp!B7+Centennial!B7+'Coastal States'!B7+'Confed Life (CLIC)'!B7+'Consolidated National'!B7+'Consumers Mutual'!B7+'Consumers United'!B7+'Corporate Life'!B7+'Diamond Benefits'!B7+'EBL Life'!B7+'Family Guaranty'!B7+'Farmers &amp; Ranchers'!B7+'Fidelity Bankers'!B7+'First Natl'!B7+'Franklin American'!B7+'Franklin Protective'!B7+'George Washington'!B7+'Golden State'!B7+'Guarantee Security'!B7+Imerica!B7+'Inter-American'!B7+'International Fin'!B7+'Investment Life of America'!B7+'Investors Equity'!B7+'Kentucky Central'!B7+Legion!B7+'London Pac'!B7+'Medical Savings'!B7+'Midwest Life'!B7+'Mutual Benefit'!B7+'Mutual Security'!B7+'National Affiliated'!B7+'Natl American'!B7+'National Heritage'!B7+'New Jersey Life'!B7+'Old Colony Life'!B7+'Old Faithful'!B7+'Pacific Standard'!B7+SeeChange!B7+'States General'!B7+Statesman!B7+'Summit National'!B7+Supreme!B7+Underwriters!B7+Unison!B7+'United Republic'!B7+Universe!B7+Villanova!B7</f>
        <v>131433.68866481315</v>
      </c>
      <c r="C7" s="1">
        <f>+'Alabama Life'!C7+'American Chambers'!C7+'American Educators'!C7+'American Integrity'!C7+'Amer Life Asr'!C7+'American Medical'!C7+'Amer Std Life Acc'!C7+AmerWstrn!C7+'AMS Life'!C7+'Andrew Jackson'!C7+'Bankers Commercial'!C7+Benicorp!C7+Centennial!C7+'Coastal States'!C7+'Confed Life (CLIC)'!C7+'Consolidated National'!C7+'Consumers Mutual'!C7+'Consumers United'!C7+'Corporate Life'!C7+'Diamond Benefits'!C7+'EBL Life'!C7+'Family Guaranty'!C7+'Farmers &amp; Ranchers'!C7+'Fidelity Bankers'!C7+'First Natl'!C7+'Franklin American'!C7+'Franklin Protective'!C7+'George Washington'!C7+'Golden State'!C7+'Guarantee Security'!C7+Imerica!C7+'Inter-American'!C7+'International Fin'!C7+'Investment Life of America'!C7+'Investors Equity'!C7+'Kentucky Central'!C7+Legion!C7+'London Pac'!C7+'Medical Savings'!C7+'Midwest Life'!C7+'Mutual Benefit'!C7+'Mutual Security'!C7+'National Affiliated'!C7+'Natl American'!C7+'National Heritage'!C7+'New Jersey Life'!C7+'Old Colony Life'!C7+'Old Faithful'!C7+'Pacific Standard'!C7+SeeChange!C7+'States General'!C7+Statesman!C7+'Summit National'!C7+Supreme!C7+Underwriters!C7+Unison!C7+'United Republic'!C7+Universe!C7+Villanova!C7</f>
        <v>281644.83166244125</v>
      </c>
      <c r="D7" s="1">
        <f>+'Alabama Life'!D7+'American Chambers'!D7+'American Educators'!D7+'American Integrity'!D7+'Amer Life Asr'!D7+'American Medical'!D7+'Amer Std Life Acc'!D7+AmerWstrn!D7+'AMS Life'!D7+'Andrew Jackson'!D7+'Bankers Commercial'!D7+Benicorp!D7+Centennial!D7+'Coastal States'!D7+'Confed Life (CLIC)'!D7+'Consolidated National'!D7+'Consumers Mutual'!D7+'Consumers United'!D7+'Corporate Life'!D7+'Diamond Benefits'!D7+'EBL Life'!D7+'Family Guaranty'!D7+'Farmers &amp; Ranchers'!D7+'Fidelity Bankers'!D7+'First Natl'!D7+'Franklin American'!D7+'Franklin Protective'!D7+'George Washington'!D7+'Golden State'!D7+'Guarantee Security'!D7+Imerica!D7+'Inter-American'!D7+'International Fin'!D7+'Investment Life of America'!D7+'Investors Equity'!D7+'Kentucky Central'!D7+Legion!D7+'London Pac'!D7+'Medical Savings'!D7+'Midwest Life'!D7+'Mutual Benefit'!D7+'Mutual Security'!D7+'National Affiliated'!D7+'Natl American'!D7+'National Heritage'!D7+'New Jersey Life'!D7+'Old Colony Life'!D7+'Old Faithful'!D7+'Pacific Standard'!D7+SeeChange!D7+'States General'!D7+Statesman!D7+'Summit National'!D7+Supreme!D7+Underwriters!D7+Unison!D7+'United Republic'!D7+Universe!D7+Villanova!D7</f>
        <v>40453.793357462891</v>
      </c>
      <c r="E7" s="1">
        <f>+'Alabama Life'!E7+'American Chambers'!E7+'American Educators'!E7+'American Integrity'!E7+'Amer Life Asr'!E7+'American Medical'!E7+'Amer Std Life Acc'!E7+AmerWstrn!E7+'AMS Life'!E7+'Andrew Jackson'!E7+'Bankers Commercial'!E7+Benicorp!E7+Centennial!E7+'Coastal States'!E7+'Confed Life (CLIC)'!E7+'Consolidated National'!E7+'Consumers Mutual'!E7+'Consumers United'!E7+'Corporate Life'!E7+'Diamond Benefits'!E7+'EBL Life'!E7+'Family Guaranty'!E7+'Farmers &amp; Ranchers'!E7+'Fidelity Bankers'!E7+'First Natl'!E7+'Franklin American'!E7+'Franklin Protective'!E7+'George Washington'!E7+'Golden State'!E7+'Guarantee Security'!E7+Imerica!E7+'Inter-American'!E7+'International Fin'!E7+'Investment Life of America'!E7+'Investors Equity'!E7+'Kentucky Central'!E7+Legion!E7+'London Pac'!E7+'Medical Savings'!E7+'Midwest Life'!E7+'Mutual Benefit'!E7+'Mutual Security'!E7+'National Affiliated'!E7+'Natl American'!E7+'National Heritage'!E7+'New Jersey Life'!E7+'Old Colony Life'!E7+'Old Faithful'!E7+'Pacific Standard'!E7+SeeChange!E7+'States General'!E7+Statesman!E7+'Summit National'!E7+Supreme!E7+Underwriters!E7+Unison!E7+'United Republic'!E7+Universe!E7+Villanova!E7</f>
        <v>-526.53156057171236</v>
      </c>
      <c r="F7" s="1">
        <f>+'Alabama Life'!F7+'American Chambers'!F7+'American Educators'!F7+'American Integrity'!F7+'Amer Life Asr'!F7+'American Medical'!F7+'Amer Std Life Acc'!F7+AmerWstrn!F7+'AMS Life'!F7+'Andrew Jackson'!F7+'Bankers Commercial'!F7+Benicorp!F7+Centennial!F7+'Coastal States'!F7+'Confed Life (CLIC)'!F7+'Consolidated National'!F7+'Consumers Mutual'!F7+'Consumers United'!F7+'Corporate Life'!F7+'Diamond Benefits'!F7+'EBL Life'!F7+'Family Guaranty'!F7+'Farmers &amp; Ranchers'!F7+'Fidelity Bankers'!F7+'First Natl'!F7+'Franklin American'!F7+'Franklin Protective'!F7+'George Washington'!F7+'Golden State'!F7+'Guarantee Security'!F7+Imerica!F7+'Inter-American'!F7+'International Fin'!F7+'Investment Life of America'!F7+'Investors Equity'!F7+'Kentucky Central'!F7+Legion!F7+'London Pac'!F7+'Medical Savings'!F7+'Midwest Life'!F7+'Mutual Benefit'!F7+'Mutual Security'!F7+'National Affiliated'!F7+'Natl American'!F7+'National Heritage'!F7+'New Jersey Life'!F7+'Old Colony Life'!F7+'Old Faithful'!F7+'Pacific Standard'!F7+SeeChange!F7+'States General'!F7+Statesman!F7+'Summit National'!F7+Supreme!F7+Underwriters!F7+Unison!F7+'United Republic'!F7+Universe!F7+Villanova!F7</f>
        <v>0</v>
      </c>
      <c r="G7" s="1">
        <f t="shared" si="0"/>
        <v>453005.78212414565</v>
      </c>
      <c r="H7" s="1">
        <f>+'Alabama Life'!G7+'American Chambers'!G7+'American Educators'!G7+'American Integrity'!G7+'Amer Life Asr'!G7+'American Medical'!G7+'Amer Std Life Acc'!G7+AmerWstrn!G7+'AMS Life'!G7+'Andrew Jackson'!G7+'Bankers Commercial'!G7+Benicorp!G7+Centennial!G7+'Coastal States'!G7+'Confed Life (CLIC)'!G7+'Consolidated National'!G7+'Consumers Mutual'!G7+'Consumers United'!G7+'Corporate Life'!G7+'Diamond Benefits'!G7+'EBL Life'!G7+'Family Guaranty'!G7+'Farmers &amp; Ranchers'!G7+'Fidelity Bankers'!G7+'First Natl'!G7+'Franklin American'!G7+'Franklin Protective'!G7+'George Washington'!G7+'Golden State'!G7+'Guarantee Security'!G7+Imerica!G7+'Inter-American'!G7+'International Fin'!G7+'Investment Life of America'!G7+'Investors Equity'!G7+'Kentucky Central'!G7+Legion!G7+'London Pac'!G7+'Medical Savings'!G7+'Midwest Life'!G7+'Mutual Benefit'!G7+'Mutual Security'!G7+'National Affiliated'!G7+'Natl American'!G7+'National Heritage'!G7+'New Jersey Life'!G7+'Old Colony Life'!G7+'Old Faithful'!G7+'Pacific Standard'!G7+SeeChange!G7+'States General'!G7+Statesman!G7+'Summit National'!G7+Supreme!G7+Underwriters!G7+Unison!G7+'United Republic'!G7+Universe!G7+Villanova!G7</f>
        <v>453005.78212414554</v>
      </c>
      <c r="I7" s="1">
        <f t="shared" si="1"/>
        <v>0</v>
      </c>
      <c r="K7" s="1" t="s">
        <v>348</v>
      </c>
      <c r="L7" s="1">
        <f>Summary!TOTAL_75914</f>
        <v>26432414.784079995</v>
      </c>
    </row>
    <row r="8" spans="1:12">
      <c r="A8" s="1" t="s">
        <v>13</v>
      </c>
      <c r="B8" s="1">
        <f>+'Alabama Life'!B8+'American Chambers'!B8+'American Educators'!B8+'American Integrity'!B8+'Amer Life Asr'!B8+'American Medical'!B8+'Amer Std Life Acc'!B8+AmerWstrn!B8+'AMS Life'!B8+'Andrew Jackson'!B8+'Bankers Commercial'!B8+Benicorp!B8+Centennial!B8+'Coastal States'!B8+'Confed Life (CLIC)'!B8+'Consolidated National'!B8+'Consumers Mutual'!B8+'Consumers United'!B8+'Corporate Life'!B8+'Diamond Benefits'!B8+'EBL Life'!B8+'Family Guaranty'!B8+'Farmers &amp; Ranchers'!B8+'Fidelity Bankers'!B8+'First Natl'!B8+'Franklin American'!B8+'Franklin Protective'!B8+'George Washington'!B8+'Golden State'!B8+'Guarantee Security'!B8+Imerica!B8+'Inter-American'!B8+'International Fin'!B8+'Investment Life of America'!B8+'Investors Equity'!B8+'Kentucky Central'!B8+Legion!B8+'London Pac'!B8+'Medical Savings'!B8+'Midwest Life'!B8+'Mutual Benefit'!B8+'Mutual Security'!B8+'National Affiliated'!B8+'Natl American'!B8+'National Heritage'!B8+'New Jersey Life'!B8+'Old Colony Life'!B8+'Old Faithful'!B8+'Pacific Standard'!B8+SeeChange!B8+'States General'!B8+Statesman!B8+'Summit National'!B8+Supreme!B8+Underwriters!B8+Unison!B8+'United Republic'!B8+Universe!B8+Villanova!B8</f>
        <v>4560131.5292433659</v>
      </c>
      <c r="C8" s="1">
        <f>+'Alabama Life'!C8+'American Chambers'!C8+'American Educators'!C8+'American Integrity'!C8+'Amer Life Asr'!C8+'American Medical'!C8+'Amer Std Life Acc'!C8+AmerWstrn!C8+'AMS Life'!C8+'Andrew Jackson'!C8+'Bankers Commercial'!C8+Benicorp!C8+Centennial!C8+'Coastal States'!C8+'Confed Life (CLIC)'!C8+'Consolidated National'!C8+'Consumers Mutual'!C8+'Consumers United'!C8+'Corporate Life'!C8+'Diamond Benefits'!C8+'EBL Life'!C8+'Family Guaranty'!C8+'Farmers &amp; Ranchers'!C8+'Fidelity Bankers'!C8+'First Natl'!C8+'Franklin American'!C8+'Franklin Protective'!C8+'George Washington'!C8+'Golden State'!C8+'Guarantee Security'!C8+Imerica!C8+'Inter-American'!C8+'International Fin'!C8+'Investment Life of America'!C8+'Investors Equity'!C8+'Kentucky Central'!C8+Legion!C8+'London Pac'!C8+'Medical Savings'!C8+'Midwest Life'!C8+'Mutual Benefit'!C8+'Mutual Security'!C8+'National Affiliated'!C8+'Natl American'!C8+'National Heritage'!C8+'New Jersey Life'!C8+'Old Colony Life'!C8+'Old Faithful'!C8+'Pacific Standard'!C8+SeeChange!C8+'States General'!C8+Statesman!C8+'Summit National'!C8+Supreme!C8+Underwriters!C8+Unison!C8+'United Republic'!C8+Universe!C8+Villanova!C8</f>
        <v>14820024.700104868</v>
      </c>
      <c r="D8" s="1">
        <f>+'Alabama Life'!D8+'American Chambers'!D8+'American Educators'!D8+'American Integrity'!D8+'Amer Life Asr'!D8+'American Medical'!D8+'Amer Std Life Acc'!D8+AmerWstrn!D8+'AMS Life'!D8+'Andrew Jackson'!D8+'Bankers Commercial'!D8+Benicorp!D8+Centennial!D8+'Coastal States'!D8+'Confed Life (CLIC)'!D8+'Consolidated National'!D8+'Consumers Mutual'!D8+'Consumers United'!D8+'Corporate Life'!D8+'Diamond Benefits'!D8+'EBL Life'!D8+'Family Guaranty'!D8+'Farmers &amp; Ranchers'!D8+'Fidelity Bankers'!D8+'First Natl'!D8+'Franklin American'!D8+'Franklin Protective'!D8+'George Washington'!D8+'Golden State'!D8+'Guarantee Security'!D8+Imerica!D8+'Inter-American'!D8+'International Fin'!D8+'Investment Life of America'!D8+'Investors Equity'!D8+'Kentucky Central'!D8+Legion!D8+'London Pac'!D8+'Medical Savings'!D8+'Midwest Life'!D8+'Mutual Benefit'!D8+'Mutual Security'!D8+'National Affiliated'!D8+'Natl American'!D8+'National Heritage'!D8+'New Jersey Life'!D8+'Old Colony Life'!D8+'Old Faithful'!D8+'Pacific Standard'!D8+SeeChange!D8+'States General'!D8+Statesman!D8+'Summit National'!D8+Supreme!D8+Underwriters!D8+Unison!D8+'United Republic'!D8+Universe!D8+Villanova!D8</f>
        <v>2246540.0039016991</v>
      </c>
      <c r="E8" s="1">
        <f>+'Alabama Life'!E8+'American Chambers'!E8+'American Educators'!E8+'American Integrity'!E8+'Amer Life Asr'!E8+'American Medical'!E8+'Amer Std Life Acc'!E8+AmerWstrn!E8+'AMS Life'!E8+'Andrew Jackson'!E8+'Bankers Commercial'!E8+Benicorp!E8+Centennial!E8+'Coastal States'!E8+'Confed Life (CLIC)'!E8+'Consolidated National'!E8+'Consumers Mutual'!E8+'Consumers United'!E8+'Corporate Life'!E8+'Diamond Benefits'!E8+'EBL Life'!E8+'Family Guaranty'!E8+'Farmers &amp; Ranchers'!E8+'Fidelity Bankers'!E8+'First Natl'!E8+'Franklin American'!E8+'Franklin Protective'!E8+'George Washington'!E8+'Golden State'!E8+'Guarantee Security'!E8+Imerica!E8+'Inter-American'!E8+'International Fin'!E8+'Investment Life of America'!E8+'Investors Equity'!E8+'Kentucky Central'!E8+Legion!E8+'London Pac'!E8+'Medical Savings'!E8+'Midwest Life'!E8+'Mutual Benefit'!E8+'Mutual Security'!E8+'National Affiliated'!E8+'Natl American'!E8+'National Heritage'!E8+'New Jersey Life'!E8+'Old Colony Life'!E8+'Old Faithful'!E8+'Pacific Standard'!E8+SeeChange!E8+'States General'!E8+Statesman!E8+'Summit National'!E8+Supreme!E8+Underwriters!E8+Unison!E8+'United Republic'!E8+Universe!E8+Villanova!E8</f>
        <v>0</v>
      </c>
      <c r="F8" s="1">
        <f>+'Alabama Life'!F8+'American Chambers'!F8+'American Educators'!F8+'American Integrity'!F8+'Amer Life Asr'!F8+'American Medical'!F8+'Amer Std Life Acc'!F8+AmerWstrn!F8+'AMS Life'!F8+'Andrew Jackson'!F8+'Bankers Commercial'!F8+Benicorp!F8+Centennial!F8+'Coastal States'!F8+'Confed Life (CLIC)'!F8+'Consolidated National'!F8+'Consumers Mutual'!F8+'Consumers United'!F8+'Corporate Life'!F8+'Diamond Benefits'!F8+'EBL Life'!F8+'Family Guaranty'!F8+'Farmers &amp; Ranchers'!F8+'Fidelity Bankers'!F8+'First Natl'!F8+'Franklin American'!F8+'Franklin Protective'!F8+'George Washington'!F8+'Golden State'!F8+'Guarantee Security'!F8+Imerica!F8+'Inter-American'!F8+'International Fin'!F8+'Investment Life of America'!F8+'Investors Equity'!F8+'Kentucky Central'!F8+Legion!F8+'London Pac'!F8+'Medical Savings'!F8+'Midwest Life'!F8+'Mutual Benefit'!F8+'Mutual Security'!F8+'National Affiliated'!F8+'Natl American'!F8+'National Heritage'!F8+'New Jersey Life'!F8+'Old Colony Life'!F8+'Old Faithful'!F8+'Pacific Standard'!F8+SeeChange!F8+'States General'!F8+Statesman!F8+'Summit National'!F8+Supreme!F8+Underwriters!F8+Unison!F8+'United Republic'!F8+Universe!F8+Villanova!F8</f>
        <v>0</v>
      </c>
      <c r="G8" s="1">
        <f t="shared" si="0"/>
        <v>21626696.233249933</v>
      </c>
      <c r="H8" s="1">
        <f>+'Alabama Life'!G8+'American Chambers'!G8+'American Educators'!G8+'American Integrity'!G8+'Amer Life Asr'!G8+'American Medical'!G8+'Amer Std Life Acc'!G8+AmerWstrn!G8+'AMS Life'!G8+'Andrew Jackson'!G8+'Bankers Commercial'!G8+Benicorp!G8+Centennial!G8+'Coastal States'!G8+'Confed Life (CLIC)'!G8+'Consolidated National'!G8+'Consumers Mutual'!G8+'Consumers United'!G8+'Corporate Life'!G8+'Diamond Benefits'!G8+'EBL Life'!G8+'Family Guaranty'!G8+'Farmers &amp; Ranchers'!G8+'Fidelity Bankers'!G8+'First Natl'!G8+'Franklin American'!G8+'Franklin Protective'!G8+'George Washington'!G8+'Golden State'!G8+'Guarantee Security'!G8+Imerica!G8+'Inter-American'!G8+'International Fin'!G8+'Investment Life of America'!G8+'Investors Equity'!G8+'Kentucky Central'!G8+Legion!G8+'London Pac'!G8+'Medical Savings'!G8+'Midwest Life'!G8+'Mutual Benefit'!G8+'Mutual Security'!G8+'National Affiliated'!G8+'Natl American'!G8+'National Heritage'!G8+'New Jersey Life'!G8+'Old Colony Life'!G8+'Old Faithful'!G8+'Pacific Standard'!G8+SeeChange!G8+'States General'!G8+Statesman!G8+'Summit National'!G8+Supreme!G8+Underwriters!G8+Unison!G8+'United Republic'!G8+Universe!G8+Villanova!G8</f>
        <v>21626696.233249929</v>
      </c>
      <c r="I8" s="1">
        <f t="shared" si="1"/>
        <v>0</v>
      </c>
      <c r="K8" s="1" t="s">
        <v>354</v>
      </c>
      <c r="L8" s="1">
        <f>Summary!TOTAL_60356</f>
        <v>4929655.2699999996</v>
      </c>
    </row>
    <row r="9" spans="1:12">
      <c r="A9" s="1" t="s">
        <v>15</v>
      </c>
      <c r="B9" s="1">
        <f>+'Alabama Life'!B9+'American Chambers'!B9+'American Educators'!B9+'American Integrity'!B9+'Amer Life Asr'!B9+'American Medical'!B9+'Amer Std Life Acc'!B9+AmerWstrn!B9+'AMS Life'!B9+'Andrew Jackson'!B9+'Bankers Commercial'!B9+Benicorp!B9+Centennial!B9+'Coastal States'!B9+'Confed Life (CLIC)'!B9+'Consolidated National'!B9+'Consumers Mutual'!B9+'Consumers United'!B9+'Corporate Life'!B9+'Diamond Benefits'!B9+'EBL Life'!B9+'Family Guaranty'!B9+'Farmers &amp; Ranchers'!B9+'Fidelity Bankers'!B9+'First Natl'!B9+'Franklin American'!B9+'Franklin Protective'!B9+'George Washington'!B9+'Golden State'!B9+'Guarantee Security'!B9+Imerica!B9+'Inter-American'!B9+'International Fin'!B9+'Investment Life of America'!B9+'Investors Equity'!B9+'Kentucky Central'!B9+Legion!B9+'London Pac'!B9+'Medical Savings'!B9+'Midwest Life'!B9+'Mutual Benefit'!B9+'Mutual Security'!B9+'National Affiliated'!B9+'Natl American'!B9+'National Heritage'!B9+'New Jersey Life'!B9+'Old Colony Life'!B9+'Old Faithful'!B9+'Pacific Standard'!B9+SeeChange!B9+'States General'!B9+Statesman!B9+'Summit National'!B9+Supreme!B9+Underwriters!B9+Unison!B9+'United Republic'!B9+Universe!B9+Villanova!B9</f>
        <v>2156594.3874010476</v>
      </c>
      <c r="C9" s="1">
        <f>+'Alabama Life'!C9+'American Chambers'!C9+'American Educators'!C9+'American Integrity'!C9+'Amer Life Asr'!C9+'American Medical'!C9+'Amer Std Life Acc'!C9+AmerWstrn!C9+'AMS Life'!C9+'Andrew Jackson'!C9+'Bankers Commercial'!C9+Benicorp!C9+Centennial!C9+'Coastal States'!C9+'Confed Life (CLIC)'!C9+'Consolidated National'!C9+'Consumers Mutual'!C9+'Consumers United'!C9+'Corporate Life'!C9+'Diamond Benefits'!C9+'EBL Life'!C9+'Family Guaranty'!C9+'Farmers &amp; Ranchers'!C9+'Fidelity Bankers'!C9+'First Natl'!C9+'Franklin American'!C9+'Franklin Protective'!C9+'George Washington'!C9+'Golden State'!C9+'Guarantee Security'!C9+Imerica!C9+'Inter-American'!C9+'International Fin'!C9+'Investment Life of America'!C9+'Investors Equity'!C9+'Kentucky Central'!C9+Legion!C9+'London Pac'!C9+'Medical Savings'!C9+'Midwest Life'!C9+'Mutual Benefit'!C9+'Mutual Security'!C9+'National Affiliated'!C9+'Natl American'!C9+'National Heritage'!C9+'New Jersey Life'!C9+'Old Colony Life'!C9+'Old Faithful'!C9+'Pacific Standard'!C9+SeeChange!C9+'States General'!C9+Statesman!C9+'Summit National'!C9+Supreme!C9+Underwriters!C9+Unison!C9+'United Republic'!C9+Universe!C9+Villanova!C9</f>
        <v>2230373.8965083743</v>
      </c>
      <c r="D9" s="1">
        <f>+'Alabama Life'!D9+'American Chambers'!D9+'American Educators'!D9+'American Integrity'!D9+'Amer Life Asr'!D9+'American Medical'!D9+'Amer Std Life Acc'!D9+AmerWstrn!D9+'AMS Life'!D9+'Andrew Jackson'!D9+'Bankers Commercial'!D9+Benicorp!D9+Centennial!D9+'Coastal States'!D9+'Confed Life (CLIC)'!D9+'Consolidated National'!D9+'Consumers Mutual'!D9+'Consumers United'!D9+'Corporate Life'!D9+'Diamond Benefits'!D9+'EBL Life'!D9+'Family Guaranty'!D9+'Farmers &amp; Ranchers'!D9+'Fidelity Bankers'!D9+'First Natl'!D9+'Franklin American'!D9+'Franklin Protective'!D9+'George Washington'!D9+'Golden State'!D9+'Guarantee Security'!D9+Imerica!D9+'Inter-American'!D9+'International Fin'!D9+'Investment Life of America'!D9+'Investors Equity'!D9+'Kentucky Central'!D9+Legion!D9+'London Pac'!D9+'Medical Savings'!D9+'Midwest Life'!D9+'Mutual Benefit'!D9+'Mutual Security'!D9+'National Affiliated'!D9+'Natl American'!D9+'National Heritage'!D9+'New Jersey Life'!D9+'Old Colony Life'!D9+'Old Faithful'!D9+'Pacific Standard'!D9+SeeChange!D9+'States General'!D9+Statesman!D9+'Summit National'!D9+Supreme!D9+Underwriters!D9+Unison!D9+'United Republic'!D9+Universe!D9+Villanova!D9</f>
        <v>3255799.9476469015</v>
      </c>
      <c r="E9" s="1">
        <f>+'Alabama Life'!E9+'American Chambers'!E9+'American Educators'!E9+'American Integrity'!E9+'Amer Life Asr'!E9+'American Medical'!E9+'Amer Std Life Acc'!E9+AmerWstrn!E9+'AMS Life'!E9+'Andrew Jackson'!E9+'Bankers Commercial'!E9+Benicorp!E9+Centennial!E9+'Coastal States'!E9+'Confed Life (CLIC)'!E9+'Consolidated National'!E9+'Consumers Mutual'!E9+'Consumers United'!E9+'Corporate Life'!E9+'Diamond Benefits'!E9+'EBL Life'!E9+'Family Guaranty'!E9+'Farmers &amp; Ranchers'!E9+'Fidelity Bankers'!E9+'First Natl'!E9+'Franklin American'!E9+'Franklin Protective'!E9+'George Washington'!E9+'Golden State'!E9+'Guarantee Security'!E9+Imerica!E9+'Inter-American'!E9+'International Fin'!E9+'Investment Life of America'!E9+'Investors Equity'!E9+'Kentucky Central'!E9+Legion!E9+'London Pac'!E9+'Medical Savings'!E9+'Midwest Life'!E9+'Mutual Benefit'!E9+'Mutual Security'!E9+'National Affiliated'!E9+'Natl American'!E9+'National Heritage'!E9+'New Jersey Life'!E9+'Old Colony Life'!E9+'Old Faithful'!E9+'Pacific Standard'!E9+SeeChange!E9+'States General'!E9+Statesman!E9+'Summit National'!E9+Supreme!E9+Underwriters!E9+Unison!E9+'United Republic'!E9+Universe!E9+Villanova!E9</f>
        <v>-10.375436133361319</v>
      </c>
      <c r="F9" s="1">
        <f>+'Alabama Life'!F9+'American Chambers'!F9+'American Educators'!F9+'American Integrity'!F9+'Amer Life Asr'!F9+'American Medical'!F9+'Amer Std Life Acc'!F9+AmerWstrn!F9+'AMS Life'!F9+'Andrew Jackson'!F9+'Bankers Commercial'!F9+Benicorp!F9+Centennial!F9+'Coastal States'!F9+'Confed Life (CLIC)'!F9+'Consolidated National'!F9+'Consumers Mutual'!F9+'Consumers United'!F9+'Corporate Life'!F9+'Diamond Benefits'!F9+'EBL Life'!F9+'Family Guaranty'!F9+'Farmers &amp; Ranchers'!F9+'Fidelity Bankers'!F9+'First Natl'!F9+'Franklin American'!F9+'Franklin Protective'!F9+'George Washington'!F9+'Golden State'!F9+'Guarantee Security'!F9+Imerica!F9+'Inter-American'!F9+'International Fin'!F9+'Investment Life of America'!F9+'Investors Equity'!F9+'Kentucky Central'!F9+Legion!F9+'London Pac'!F9+'Medical Savings'!F9+'Midwest Life'!F9+'Mutual Benefit'!F9+'Mutual Security'!F9+'National Affiliated'!F9+'Natl American'!F9+'National Heritage'!F9+'New Jersey Life'!F9+'Old Colony Life'!F9+'Old Faithful'!F9+'Pacific Standard'!F9+SeeChange!F9+'States General'!F9+Statesman!F9+'Summit National'!F9+Supreme!F9+Underwriters!F9+Unison!F9+'United Republic'!F9+Universe!F9+Villanova!F9</f>
        <v>0</v>
      </c>
      <c r="G9" s="1">
        <f t="shared" si="0"/>
        <v>7642757.8561201887</v>
      </c>
      <c r="H9" s="1">
        <f>+'Alabama Life'!G9+'American Chambers'!G9+'American Educators'!G9+'American Integrity'!G9+'Amer Life Asr'!G9+'American Medical'!G9+'Amer Std Life Acc'!G9+AmerWstrn!G9+'AMS Life'!G9+'Andrew Jackson'!G9+'Bankers Commercial'!G9+Benicorp!G9+Centennial!G9+'Coastal States'!G9+'Confed Life (CLIC)'!G9+'Consolidated National'!G9+'Consumers Mutual'!G9+'Consumers United'!G9+'Corporate Life'!G9+'Diamond Benefits'!G9+'EBL Life'!G9+'Family Guaranty'!G9+'Farmers &amp; Ranchers'!G9+'Fidelity Bankers'!G9+'First Natl'!G9+'Franklin American'!G9+'Franklin Protective'!G9+'George Washington'!G9+'Golden State'!G9+'Guarantee Security'!G9+Imerica!G9+'Inter-American'!G9+'International Fin'!G9+'Investment Life of America'!G9+'Investors Equity'!G9+'Kentucky Central'!G9+Legion!G9+'London Pac'!G9+'Medical Savings'!G9+'Midwest Life'!G9+'Mutual Benefit'!G9+'Mutual Security'!G9+'National Affiliated'!G9+'Natl American'!G9+'National Heritage'!G9+'New Jersey Life'!G9+'Old Colony Life'!G9+'Old Faithful'!G9+'Pacific Standard'!G9+SeeChange!G9+'States General'!G9+Statesman!G9+'Summit National'!G9+Supreme!G9+Underwriters!G9+Unison!G9+'United Republic'!G9+Universe!G9+Villanova!G9</f>
        <v>7642757.8561201897</v>
      </c>
      <c r="I9" s="1">
        <f t="shared" si="1"/>
        <v>0</v>
      </c>
      <c r="K9" s="1" t="s">
        <v>359</v>
      </c>
      <c r="L9" s="1">
        <f>Summary!TOTAL_10197</f>
        <v>34222634.49000001</v>
      </c>
    </row>
    <row r="10" spans="1:12">
      <c r="A10" s="1" t="s">
        <v>16</v>
      </c>
      <c r="B10" s="1">
        <f>+'Alabama Life'!B10+'American Chambers'!B10+'American Educators'!B10+'American Integrity'!B10+'Amer Life Asr'!B10+'American Medical'!B10+'Amer Std Life Acc'!B10+AmerWstrn!B10+'AMS Life'!B10+'Andrew Jackson'!B10+'Bankers Commercial'!B10+Benicorp!B10+Centennial!B10+'Coastal States'!B10+'Confed Life (CLIC)'!B10+'Consolidated National'!B10+'Consumers Mutual'!B10+'Consumers United'!B10+'Corporate Life'!B10+'Diamond Benefits'!B10+'EBL Life'!B10+'Family Guaranty'!B10+'Farmers &amp; Ranchers'!B10+'Fidelity Bankers'!B10+'First Natl'!B10+'Franklin American'!B10+'Franklin Protective'!B10+'George Washington'!B10+'Golden State'!B10+'Guarantee Security'!B10+Imerica!B10+'Inter-American'!B10+'International Fin'!B10+'Investment Life of America'!B10+'Investors Equity'!B10+'Kentucky Central'!B10+Legion!B10+'London Pac'!B10+'Medical Savings'!B10+'Midwest Life'!B10+'Mutual Benefit'!B10+'Mutual Security'!B10+'National Affiliated'!B10+'Natl American'!B10+'National Heritage'!B10+'New Jersey Life'!B10+'Old Colony Life'!B10+'Old Faithful'!B10+'Pacific Standard'!B10+SeeChange!B10+'States General'!B10+Statesman!B10+'Summit National'!B10+Supreme!B10+Underwriters!B10+Unison!B10+'United Republic'!B10+Universe!B10+Villanova!B10</f>
        <v>18724050.3509642</v>
      </c>
      <c r="C10" s="1">
        <f>+'Alabama Life'!C10+'American Chambers'!C10+'American Educators'!C10+'American Integrity'!C10+'Amer Life Asr'!C10+'American Medical'!C10+'Amer Std Life Acc'!C10+AmerWstrn!C10+'AMS Life'!C10+'Andrew Jackson'!C10+'Bankers Commercial'!C10+Benicorp!C10+Centennial!C10+'Coastal States'!C10+'Confed Life (CLIC)'!C10+'Consolidated National'!C10+'Consumers Mutual'!C10+'Consumers United'!C10+'Corporate Life'!C10+'Diamond Benefits'!C10+'EBL Life'!C10+'Family Guaranty'!C10+'Farmers &amp; Ranchers'!C10+'Fidelity Bankers'!C10+'First Natl'!C10+'Franklin American'!C10+'Franklin Protective'!C10+'George Washington'!C10+'Golden State'!C10+'Guarantee Security'!C10+Imerica!C10+'Inter-American'!C10+'International Fin'!C10+'Investment Life of America'!C10+'Investors Equity'!C10+'Kentucky Central'!C10+Legion!C10+'London Pac'!C10+'Medical Savings'!C10+'Midwest Life'!C10+'Mutual Benefit'!C10+'Mutual Security'!C10+'National Affiliated'!C10+'Natl American'!C10+'National Heritage'!C10+'New Jersey Life'!C10+'Old Colony Life'!C10+'Old Faithful'!C10+'Pacific Standard'!C10+SeeChange!C10+'States General'!C10+Statesman!C10+'Summit National'!C10+Supreme!C10+Underwriters!C10+Unison!C10+'United Republic'!C10+Universe!C10+Villanova!C10</f>
        <v>20471615.987984084</v>
      </c>
      <c r="D10" s="1">
        <f>+'Alabama Life'!D10+'American Chambers'!D10+'American Educators'!D10+'American Integrity'!D10+'Amer Life Asr'!D10+'American Medical'!D10+'Amer Std Life Acc'!D10+AmerWstrn!D10+'AMS Life'!D10+'Andrew Jackson'!D10+'Bankers Commercial'!D10+Benicorp!D10+Centennial!D10+'Coastal States'!D10+'Confed Life (CLIC)'!D10+'Consolidated National'!D10+'Consumers Mutual'!D10+'Consumers United'!D10+'Corporate Life'!D10+'Diamond Benefits'!D10+'EBL Life'!D10+'Family Guaranty'!D10+'Farmers &amp; Ranchers'!D10+'Fidelity Bankers'!D10+'First Natl'!D10+'Franklin American'!D10+'Franklin Protective'!D10+'George Washington'!D10+'Golden State'!D10+'Guarantee Security'!D10+Imerica!D10+'Inter-American'!D10+'International Fin'!D10+'Investment Life of America'!D10+'Investors Equity'!D10+'Kentucky Central'!D10+Legion!D10+'London Pac'!D10+'Medical Savings'!D10+'Midwest Life'!D10+'Mutual Benefit'!D10+'Mutual Security'!D10+'National Affiliated'!D10+'Natl American'!D10+'National Heritage'!D10+'New Jersey Life'!D10+'Old Colony Life'!D10+'Old Faithful'!D10+'Pacific Standard'!D10+SeeChange!D10+'States General'!D10+Statesman!D10+'Summit National'!D10+Supreme!D10+Underwriters!D10+Unison!D10+'United Republic'!D10+Universe!D10+Villanova!D10</f>
        <v>20412791.208488613</v>
      </c>
      <c r="E10" s="1">
        <f>+'Alabama Life'!E10+'American Chambers'!E10+'American Educators'!E10+'American Integrity'!E10+'Amer Life Asr'!E10+'American Medical'!E10+'Amer Std Life Acc'!E10+AmerWstrn!E10+'AMS Life'!E10+'Andrew Jackson'!E10+'Bankers Commercial'!E10+Benicorp!E10+Centennial!E10+'Coastal States'!E10+'Confed Life (CLIC)'!E10+'Consolidated National'!E10+'Consumers Mutual'!E10+'Consumers United'!E10+'Corporate Life'!E10+'Diamond Benefits'!E10+'EBL Life'!E10+'Family Guaranty'!E10+'Farmers &amp; Ranchers'!E10+'Fidelity Bankers'!E10+'First Natl'!E10+'Franklin American'!E10+'Franklin Protective'!E10+'George Washington'!E10+'Golden State'!E10+'Guarantee Security'!E10+Imerica!E10+'Inter-American'!E10+'International Fin'!E10+'Investment Life of America'!E10+'Investors Equity'!E10+'Kentucky Central'!E10+Legion!E10+'London Pac'!E10+'Medical Savings'!E10+'Midwest Life'!E10+'Mutual Benefit'!E10+'Mutual Security'!E10+'National Affiliated'!E10+'Natl American'!E10+'National Heritage'!E10+'New Jersey Life'!E10+'Old Colony Life'!E10+'Old Faithful'!E10+'Pacific Standard'!E10+SeeChange!E10+'States General'!E10+Statesman!E10+'Summit National'!E10+Supreme!E10+Underwriters!E10+Unison!E10+'United Republic'!E10+Universe!E10+Villanova!E10</f>
        <v>0</v>
      </c>
      <c r="F10" s="1">
        <f>+'Alabama Life'!F10+'American Chambers'!F10+'American Educators'!F10+'American Integrity'!F10+'Amer Life Asr'!F10+'American Medical'!F10+'Amer Std Life Acc'!F10+AmerWstrn!F10+'AMS Life'!F10+'Andrew Jackson'!F10+'Bankers Commercial'!F10+Benicorp!F10+Centennial!F10+'Coastal States'!F10+'Confed Life (CLIC)'!F10+'Consolidated National'!F10+'Consumers Mutual'!F10+'Consumers United'!F10+'Corporate Life'!F10+'Diamond Benefits'!F10+'EBL Life'!F10+'Family Guaranty'!F10+'Farmers &amp; Ranchers'!F10+'Fidelity Bankers'!F10+'First Natl'!F10+'Franklin American'!F10+'Franklin Protective'!F10+'George Washington'!F10+'Golden State'!F10+'Guarantee Security'!F10+Imerica!F10+'Inter-American'!F10+'International Fin'!F10+'Investment Life of America'!F10+'Investors Equity'!F10+'Kentucky Central'!F10+Legion!F10+'London Pac'!F10+'Medical Savings'!F10+'Midwest Life'!F10+'Mutual Benefit'!F10+'Mutual Security'!F10+'National Affiliated'!F10+'Natl American'!F10+'National Heritage'!F10+'New Jersey Life'!F10+'Old Colony Life'!F10+'Old Faithful'!F10+'Pacific Standard'!F10+SeeChange!F10+'States General'!F10+Statesman!F10+'Summit National'!F10+Supreme!F10+Underwriters!F10+Unison!F10+'United Republic'!F10+Universe!F10+Villanova!F10</f>
        <v>0</v>
      </c>
      <c r="G10" s="1">
        <f t="shared" si="0"/>
        <v>59608457.547436893</v>
      </c>
      <c r="H10" s="1">
        <f>+'Alabama Life'!G10+'American Chambers'!G10+'American Educators'!G10+'American Integrity'!G10+'Amer Life Asr'!G10+'American Medical'!G10+'Amer Std Life Acc'!G10+AmerWstrn!G10+'AMS Life'!G10+'Andrew Jackson'!G10+'Bankers Commercial'!G10+Benicorp!G10+Centennial!G10+'Coastal States'!G10+'Confed Life (CLIC)'!G10+'Consolidated National'!G10+'Consumers Mutual'!G10+'Consumers United'!G10+'Corporate Life'!G10+'Diamond Benefits'!G10+'EBL Life'!G10+'Family Guaranty'!G10+'Farmers &amp; Ranchers'!G10+'Fidelity Bankers'!G10+'First Natl'!G10+'Franklin American'!G10+'Franklin Protective'!G10+'George Washington'!G10+'Golden State'!G10+'Guarantee Security'!G10+Imerica!G10+'Inter-American'!G10+'International Fin'!G10+'Investment Life of America'!G10+'Investors Equity'!G10+'Kentucky Central'!G10+Legion!G10+'London Pac'!G10+'Medical Savings'!G10+'Midwest Life'!G10+'Mutual Benefit'!G10+'Mutual Security'!G10+'National Affiliated'!G10+'Natl American'!G10+'National Heritage'!G10+'New Jersey Life'!G10+'Old Colony Life'!G10+'Old Faithful'!G10+'Pacific Standard'!G10+SeeChange!G10+'States General'!G10+Statesman!G10+'Summit National'!G10+Supreme!G10+Underwriters!G10+Unison!G10+'United Republic'!G10+Universe!G10+Villanova!G10</f>
        <v>59608457.547436908</v>
      </c>
      <c r="I10" s="1">
        <f t="shared" si="1"/>
        <v>0</v>
      </c>
      <c r="K10" s="1" t="s">
        <v>364</v>
      </c>
      <c r="L10" s="1">
        <f>Summary!TOTAL_88161</f>
        <v>5385941.5099999998</v>
      </c>
    </row>
    <row r="11" spans="1:12">
      <c r="A11" s="1" t="s">
        <v>18</v>
      </c>
      <c r="B11" s="1">
        <f>+'Alabama Life'!B11+'American Chambers'!B11+'American Educators'!B11+'American Integrity'!B11+'Amer Life Asr'!B11+'American Medical'!B11+'Amer Std Life Acc'!B11+AmerWstrn!B11+'AMS Life'!B11+'Andrew Jackson'!B11+'Bankers Commercial'!B11+Benicorp!B11+Centennial!B11+'Coastal States'!B11+'Confed Life (CLIC)'!B11+'Consolidated National'!B11+'Consumers Mutual'!B11+'Consumers United'!B11+'Corporate Life'!B11+'Diamond Benefits'!B11+'EBL Life'!B11+'Family Guaranty'!B11+'Farmers &amp; Ranchers'!B11+'Fidelity Bankers'!B11+'First Natl'!B11+'Franklin American'!B11+'Franklin Protective'!B11+'George Washington'!B11+'Golden State'!B11+'Guarantee Security'!B11+Imerica!B11+'Inter-American'!B11+'International Fin'!B11+'Investment Life of America'!B11+'Investors Equity'!B11+'Kentucky Central'!B11+Legion!B11+'London Pac'!B11+'Medical Savings'!B11+'Midwest Life'!B11+'Mutual Benefit'!B11+'Mutual Security'!B11+'National Affiliated'!B11+'Natl American'!B11+'National Heritage'!B11+'New Jersey Life'!B11+'Old Colony Life'!B11+'Old Faithful'!B11+'Pacific Standard'!B11+SeeChange!B11+'States General'!B11+Statesman!B11+'Summit National'!B11+Supreme!B11+Underwriters!B11+Unison!B11+'United Republic'!B11+Universe!B11+Villanova!B11</f>
        <v>471893.38979316893</v>
      </c>
      <c r="C11" s="1">
        <f>+'Alabama Life'!C11+'American Chambers'!C11+'American Educators'!C11+'American Integrity'!C11+'Amer Life Asr'!C11+'American Medical'!C11+'Amer Std Life Acc'!C11+AmerWstrn!C11+'AMS Life'!C11+'Andrew Jackson'!C11+'Bankers Commercial'!C11+Benicorp!C11+Centennial!C11+'Coastal States'!C11+'Confed Life (CLIC)'!C11+'Consolidated National'!C11+'Consumers Mutual'!C11+'Consumers United'!C11+'Corporate Life'!C11+'Diamond Benefits'!C11+'EBL Life'!C11+'Family Guaranty'!C11+'Farmers &amp; Ranchers'!C11+'Fidelity Bankers'!C11+'First Natl'!C11+'Franklin American'!C11+'Franklin Protective'!C11+'George Washington'!C11+'Golden State'!C11+'Guarantee Security'!C11+Imerica!C11+'Inter-American'!C11+'International Fin'!C11+'Investment Life of America'!C11+'Investors Equity'!C11+'Kentucky Central'!C11+Legion!C11+'London Pac'!C11+'Medical Savings'!C11+'Midwest Life'!C11+'Mutual Benefit'!C11+'Mutual Security'!C11+'National Affiliated'!C11+'Natl American'!C11+'National Heritage'!C11+'New Jersey Life'!C11+'Old Colony Life'!C11+'Old Faithful'!C11+'Pacific Standard'!C11+SeeChange!C11+'States General'!C11+Statesman!C11+'Summit National'!C11+Supreme!C11+Underwriters!C11+Unison!C11+'United Republic'!C11+Universe!C11+Villanova!C11</f>
        <v>7583932.663661886</v>
      </c>
      <c r="D11" s="1">
        <f>+'Alabama Life'!D11+'American Chambers'!D11+'American Educators'!D11+'American Integrity'!D11+'Amer Life Asr'!D11+'American Medical'!D11+'Amer Std Life Acc'!D11+AmerWstrn!D11+'AMS Life'!D11+'Andrew Jackson'!D11+'Bankers Commercial'!D11+Benicorp!D11+Centennial!D11+'Coastal States'!D11+'Confed Life (CLIC)'!D11+'Consolidated National'!D11+'Consumers Mutual'!D11+'Consumers United'!D11+'Corporate Life'!D11+'Diamond Benefits'!D11+'EBL Life'!D11+'Family Guaranty'!D11+'Farmers &amp; Ranchers'!D11+'Fidelity Bankers'!D11+'First Natl'!D11+'Franklin American'!D11+'Franklin Protective'!D11+'George Washington'!D11+'Golden State'!D11+'Guarantee Security'!D11+Imerica!D11+'Inter-American'!D11+'International Fin'!D11+'Investment Life of America'!D11+'Investors Equity'!D11+'Kentucky Central'!D11+Legion!D11+'London Pac'!D11+'Medical Savings'!D11+'Midwest Life'!D11+'Mutual Benefit'!D11+'Mutual Security'!D11+'National Affiliated'!D11+'Natl American'!D11+'National Heritage'!D11+'New Jersey Life'!D11+'Old Colony Life'!D11+'Old Faithful'!D11+'Pacific Standard'!D11+SeeChange!D11+'States General'!D11+Statesman!D11+'Summit National'!D11+Supreme!D11+Underwriters!D11+Unison!D11+'United Republic'!D11+Universe!D11+Villanova!D11</f>
        <v>7213595.6705935588</v>
      </c>
      <c r="E11" s="1">
        <f>+'Alabama Life'!E11+'American Chambers'!E11+'American Educators'!E11+'American Integrity'!E11+'Amer Life Asr'!E11+'American Medical'!E11+'Amer Std Life Acc'!E11+AmerWstrn!E11+'AMS Life'!E11+'Andrew Jackson'!E11+'Bankers Commercial'!E11+Benicorp!E11+Centennial!E11+'Coastal States'!E11+'Confed Life (CLIC)'!E11+'Consolidated National'!E11+'Consumers Mutual'!E11+'Consumers United'!E11+'Corporate Life'!E11+'Diamond Benefits'!E11+'EBL Life'!E11+'Family Guaranty'!E11+'Farmers &amp; Ranchers'!E11+'Fidelity Bankers'!E11+'First Natl'!E11+'Franklin American'!E11+'Franklin Protective'!E11+'George Washington'!E11+'Golden State'!E11+'Guarantee Security'!E11+Imerica!E11+'Inter-American'!E11+'International Fin'!E11+'Investment Life of America'!E11+'Investors Equity'!E11+'Kentucky Central'!E11+Legion!E11+'London Pac'!E11+'Medical Savings'!E11+'Midwest Life'!E11+'Mutual Benefit'!E11+'Mutual Security'!E11+'National Affiliated'!E11+'Natl American'!E11+'National Heritage'!E11+'New Jersey Life'!E11+'Old Colony Life'!E11+'Old Faithful'!E11+'Pacific Standard'!E11+SeeChange!E11+'States General'!E11+Statesman!E11+'Summit National'!E11+Supreme!E11+Underwriters!E11+Unison!E11+'United Republic'!E11+Universe!E11+Villanova!E11</f>
        <v>0</v>
      </c>
      <c r="F11" s="1">
        <f>+'Alabama Life'!F11+'American Chambers'!F11+'American Educators'!F11+'American Integrity'!F11+'Amer Life Asr'!F11+'American Medical'!F11+'Amer Std Life Acc'!F11+AmerWstrn!F11+'AMS Life'!F11+'Andrew Jackson'!F11+'Bankers Commercial'!F11+Benicorp!F11+Centennial!F11+'Coastal States'!F11+'Confed Life (CLIC)'!F11+'Consolidated National'!F11+'Consumers Mutual'!F11+'Consumers United'!F11+'Corporate Life'!F11+'Diamond Benefits'!F11+'EBL Life'!F11+'Family Guaranty'!F11+'Farmers &amp; Ranchers'!F11+'Fidelity Bankers'!F11+'First Natl'!F11+'Franklin American'!F11+'Franklin Protective'!F11+'George Washington'!F11+'Golden State'!F11+'Guarantee Security'!F11+Imerica!F11+'Inter-American'!F11+'International Fin'!F11+'Investment Life of America'!F11+'Investors Equity'!F11+'Kentucky Central'!F11+Legion!F11+'London Pac'!F11+'Medical Savings'!F11+'Midwest Life'!F11+'Mutual Benefit'!F11+'Mutual Security'!F11+'National Affiliated'!F11+'Natl American'!F11+'National Heritage'!F11+'New Jersey Life'!F11+'Old Colony Life'!F11+'Old Faithful'!F11+'Pacific Standard'!F11+SeeChange!F11+'States General'!F11+Statesman!F11+'Summit National'!F11+Supreme!F11+Underwriters!F11+Unison!F11+'United Republic'!F11+Universe!F11+Villanova!F11</f>
        <v>0</v>
      </c>
      <c r="G11" s="1">
        <f t="shared" si="0"/>
        <v>15269421.724048615</v>
      </c>
      <c r="H11" s="1">
        <f>+'Alabama Life'!G11+'American Chambers'!G11+'American Educators'!G11+'American Integrity'!G11+'Amer Life Asr'!G11+'American Medical'!G11+'Amer Std Life Acc'!G11+AmerWstrn!G11+'AMS Life'!G11+'Andrew Jackson'!G11+'Bankers Commercial'!G11+Benicorp!G11+Centennial!G11+'Coastal States'!G11+'Confed Life (CLIC)'!G11+'Consolidated National'!G11+'Consumers Mutual'!G11+'Consumers United'!G11+'Corporate Life'!G11+'Diamond Benefits'!G11+'EBL Life'!G11+'Family Guaranty'!G11+'Farmers &amp; Ranchers'!G11+'Fidelity Bankers'!G11+'First Natl'!G11+'Franklin American'!G11+'Franklin Protective'!G11+'George Washington'!G11+'Golden State'!G11+'Guarantee Security'!G11+Imerica!G11+'Inter-American'!G11+'International Fin'!G11+'Investment Life of America'!G11+'Investors Equity'!G11+'Kentucky Central'!G11+Legion!G11+'London Pac'!G11+'Medical Savings'!G11+'Midwest Life'!G11+'Mutual Benefit'!G11+'Mutual Security'!G11+'National Affiliated'!G11+'Natl American'!G11+'National Heritage'!G11+'New Jersey Life'!G11+'Old Colony Life'!G11+'Old Faithful'!G11+'Pacific Standard'!G11+SeeChange!G11+'States General'!G11+Statesman!G11+'Summit National'!G11+Supreme!G11+Underwriters!G11+Unison!G11+'United Republic'!G11+Universe!G11+Villanova!G11</f>
        <v>15269421.724048609</v>
      </c>
      <c r="I11" s="1">
        <f t="shared" si="1"/>
        <v>0</v>
      </c>
      <c r="K11" s="1" t="s">
        <v>370</v>
      </c>
      <c r="L11" s="1">
        <f>Summary!TOTAL_81418</f>
        <v>440433.00922114414</v>
      </c>
    </row>
    <row r="12" spans="1:12">
      <c r="A12" s="1" t="s">
        <v>19</v>
      </c>
      <c r="B12" s="1">
        <f>+'Alabama Life'!B12+'American Chambers'!B12+'American Educators'!B12+'American Integrity'!B12+'Amer Life Asr'!B12+'American Medical'!B12+'Amer Std Life Acc'!B12+AmerWstrn!B12+'AMS Life'!B12+'Andrew Jackson'!B12+'Bankers Commercial'!B12+Benicorp!B12+Centennial!B12+'Coastal States'!B12+'Confed Life (CLIC)'!B12+'Consolidated National'!B12+'Consumers Mutual'!B12+'Consumers United'!B12+'Corporate Life'!B12+'Diamond Benefits'!B12+'EBL Life'!B12+'Family Guaranty'!B12+'Farmers &amp; Ranchers'!B12+'Fidelity Bankers'!B12+'First Natl'!B12+'Franklin American'!B12+'Franklin Protective'!B12+'George Washington'!B12+'Golden State'!B12+'Guarantee Security'!B12+Imerica!B12+'Inter-American'!B12+'International Fin'!B12+'Investment Life of America'!B12+'Investors Equity'!B12+'Kentucky Central'!B12+Legion!B12+'London Pac'!B12+'Medical Savings'!B12+'Midwest Life'!B12+'Mutual Benefit'!B12+'Mutual Security'!B12+'National Affiliated'!B12+'Natl American'!B12+'National Heritage'!B12+'New Jersey Life'!B12+'Old Colony Life'!B12+'Old Faithful'!B12+'Pacific Standard'!B12+SeeChange!B12+'States General'!B12+Statesman!B12+'Summit National'!B12+Supreme!B12+Underwriters!B12+Unison!B12+'United Republic'!B12+Universe!B12+Villanova!B12</f>
        <v>-73167.28600927291</v>
      </c>
      <c r="C12" s="1">
        <f>+'Alabama Life'!C12+'American Chambers'!C12+'American Educators'!C12+'American Integrity'!C12+'Amer Life Asr'!C12+'American Medical'!C12+'Amer Std Life Acc'!C12+AmerWstrn!C12+'AMS Life'!C12+'Andrew Jackson'!C12+'Bankers Commercial'!C12+Benicorp!C12+Centennial!C12+'Coastal States'!C12+'Confed Life (CLIC)'!C12+'Consolidated National'!C12+'Consumers Mutual'!C12+'Consumers United'!C12+'Corporate Life'!C12+'Diamond Benefits'!C12+'EBL Life'!C12+'Family Guaranty'!C12+'Farmers &amp; Ranchers'!C12+'Fidelity Bankers'!C12+'First Natl'!C12+'Franklin American'!C12+'Franklin Protective'!C12+'George Washington'!C12+'Golden State'!C12+'Guarantee Security'!C12+Imerica!C12+'Inter-American'!C12+'International Fin'!C12+'Investment Life of America'!C12+'Investors Equity'!C12+'Kentucky Central'!C12+Legion!C12+'London Pac'!C12+'Medical Savings'!C12+'Midwest Life'!C12+'Mutual Benefit'!C12+'Mutual Security'!C12+'National Affiliated'!C12+'Natl American'!C12+'National Heritage'!C12+'New Jersey Life'!C12+'Old Colony Life'!C12+'Old Faithful'!C12+'Pacific Standard'!C12+SeeChange!C12+'States General'!C12+Statesman!C12+'Summit National'!C12+Supreme!C12+Underwriters!C12+Unison!C12+'United Republic'!C12+Universe!C12+Villanova!C12</f>
        <v>89091.929031095671</v>
      </c>
      <c r="D12" s="1">
        <f>+'Alabama Life'!D12+'American Chambers'!D12+'American Educators'!D12+'American Integrity'!D12+'Amer Life Asr'!D12+'American Medical'!D12+'Amer Std Life Acc'!D12+AmerWstrn!D12+'AMS Life'!D12+'Andrew Jackson'!D12+'Bankers Commercial'!D12+Benicorp!D12+Centennial!D12+'Coastal States'!D12+'Confed Life (CLIC)'!D12+'Consolidated National'!D12+'Consumers Mutual'!D12+'Consumers United'!D12+'Corporate Life'!D12+'Diamond Benefits'!D12+'EBL Life'!D12+'Family Guaranty'!D12+'Farmers &amp; Ranchers'!D12+'Fidelity Bankers'!D12+'First Natl'!D12+'Franklin American'!D12+'Franklin Protective'!D12+'George Washington'!D12+'Golden State'!D12+'Guarantee Security'!D12+Imerica!D12+'Inter-American'!D12+'International Fin'!D12+'Investment Life of America'!D12+'Investors Equity'!D12+'Kentucky Central'!D12+Legion!D12+'London Pac'!D12+'Medical Savings'!D12+'Midwest Life'!D12+'Mutual Benefit'!D12+'Mutual Security'!D12+'National Affiliated'!D12+'Natl American'!D12+'National Heritage'!D12+'New Jersey Life'!D12+'Old Colony Life'!D12+'Old Faithful'!D12+'Pacific Standard'!D12+SeeChange!D12+'States General'!D12+Statesman!D12+'Summit National'!D12+Supreme!D12+Underwriters!D12+Unison!D12+'United Republic'!D12+Universe!D12+Villanova!D12</f>
        <v>17808.954646437127</v>
      </c>
      <c r="E12" s="1">
        <f>+'Alabama Life'!E12+'American Chambers'!E12+'American Educators'!E12+'American Integrity'!E12+'Amer Life Asr'!E12+'American Medical'!E12+'Amer Std Life Acc'!E12+AmerWstrn!E12+'AMS Life'!E12+'Andrew Jackson'!E12+'Bankers Commercial'!E12+Benicorp!E12+Centennial!E12+'Coastal States'!E12+'Confed Life (CLIC)'!E12+'Consolidated National'!E12+'Consumers Mutual'!E12+'Consumers United'!E12+'Corporate Life'!E12+'Diamond Benefits'!E12+'EBL Life'!E12+'Family Guaranty'!E12+'Farmers &amp; Ranchers'!E12+'Fidelity Bankers'!E12+'First Natl'!E12+'Franklin American'!E12+'Franklin Protective'!E12+'George Washington'!E12+'Golden State'!E12+'Guarantee Security'!E12+Imerica!E12+'Inter-American'!E12+'International Fin'!E12+'Investment Life of America'!E12+'Investors Equity'!E12+'Kentucky Central'!E12+Legion!E12+'London Pac'!E12+'Medical Savings'!E12+'Midwest Life'!E12+'Mutual Benefit'!E12+'Mutual Security'!E12+'National Affiliated'!E12+'Natl American'!E12+'National Heritage'!E12+'New Jersey Life'!E12+'Old Colony Life'!E12+'Old Faithful'!E12+'Pacific Standard'!E12+SeeChange!E12+'States General'!E12+Statesman!E12+'Summit National'!E12+Supreme!E12+Underwriters!E12+Unison!E12+'United Republic'!E12+Universe!E12+Villanova!E12</f>
        <v>-1407.829435692176</v>
      </c>
      <c r="F12" s="1">
        <f>+'Alabama Life'!F12+'American Chambers'!F12+'American Educators'!F12+'American Integrity'!F12+'Amer Life Asr'!F12+'American Medical'!F12+'Amer Std Life Acc'!F12+AmerWstrn!F12+'AMS Life'!F12+'Andrew Jackson'!F12+'Bankers Commercial'!F12+Benicorp!F12+Centennial!F12+'Coastal States'!F12+'Confed Life (CLIC)'!F12+'Consolidated National'!F12+'Consumers Mutual'!F12+'Consumers United'!F12+'Corporate Life'!F12+'Diamond Benefits'!F12+'EBL Life'!F12+'Family Guaranty'!F12+'Farmers &amp; Ranchers'!F12+'Fidelity Bankers'!F12+'First Natl'!F12+'Franklin American'!F12+'Franklin Protective'!F12+'George Washington'!F12+'Golden State'!F12+'Guarantee Security'!F12+Imerica!F12+'Inter-American'!F12+'International Fin'!F12+'Investment Life of America'!F12+'Investors Equity'!F12+'Kentucky Central'!F12+Legion!F12+'London Pac'!F12+'Medical Savings'!F12+'Midwest Life'!F12+'Mutual Benefit'!F12+'Mutual Security'!F12+'National Affiliated'!F12+'Natl American'!F12+'National Heritage'!F12+'New Jersey Life'!F12+'Old Colony Life'!F12+'Old Faithful'!F12+'Pacific Standard'!F12+SeeChange!F12+'States General'!F12+Statesman!F12+'Summit National'!F12+Supreme!F12+Underwriters!F12+Unison!F12+'United Republic'!F12+Universe!F12+Villanova!F12</f>
        <v>0</v>
      </c>
      <c r="G12" s="1">
        <f t="shared" si="0"/>
        <v>32325.768232567709</v>
      </c>
      <c r="H12" s="1">
        <f>+'Alabama Life'!G12+'American Chambers'!G12+'American Educators'!G12+'American Integrity'!G12+'Amer Life Asr'!G12+'American Medical'!G12+'Amer Std Life Acc'!G12+AmerWstrn!G12+'AMS Life'!G12+'Andrew Jackson'!G12+'Bankers Commercial'!G12+Benicorp!G12+Centennial!G12+'Coastal States'!G12+'Confed Life (CLIC)'!G12+'Consolidated National'!G12+'Consumers Mutual'!G12+'Consumers United'!G12+'Corporate Life'!G12+'Diamond Benefits'!G12+'EBL Life'!G12+'Family Guaranty'!G12+'Farmers &amp; Ranchers'!G12+'Fidelity Bankers'!G12+'First Natl'!G12+'Franklin American'!G12+'Franklin Protective'!G12+'George Washington'!G12+'Golden State'!G12+'Guarantee Security'!G12+Imerica!G12+'Inter-American'!G12+'International Fin'!G12+'Investment Life of America'!G12+'Investors Equity'!G12+'Kentucky Central'!G12+Legion!G12+'London Pac'!G12+'Medical Savings'!G12+'Midwest Life'!G12+'Mutual Benefit'!G12+'Mutual Security'!G12+'National Affiliated'!G12+'Natl American'!G12+'National Heritage'!G12+'New Jersey Life'!G12+'Old Colony Life'!G12+'Old Faithful'!G12+'Pacific Standard'!G12+SeeChange!G12+'States General'!G12+Statesman!G12+'Summit National'!G12+Supreme!G12+Underwriters!G12+Unison!G12+'United Republic'!G12+Universe!G12+Villanova!G12</f>
        <v>32325.768232567742</v>
      </c>
      <c r="I12" s="1">
        <f t="shared" si="1"/>
        <v>-3.2741809263825417E-11</v>
      </c>
      <c r="K12" s="1" t="s">
        <v>374</v>
      </c>
      <c r="L12" s="1">
        <f>Summary!TOTAL_63452</f>
        <v>8476755.4000000004</v>
      </c>
    </row>
    <row r="13" spans="1:12">
      <c r="A13" s="1" t="s">
        <v>21</v>
      </c>
      <c r="B13" s="1">
        <f>+'Alabama Life'!B13+'American Chambers'!B13+'American Educators'!B13+'American Integrity'!B13+'Amer Life Asr'!B13+'American Medical'!B13+'Amer Std Life Acc'!B13+AmerWstrn!B13+'AMS Life'!B13+'Andrew Jackson'!B13+'Bankers Commercial'!B13+Benicorp!B13+Centennial!B13+'Coastal States'!B13+'Confed Life (CLIC)'!B13+'Consolidated National'!B13+'Consumers Mutual'!B13+'Consumers United'!B13+'Corporate Life'!B13+'Diamond Benefits'!B13+'EBL Life'!B13+'Family Guaranty'!B13+'Farmers &amp; Ranchers'!B13+'Fidelity Bankers'!B13+'First Natl'!B13+'Franklin American'!B13+'Franklin Protective'!B13+'George Washington'!B13+'Golden State'!B13+'Guarantee Security'!B13+Imerica!B13+'Inter-American'!B13+'International Fin'!B13+'Investment Life of America'!B13+'Investors Equity'!B13+'Kentucky Central'!B13+Legion!B13+'London Pac'!B13+'Medical Savings'!B13+'Midwest Life'!B13+'Mutual Benefit'!B13+'Mutual Security'!B13+'National Affiliated'!B13+'Natl American'!B13+'National Heritage'!B13+'New Jersey Life'!B13+'Old Colony Life'!B13+'Old Faithful'!B13+'Pacific Standard'!B13+SeeChange!B13+'States General'!B13+Statesman!B13+'Summit National'!B13+Supreme!B13+Underwriters!B13+Unison!B13+'United Republic'!B13+Universe!B13+Villanova!B13</f>
        <v>770514.70006301615</v>
      </c>
      <c r="C13" s="1">
        <f>+'Alabama Life'!C13+'American Chambers'!C13+'American Educators'!C13+'American Integrity'!C13+'Amer Life Asr'!C13+'American Medical'!C13+'Amer Std Life Acc'!C13+AmerWstrn!C13+'AMS Life'!C13+'Andrew Jackson'!C13+'Bankers Commercial'!C13+Benicorp!C13+Centennial!C13+'Coastal States'!C13+'Confed Life (CLIC)'!C13+'Consolidated National'!C13+'Consumers Mutual'!C13+'Consumers United'!C13+'Corporate Life'!C13+'Diamond Benefits'!C13+'EBL Life'!C13+'Family Guaranty'!C13+'Farmers &amp; Ranchers'!C13+'Fidelity Bankers'!C13+'First Natl'!C13+'Franklin American'!C13+'Franklin Protective'!C13+'George Washington'!C13+'Golden State'!C13+'Guarantee Security'!C13+Imerica!C13+'Inter-American'!C13+'International Fin'!C13+'Investment Life of America'!C13+'Investors Equity'!C13+'Kentucky Central'!C13+Legion!C13+'London Pac'!C13+'Medical Savings'!C13+'Midwest Life'!C13+'Mutual Benefit'!C13+'Mutual Security'!C13+'National Affiliated'!C13+'Natl American'!C13+'National Heritage'!C13+'New Jersey Life'!C13+'Old Colony Life'!C13+'Old Faithful'!C13+'Pacific Standard'!C13+SeeChange!C13+'States General'!C13+Statesman!C13+'Summit National'!C13+Supreme!C13+Underwriters!C13+Unison!C13+'United Republic'!C13+Universe!C13+Villanova!C13</f>
        <v>11607132.085914427</v>
      </c>
      <c r="D13" s="1">
        <f>+'Alabama Life'!D13+'American Chambers'!D13+'American Educators'!D13+'American Integrity'!D13+'Amer Life Asr'!D13+'American Medical'!D13+'Amer Std Life Acc'!D13+AmerWstrn!D13+'AMS Life'!D13+'Andrew Jackson'!D13+'Bankers Commercial'!D13+Benicorp!D13+Centennial!D13+'Coastal States'!D13+'Confed Life (CLIC)'!D13+'Consolidated National'!D13+'Consumers Mutual'!D13+'Consumers United'!D13+'Corporate Life'!D13+'Diamond Benefits'!D13+'EBL Life'!D13+'Family Guaranty'!D13+'Farmers &amp; Ranchers'!D13+'Fidelity Bankers'!D13+'First Natl'!D13+'Franklin American'!D13+'Franklin Protective'!D13+'George Washington'!D13+'Golden State'!D13+'Guarantee Security'!D13+Imerica!D13+'Inter-American'!D13+'International Fin'!D13+'Investment Life of America'!D13+'Investors Equity'!D13+'Kentucky Central'!D13+Legion!D13+'London Pac'!D13+'Medical Savings'!D13+'Midwest Life'!D13+'Mutual Benefit'!D13+'Mutual Security'!D13+'National Affiliated'!D13+'Natl American'!D13+'National Heritage'!D13+'New Jersey Life'!D13+'Old Colony Life'!D13+'Old Faithful'!D13+'Pacific Standard'!D13+SeeChange!D13+'States General'!D13+Statesman!D13+'Summit National'!D13+Supreme!D13+Underwriters!D13+Unison!D13+'United Republic'!D13+Universe!D13+Villanova!D13</f>
        <v>1460588.8729678844</v>
      </c>
      <c r="E13" s="1">
        <f>+'Alabama Life'!E13+'American Chambers'!E13+'American Educators'!E13+'American Integrity'!E13+'Amer Life Asr'!E13+'American Medical'!E13+'Amer Std Life Acc'!E13+AmerWstrn!E13+'AMS Life'!E13+'Andrew Jackson'!E13+'Bankers Commercial'!E13+Benicorp!E13+Centennial!E13+'Coastal States'!E13+'Confed Life (CLIC)'!E13+'Consolidated National'!E13+'Consumers Mutual'!E13+'Consumers United'!E13+'Corporate Life'!E13+'Diamond Benefits'!E13+'EBL Life'!E13+'Family Guaranty'!E13+'Farmers &amp; Ranchers'!E13+'Fidelity Bankers'!E13+'First Natl'!E13+'Franklin American'!E13+'Franklin Protective'!E13+'George Washington'!E13+'Golden State'!E13+'Guarantee Security'!E13+Imerica!E13+'Inter-American'!E13+'International Fin'!E13+'Investment Life of America'!E13+'Investors Equity'!E13+'Kentucky Central'!E13+Legion!E13+'London Pac'!E13+'Medical Savings'!E13+'Midwest Life'!E13+'Mutual Benefit'!E13+'Mutual Security'!E13+'National Affiliated'!E13+'Natl American'!E13+'National Heritage'!E13+'New Jersey Life'!E13+'Old Colony Life'!E13+'Old Faithful'!E13+'Pacific Standard'!E13+SeeChange!E13+'States General'!E13+Statesman!E13+'Summit National'!E13+Supreme!E13+Underwriters!E13+Unison!E13+'United Republic'!E13+Universe!E13+Villanova!E13</f>
        <v>232397.14395572752</v>
      </c>
      <c r="F13" s="1">
        <f>+'Alabama Life'!F13+'American Chambers'!F13+'American Educators'!F13+'American Integrity'!F13+'Amer Life Asr'!F13+'American Medical'!F13+'Amer Std Life Acc'!F13+AmerWstrn!F13+'AMS Life'!F13+'Andrew Jackson'!F13+'Bankers Commercial'!F13+Benicorp!F13+Centennial!F13+'Coastal States'!F13+'Confed Life (CLIC)'!F13+'Consolidated National'!F13+'Consumers Mutual'!F13+'Consumers United'!F13+'Corporate Life'!F13+'Diamond Benefits'!F13+'EBL Life'!F13+'Family Guaranty'!F13+'Farmers &amp; Ranchers'!F13+'Fidelity Bankers'!F13+'First Natl'!F13+'Franklin American'!F13+'Franklin Protective'!F13+'George Washington'!F13+'Golden State'!F13+'Guarantee Security'!F13+Imerica!F13+'Inter-American'!F13+'International Fin'!F13+'Investment Life of America'!F13+'Investors Equity'!F13+'Kentucky Central'!F13+Legion!F13+'London Pac'!F13+'Medical Savings'!F13+'Midwest Life'!F13+'Mutual Benefit'!F13+'Mutual Security'!F13+'National Affiliated'!F13+'Natl American'!F13+'National Heritage'!F13+'New Jersey Life'!F13+'Old Colony Life'!F13+'Old Faithful'!F13+'Pacific Standard'!F13+SeeChange!F13+'States General'!F13+Statesman!F13+'Summit National'!F13+Supreme!F13+Underwriters!F13+Unison!F13+'United Republic'!F13+Universe!F13+Villanova!F13</f>
        <v>0</v>
      </c>
      <c r="G13" s="1">
        <f t="shared" si="0"/>
        <v>14070632.802901056</v>
      </c>
      <c r="H13" s="1">
        <f>+'Alabama Life'!G13+'American Chambers'!G13+'American Educators'!G13+'American Integrity'!G13+'Amer Life Asr'!G13+'American Medical'!G13+'Amer Std Life Acc'!G13+AmerWstrn!G13+'AMS Life'!G13+'Andrew Jackson'!G13+'Bankers Commercial'!G13+Benicorp!G13+Centennial!G13+'Coastal States'!G13+'Confed Life (CLIC)'!G13+'Consolidated National'!G13+'Consumers Mutual'!G13+'Consumers United'!G13+'Corporate Life'!G13+'Diamond Benefits'!G13+'EBL Life'!G13+'Family Guaranty'!G13+'Farmers &amp; Ranchers'!G13+'Fidelity Bankers'!G13+'First Natl'!G13+'Franklin American'!G13+'Franklin Protective'!G13+'George Washington'!G13+'Golden State'!G13+'Guarantee Security'!G13+Imerica!G13+'Inter-American'!G13+'International Fin'!G13+'Investment Life of America'!G13+'Investors Equity'!G13+'Kentucky Central'!G13+Legion!G13+'London Pac'!G13+'Medical Savings'!G13+'Midwest Life'!G13+'Mutual Benefit'!G13+'Mutual Security'!G13+'National Affiliated'!G13+'Natl American'!G13+'National Heritage'!G13+'New Jersey Life'!G13+'Old Colony Life'!G13+'Old Faithful'!G13+'Pacific Standard'!G13+SeeChange!G13+'States General'!G13+Statesman!G13+'Summit National'!G13+Supreme!G13+Underwriters!G13+Unison!G13+'United Republic'!G13+Universe!G13+Villanova!G13</f>
        <v>14070632.802901058</v>
      </c>
      <c r="I13" s="1">
        <f t="shared" si="1"/>
        <v>0</v>
      </c>
      <c r="K13" s="1" t="s">
        <v>379</v>
      </c>
      <c r="L13" s="1">
        <f>Summary!TOTAL_60917</f>
        <v>-136052.00999999919</v>
      </c>
    </row>
    <row r="14" spans="1:12">
      <c r="A14" s="1" t="s">
        <v>23</v>
      </c>
      <c r="B14" s="1">
        <f>+'Alabama Life'!B14+'American Chambers'!B14+'American Educators'!B14+'American Integrity'!B14+'Amer Life Asr'!B14+'American Medical'!B14+'Amer Std Life Acc'!B14+AmerWstrn!B14+'AMS Life'!B14+'Andrew Jackson'!B14+'Bankers Commercial'!B14+Benicorp!B14+Centennial!B14+'Coastal States'!B14+'Confed Life (CLIC)'!B14+'Consolidated National'!B14+'Consumers Mutual'!B14+'Consumers United'!B14+'Corporate Life'!B14+'Diamond Benefits'!B14+'EBL Life'!B14+'Family Guaranty'!B14+'Farmers &amp; Ranchers'!B14+'Fidelity Bankers'!B14+'First Natl'!B14+'Franklin American'!B14+'Franklin Protective'!B14+'George Washington'!B14+'Golden State'!B14+'Guarantee Security'!B14+Imerica!B14+'Inter-American'!B14+'International Fin'!B14+'Investment Life of America'!B14+'Investors Equity'!B14+'Kentucky Central'!B14+Legion!B14+'London Pac'!B14+'Medical Savings'!B14+'Midwest Life'!B14+'Mutual Benefit'!B14+'Mutual Security'!B14+'National Affiliated'!B14+'Natl American'!B14+'National Heritage'!B14+'New Jersey Life'!B14+'Old Colony Life'!B14+'Old Faithful'!B14+'Pacific Standard'!B14+SeeChange!B14+'States General'!B14+Statesman!B14+'Summit National'!B14+Supreme!B14+Underwriters!B14+Unison!B14+'United Republic'!B14+Universe!B14+Villanova!B14</f>
        <v>74999.062532341733</v>
      </c>
      <c r="C14" s="1">
        <f>+'Alabama Life'!C14+'American Chambers'!C14+'American Educators'!C14+'American Integrity'!C14+'Amer Life Asr'!C14+'American Medical'!C14+'Amer Std Life Acc'!C14+AmerWstrn!C14+'AMS Life'!C14+'Andrew Jackson'!C14+'Bankers Commercial'!C14+Benicorp!C14+Centennial!C14+'Coastal States'!C14+'Confed Life (CLIC)'!C14+'Consolidated National'!C14+'Consumers Mutual'!C14+'Consumers United'!C14+'Corporate Life'!C14+'Diamond Benefits'!C14+'EBL Life'!C14+'Family Guaranty'!C14+'Farmers &amp; Ranchers'!C14+'Fidelity Bankers'!C14+'First Natl'!C14+'Franklin American'!C14+'Franklin Protective'!C14+'George Washington'!C14+'Golden State'!C14+'Guarantee Security'!C14+Imerica!C14+'Inter-American'!C14+'International Fin'!C14+'Investment Life of America'!C14+'Investors Equity'!C14+'Kentucky Central'!C14+Legion!C14+'London Pac'!C14+'Medical Savings'!C14+'Midwest Life'!C14+'Mutual Benefit'!C14+'Mutual Security'!C14+'National Affiliated'!C14+'Natl American'!C14+'National Heritage'!C14+'New Jersey Life'!C14+'Old Colony Life'!C14+'Old Faithful'!C14+'Pacific Standard'!C14+SeeChange!C14+'States General'!C14+Statesman!C14+'Summit National'!C14+Supreme!C14+Underwriters!C14+Unison!C14+'United Republic'!C14+Universe!C14+Villanova!C14</f>
        <v>104938.51670552044</v>
      </c>
      <c r="D14" s="1">
        <f>+'Alabama Life'!D14+'American Chambers'!D14+'American Educators'!D14+'American Integrity'!D14+'Amer Life Asr'!D14+'American Medical'!D14+'Amer Std Life Acc'!D14+AmerWstrn!D14+'AMS Life'!D14+'Andrew Jackson'!D14+'Bankers Commercial'!D14+Benicorp!D14+Centennial!D14+'Coastal States'!D14+'Confed Life (CLIC)'!D14+'Consolidated National'!D14+'Consumers Mutual'!D14+'Consumers United'!D14+'Corporate Life'!D14+'Diamond Benefits'!D14+'EBL Life'!D14+'Family Guaranty'!D14+'Farmers &amp; Ranchers'!D14+'Fidelity Bankers'!D14+'First Natl'!D14+'Franklin American'!D14+'Franklin Protective'!D14+'George Washington'!D14+'Golden State'!D14+'Guarantee Security'!D14+Imerica!D14+'Inter-American'!D14+'International Fin'!D14+'Investment Life of America'!D14+'Investors Equity'!D14+'Kentucky Central'!D14+Legion!D14+'London Pac'!D14+'Medical Savings'!D14+'Midwest Life'!D14+'Mutual Benefit'!D14+'Mutual Security'!D14+'National Affiliated'!D14+'Natl American'!D14+'National Heritage'!D14+'New Jersey Life'!D14+'Old Colony Life'!D14+'Old Faithful'!D14+'Pacific Standard'!D14+SeeChange!D14+'States General'!D14+Statesman!D14+'Summit National'!D14+Supreme!D14+Underwriters!D14+Unison!D14+'United Republic'!D14+Universe!D14+Villanova!D14</f>
        <v>-5028.2316785513558</v>
      </c>
      <c r="E14" s="1">
        <f>+'Alabama Life'!E14+'American Chambers'!E14+'American Educators'!E14+'American Integrity'!E14+'Amer Life Asr'!E14+'American Medical'!E14+'Amer Std Life Acc'!E14+AmerWstrn!E14+'AMS Life'!E14+'Andrew Jackson'!E14+'Bankers Commercial'!E14+Benicorp!E14+Centennial!E14+'Coastal States'!E14+'Confed Life (CLIC)'!E14+'Consolidated National'!E14+'Consumers Mutual'!E14+'Consumers United'!E14+'Corporate Life'!E14+'Diamond Benefits'!E14+'EBL Life'!E14+'Family Guaranty'!E14+'Farmers &amp; Ranchers'!E14+'Fidelity Bankers'!E14+'First Natl'!E14+'Franklin American'!E14+'Franklin Protective'!E14+'George Washington'!E14+'Golden State'!E14+'Guarantee Security'!E14+Imerica!E14+'Inter-American'!E14+'International Fin'!E14+'Investment Life of America'!E14+'Investors Equity'!E14+'Kentucky Central'!E14+Legion!E14+'London Pac'!E14+'Medical Savings'!E14+'Midwest Life'!E14+'Mutual Benefit'!E14+'Mutual Security'!E14+'National Affiliated'!E14+'Natl American'!E14+'National Heritage'!E14+'New Jersey Life'!E14+'Old Colony Life'!E14+'Old Faithful'!E14+'Pacific Standard'!E14+SeeChange!E14+'States General'!E14+Statesman!E14+'Summit National'!E14+Supreme!E14+Underwriters!E14+Unison!E14+'United Republic'!E14+Universe!E14+Villanova!E14</f>
        <v>0</v>
      </c>
      <c r="F14" s="1">
        <f>+'Alabama Life'!F14+'American Chambers'!F14+'American Educators'!F14+'American Integrity'!F14+'Amer Life Asr'!F14+'American Medical'!F14+'Amer Std Life Acc'!F14+AmerWstrn!F14+'AMS Life'!F14+'Andrew Jackson'!F14+'Bankers Commercial'!F14+Benicorp!F14+Centennial!F14+'Coastal States'!F14+'Confed Life (CLIC)'!F14+'Consolidated National'!F14+'Consumers Mutual'!F14+'Consumers United'!F14+'Corporate Life'!F14+'Diamond Benefits'!F14+'EBL Life'!F14+'Family Guaranty'!F14+'Farmers &amp; Ranchers'!F14+'Fidelity Bankers'!F14+'First Natl'!F14+'Franklin American'!F14+'Franklin Protective'!F14+'George Washington'!F14+'Golden State'!F14+'Guarantee Security'!F14+Imerica!F14+'Inter-American'!F14+'International Fin'!F14+'Investment Life of America'!F14+'Investors Equity'!F14+'Kentucky Central'!F14+Legion!F14+'London Pac'!F14+'Medical Savings'!F14+'Midwest Life'!F14+'Mutual Benefit'!F14+'Mutual Security'!F14+'National Affiliated'!F14+'Natl American'!F14+'National Heritage'!F14+'New Jersey Life'!F14+'Old Colony Life'!F14+'Old Faithful'!F14+'Pacific Standard'!F14+SeeChange!F14+'States General'!F14+Statesman!F14+'Summit National'!F14+Supreme!F14+Underwriters!F14+Unison!F14+'United Republic'!F14+Universe!F14+Villanova!F14</f>
        <v>0</v>
      </c>
      <c r="G14" s="1">
        <f t="shared" si="0"/>
        <v>174909.34755931082</v>
      </c>
      <c r="H14" s="1">
        <f>+'Alabama Life'!G14+'American Chambers'!G14+'American Educators'!G14+'American Integrity'!G14+'Amer Life Asr'!G14+'American Medical'!G14+'Amer Std Life Acc'!G14+AmerWstrn!G14+'AMS Life'!G14+'Andrew Jackson'!G14+'Bankers Commercial'!G14+Benicorp!G14+Centennial!G14+'Coastal States'!G14+'Confed Life (CLIC)'!G14+'Consolidated National'!G14+'Consumers Mutual'!G14+'Consumers United'!G14+'Corporate Life'!G14+'Diamond Benefits'!G14+'EBL Life'!G14+'Family Guaranty'!G14+'Farmers &amp; Ranchers'!G14+'Fidelity Bankers'!G14+'First Natl'!G14+'Franklin American'!G14+'Franklin Protective'!G14+'George Washington'!G14+'Golden State'!G14+'Guarantee Security'!G14+Imerica!G14+'Inter-American'!G14+'International Fin'!G14+'Investment Life of America'!G14+'Investors Equity'!G14+'Kentucky Central'!G14+Legion!G14+'London Pac'!G14+'Medical Savings'!G14+'Midwest Life'!G14+'Mutual Benefit'!G14+'Mutual Security'!G14+'National Affiliated'!G14+'Natl American'!G14+'National Heritage'!G14+'New Jersey Life'!G14+'Old Colony Life'!G14+'Old Faithful'!G14+'Pacific Standard'!G14+SeeChange!G14+'States General'!G14+Statesman!G14+'Summit National'!G14+Supreme!G14+Underwriters!G14+Unison!G14+'United Republic'!G14+Universe!G14+Villanova!G14</f>
        <v>174909.34755931082</v>
      </c>
      <c r="I14" s="1">
        <f t="shared" si="1"/>
        <v>0</v>
      </c>
      <c r="K14" s="1" t="s">
        <v>385</v>
      </c>
      <c r="L14" s="1">
        <f>Summary!TOTAL_86142</f>
        <v>33226067.66</v>
      </c>
    </row>
    <row r="15" spans="1:12">
      <c r="A15" s="1" t="s">
        <v>25</v>
      </c>
      <c r="B15" s="1">
        <f>+'Alabama Life'!B15+'American Chambers'!B15+'American Educators'!B15+'American Integrity'!B15+'Amer Life Asr'!B15+'American Medical'!B15+'Amer Std Life Acc'!B15+AmerWstrn!B15+'AMS Life'!B15+'Andrew Jackson'!B15+'Bankers Commercial'!B15+Benicorp!B15+Centennial!B15+'Coastal States'!B15+'Confed Life (CLIC)'!B15+'Consolidated National'!B15+'Consumers Mutual'!B15+'Consumers United'!B15+'Corporate Life'!B15+'Diamond Benefits'!B15+'EBL Life'!B15+'Family Guaranty'!B15+'Farmers &amp; Ranchers'!B15+'Fidelity Bankers'!B15+'First Natl'!B15+'Franklin American'!B15+'Franklin Protective'!B15+'George Washington'!B15+'Golden State'!B15+'Guarantee Security'!B15+Imerica!B15+'Inter-American'!B15+'International Fin'!B15+'Investment Life of America'!B15+'Investors Equity'!B15+'Kentucky Central'!B15+Legion!B15+'London Pac'!B15+'Medical Savings'!B15+'Midwest Life'!B15+'Mutual Benefit'!B15+'Mutual Security'!B15+'National Affiliated'!B15+'Natl American'!B15+'National Heritage'!B15+'New Jersey Life'!B15+'Old Colony Life'!B15+'Old Faithful'!B15+'Pacific Standard'!B15+SeeChange!B15+'States General'!B15+Statesman!B15+'Summit National'!B15+Supreme!B15+Underwriters!B15+Unison!B15+'United Republic'!B15+Universe!B15+Villanova!B15</f>
        <v>17431398.572504811</v>
      </c>
      <c r="C15" s="1">
        <f>+'Alabama Life'!C15+'American Chambers'!C15+'American Educators'!C15+'American Integrity'!C15+'Amer Life Asr'!C15+'American Medical'!C15+'Amer Std Life Acc'!C15+AmerWstrn!C15+'AMS Life'!C15+'Andrew Jackson'!C15+'Bankers Commercial'!C15+Benicorp!C15+Centennial!C15+'Coastal States'!C15+'Confed Life (CLIC)'!C15+'Consolidated National'!C15+'Consumers Mutual'!C15+'Consumers United'!C15+'Corporate Life'!C15+'Diamond Benefits'!C15+'EBL Life'!C15+'Family Guaranty'!C15+'Farmers &amp; Ranchers'!C15+'Fidelity Bankers'!C15+'First Natl'!C15+'Franklin American'!C15+'Franklin Protective'!C15+'George Washington'!C15+'Golden State'!C15+'Guarantee Security'!C15+Imerica!C15+'Inter-American'!C15+'International Fin'!C15+'Investment Life of America'!C15+'Investors Equity'!C15+'Kentucky Central'!C15+Legion!C15+'London Pac'!C15+'Medical Savings'!C15+'Midwest Life'!C15+'Mutual Benefit'!C15+'Mutual Security'!C15+'National Affiliated'!C15+'Natl American'!C15+'National Heritage'!C15+'New Jersey Life'!C15+'Old Colony Life'!C15+'Old Faithful'!C15+'Pacific Standard'!C15+SeeChange!C15+'States General'!C15+Statesman!C15+'Summit National'!C15+Supreme!C15+Underwriters!C15+Unison!C15+'United Republic'!C15+Universe!C15+Villanova!C15</f>
        <v>96802338.207693338</v>
      </c>
      <c r="D15" s="1">
        <f>+'Alabama Life'!D15+'American Chambers'!D15+'American Educators'!D15+'American Integrity'!D15+'Amer Life Asr'!D15+'American Medical'!D15+'Amer Std Life Acc'!D15+AmerWstrn!D15+'AMS Life'!D15+'Andrew Jackson'!D15+'Bankers Commercial'!D15+Benicorp!D15+Centennial!D15+'Coastal States'!D15+'Confed Life (CLIC)'!D15+'Consolidated National'!D15+'Consumers Mutual'!D15+'Consumers United'!D15+'Corporate Life'!D15+'Diamond Benefits'!D15+'EBL Life'!D15+'Family Guaranty'!D15+'Farmers &amp; Ranchers'!D15+'Fidelity Bankers'!D15+'First Natl'!D15+'Franklin American'!D15+'Franklin Protective'!D15+'George Washington'!D15+'Golden State'!D15+'Guarantee Security'!D15+Imerica!D15+'Inter-American'!D15+'International Fin'!D15+'Investment Life of America'!D15+'Investors Equity'!D15+'Kentucky Central'!D15+Legion!D15+'London Pac'!D15+'Medical Savings'!D15+'Midwest Life'!D15+'Mutual Benefit'!D15+'Mutual Security'!D15+'National Affiliated'!D15+'Natl American'!D15+'National Heritage'!D15+'New Jersey Life'!D15+'Old Colony Life'!D15+'Old Faithful'!D15+'Pacific Standard'!D15+SeeChange!D15+'States General'!D15+Statesman!D15+'Summit National'!D15+Supreme!D15+Underwriters!D15+Unison!D15+'United Republic'!D15+Universe!D15+Villanova!D15</f>
        <v>22139886.056493536</v>
      </c>
      <c r="E15" s="1">
        <f>+'Alabama Life'!E15+'American Chambers'!E15+'American Educators'!E15+'American Integrity'!E15+'Amer Life Asr'!E15+'American Medical'!E15+'Amer Std Life Acc'!E15+AmerWstrn!E15+'AMS Life'!E15+'Andrew Jackson'!E15+'Bankers Commercial'!E15+Benicorp!E15+Centennial!E15+'Coastal States'!E15+'Confed Life (CLIC)'!E15+'Consolidated National'!E15+'Consumers Mutual'!E15+'Consumers United'!E15+'Corporate Life'!E15+'Diamond Benefits'!E15+'EBL Life'!E15+'Family Guaranty'!E15+'Farmers &amp; Ranchers'!E15+'Fidelity Bankers'!E15+'First Natl'!E15+'Franklin American'!E15+'Franklin Protective'!E15+'George Washington'!E15+'Golden State'!E15+'Guarantee Security'!E15+Imerica!E15+'Inter-American'!E15+'International Fin'!E15+'Investment Life of America'!E15+'Investors Equity'!E15+'Kentucky Central'!E15+Legion!E15+'London Pac'!E15+'Medical Savings'!E15+'Midwest Life'!E15+'Mutual Benefit'!E15+'Mutual Security'!E15+'National Affiliated'!E15+'Natl American'!E15+'National Heritage'!E15+'New Jersey Life'!E15+'Old Colony Life'!E15+'Old Faithful'!E15+'Pacific Standard'!E15+SeeChange!E15+'States General'!E15+Statesman!E15+'Summit National'!E15+Supreme!E15+Underwriters!E15+Unison!E15+'United Republic'!E15+Universe!E15+Villanova!E15</f>
        <v>5811.7582404316236</v>
      </c>
      <c r="F15" s="1">
        <f>+'Alabama Life'!F15+'American Chambers'!F15+'American Educators'!F15+'American Integrity'!F15+'Amer Life Asr'!F15+'American Medical'!F15+'Amer Std Life Acc'!F15+AmerWstrn!F15+'AMS Life'!F15+'Andrew Jackson'!F15+'Bankers Commercial'!F15+Benicorp!F15+Centennial!F15+'Coastal States'!F15+'Confed Life (CLIC)'!F15+'Consolidated National'!F15+'Consumers Mutual'!F15+'Consumers United'!F15+'Corporate Life'!F15+'Diamond Benefits'!F15+'EBL Life'!F15+'Family Guaranty'!F15+'Farmers &amp; Ranchers'!F15+'Fidelity Bankers'!F15+'First Natl'!F15+'Franklin American'!F15+'Franklin Protective'!F15+'George Washington'!F15+'Golden State'!F15+'Guarantee Security'!F15+Imerica!F15+'Inter-American'!F15+'International Fin'!F15+'Investment Life of America'!F15+'Investors Equity'!F15+'Kentucky Central'!F15+Legion!F15+'London Pac'!F15+'Medical Savings'!F15+'Midwest Life'!F15+'Mutual Benefit'!F15+'Mutual Security'!F15+'National Affiliated'!F15+'Natl American'!F15+'National Heritage'!F15+'New Jersey Life'!F15+'Old Colony Life'!F15+'Old Faithful'!F15+'Pacific Standard'!F15+SeeChange!F15+'States General'!F15+Statesman!F15+'Summit National'!F15+Supreme!F15+Underwriters!F15+Unison!F15+'United Republic'!F15+Universe!F15+Villanova!F15</f>
        <v>0</v>
      </c>
      <c r="G15" s="1">
        <f t="shared" si="0"/>
        <v>136379434.59493211</v>
      </c>
      <c r="H15" s="1">
        <f>+'Alabama Life'!G15+'American Chambers'!G15+'American Educators'!G15+'American Integrity'!G15+'Amer Life Asr'!G15+'American Medical'!G15+'Amer Std Life Acc'!G15+AmerWstrn!G15+'AMS Life'!G15+'Andrew Jackson'!G15+'Bankers Commercial'!G15+Benicorp!G15+Centennial!G15+'Coastal States'!G15+'Confed Life (CLIC)'!G15+'Consolidated National'!G15+'Consumers Mutual'!G15+'Consumers United'!G15+'Corporate Life'!G15+'Diamond Benefits'!G15+'EBL Life'!G15+'Family Guaranty'!G15+'Farmers &amp; Ranchers'!G15+'Fidelity Bankers'!G15+'First Natl'!G15+'Franklin American'!G15+'Franklin Protective'!G15+'George Washington'!G15+'Golden State'!G15+'Guarantee Security'!G15+Imerica!G15+'Inter-American'!G15+'International Fin'!G15+'Investment Life of America'!G15+'Investors Equity'!G15+'Kentucky Central'!G15+Legion!G15+'London Pac'!G15+'Medical Savings'!G15+'Midwest Life'!G15+'Mutual Benefit'!G15+'Mutual Security'!G15+'National Affiliated'!G15+'Natl American'!G15+'National Heritage'!G15+'New Jersey Life'!G15+'Old Colony Life'!G15+'Old Faithful'!G15+'Pacific Standard'!G15+SeeChange!G15+'States General'!G15+Statesman!G15+'Summit National'!G15+Supreme!G15+Underwriters!G15+Unison!G15+'United Republic'!G15+Universe!G15+Villanova!G15</f>
        <v>136379434.59493211</v>
      </c>
      <c r="I15" s="1">
        <f t="shared" si="1"/>
        <v>0</v>
      </c>
      <c r="K15" s="1" t="s">
        <v>391</v>
      </c>
      <c r="L15" s="1">
        <f>Summary!TOTAL_60968</f>
        <v>25146789.261200495</v>
      </c>
    </row>
    <row r="16" spans="1:12">
      <c r="A16" s="1" t="s">
        <v>27</v>
      </c>
      <c r="B16" s="1">
        <f>+'Alabama Life'!B16+'American Chambers'!B16+'American Educators'!B16+'American Integrity'!B16+'Amer Life Asr'!B16+'American Medical'!B16+'Amer Std Life Acc'!B16+AmerWstrn!B16+'AMS Life'!B16+'Andrew Jackson'!B16+'Bankers Commercial'!B16+Benicorp!B16+Centennial!B16+'Coastal States'!B16+'Confed Life (CLIC)'!B16+'Consolidated National'!B16+'Consumers Mutual'!B16+'Consumers United'!B16+'Corporate Life'!B16+'Diamond Benefits'!B16+'EBL Life'!B16+'Family Guaranty'!B16+'Farmers &amp; Ranchers'!B16+'Fidelity Bankers'!B16+'First Natl'!B16+'Franklin American'!B16+'Franklin Protective'!B16+'George Washington'!B16+'Golden State'!B16+'Guarantee Security'!B16+Imerica!B16+'Inter-American'!B16+'International Fin'!B16+'Investment Life of America'!B16+'Investors Equity'!B16+'Kentucky Central'!B16+Legion!B16+'London Pac'!B16+'Medical Savings'!B16+'Midwest Life'!B16+'Mutual Benefit'!B16+'Mutual Security'!B16+'National Affiliated'!B16+'Natl American'!B16+'National Heritage'!B16+'New Jersey Life'!B16+'Old Colony Life'!B16+'Old Faithful'!B16+'Pacific Standard'!B16+SeeChange!B16+'States General'!B16+Statesman!B16+'Summit National'!B16+Supreme!B16+Underwriters!B16+Unison!B16+'United Republic'!B16+Universe!B16+Villanova!B16</f>
        <v>2610089.0671823188</v>
      </c>
      <c r="C16" s="1">
        <f>+'Alabama Life'!C16+'American Chambers'!C16+'American Educators'!C16+'American Integrity'!C16+'Amer Life Asr'!C16+'American Medical'!C16+'Amer Std Life Acc'!C16+AmerWstrn!C16+'AMS Life'!C16+'Andrew Jackson'!C16+'Bankers Commercial'!C16+Benicorp!C16+Centennial!C16+'Coastal States'!C16+'Confed Life (CLIC)'!C16+'Consolidated National'!C16+'Consumers Mutual'!C16+'Consumers United'!C16+'Corporate Life'!C16+'Diamond Benefits'!C16+'EBL Life'!C16+'Family Guaranty'!C16+'Farmers &amp; Ranchers'!C16+'Fidelity Bankers'!C16+'First Natl'!C16+'Franklin American'!C16+'Franklin Protective'!C16+'George Washington'!C16+'Golden State'!C16+'Guarantee Security'!C16+Imerica!C16+'Inter-American'!C16+'International Fin'!C16+'Investment Life of America'!C16+'Investors Equity'!C16+'Kentucky Central'!C16+Legion!C16+'London Pac'!C16+'Medical Savings'!C16+'Midwest Life'!C16+'Mutual Benefit'!C16+'Mutual Security'!C16+'National Affiliated'!C16+'Natl American'!C16+'National Heritage'!C16+'New Jersey Life'!C16+'Old Colony Life'!C16+'Old Faithful'!C16+'Pacific Standard'!C16+SeeChange!C16+'States General'!C16+Statesman!C16+'Summit National'!C16+Supreme!C16+Underwriters!C16+Unison!C16+'United Republic'!C16+Universe!C16+Villanova!C16</f>
        <v>6166666.7866787519</v>
      </c>
      <c r="D16" s="1">
        <f>+'Alabama Life'!D16+'American Chambers'!D16+'American Educators'!D16+'American Integrity'!D16+'Amer Life Asr'!D16+'American Medical'!D16+'Amer Std Life Acc'!D16+AmerWstrn!D16+'AMS Life'!D16+'Andrew Jackson'!D16+'Bankers Commercial'!D16+Benicorp!D16+Centennial!D16+'Coastal States'!D16+'Confed Life (CLIC)'!D16+'Consolidated National'!D16+'Consumers Mutual'!D16+'Consumers United'!D16+'Corporate Life'!D16+'Diamond Benefits'!D16+'EBL Life'!D16+'Family Guaranty'!D16+'Farmers &amp; Ranchers'!D16+'Fidelity Bankers'!D16+'First Natl'!D16+'Franklin American'!D16+'Franklin Protective'!D16+'George Washington'!D16+'Golden State'!D16+'Guarantee Security'!D16+Imerica!D16+'Inter-American'!D16+'International Fin'!D16+'Investment Life of America'!D16+'Investors Equity'!D16+'Kentucky Central'!D16+Legion!D16+'London Pac'!D16+'Medical Savings'!D16+'Midwest Life'!D16+'Mutual Benefit'!D16+'Mutual Security'!D16+'National Affiliated'!D16+'Natl American'!D16+'National Heritage'!D16+'New Jersey Life'!D16+'Old Colony Life'!D16+'Old Faithful'!D16+'Pacific Standard'!D16+SeeChange!D16+'States General'!D16+Statesman!D16+'Summit National'!D16+Supreme!D16+Underwriters!D16+Unison!D16+'United Republic'!D16+Universe!D16+Villanova!D16</f>
        <v>8612203.9044264164</v>
      </c>
      <c r="E16" s="1">
        <f>+'Alabama Life'!E16+'American Chambers'!E16+'American Educators'!E16+'American Integrity'!E16+'Amer Life Asr'!E16+'American Medical'!E16+'Amer Std Life Acc'!E16+AmerWstrn!E16+'AMS Life'!E16+'Andrew Jackson'!E16+'Bankers Commercial'!E16+Benicorp!E16+Centennial!E16+'Coastal States'!E16+'Confed Life (CLIC)'!E16+'Consolidated National'!E16+'Consumers Mutual'!E16+'Consumers United'!E16+'Corporate Life'!E16+'Diamond Benefits'!E16+'EBL Life'!E16+'Family Guaranty'!E16+'Farmers &amp; Ranchers'!E16+'Fidelity Bankers'!E16+'First Natl'!E16+'Franklin American'!E16+'Franklin Protective'!E16+'George Washington'!E16+'Golden State'!E16+'Guarantee Security'!E16+Imerica!E16+'Inter-American'!E16+'International Fin'!E16+'Investment Life of America'!E16+'Investors Equity'!E16+'Kentucky Central'!E16+Legion!E16+'London Pac'!E16+'Medical Savings'!E16+'Midwest Life'!E16+'Mutual Benefit'!E16+'Mutual Security'!E16+'National Affiliated'!E16+'Natl American'!E16+'National Heritage'!E16+'New Jersey Life'!E16+'Old Colony Life'!E16+'Old Faithful'!E16+'Pacific Standard'!E16+SeeChange!E16+'States General'!E16+Statesman!E16+'Summit National'!E16+Supreme!E16+Underwriters!E16+Unison!E16+'United Republic'!E16+Universe!E16+Villanova!E16</f>
        <v>112616.9169860003</v>
      </c>
      <c r="F16" s="1">
        <f>+'Alabama Life'!F16+'American Chambers'!F16+'American Educators'!F16+'American Integrity'!F16+'Amer Life Asr'!F16+'American Medical'!F16+'Amer Std Life Acc'!F16+AmerWstrn!F16+'AMS Life'!F16+'Andrew Jackson'!F16+'Bankers Commercial'!F16+Benicorp!F16+Centennial!F16+'Coastal States'!F16+'Confed Life (CLIC)'!F16+'Consolidated National'!F16+'Consumers Mutual'!F16+'Consumers United'!F16+'Corporate Life'!F16+'Diamond Benefits'!F16+'EBL Life'!F16+'Family Guaranty'!F16+'Farmers &amp; Ranchers'!F16+'Fidelity Bankers'!F16+'First Natl'!F16+'Franklin American'!F16+'Franklin Protective'!F16+'George Washington'!F16+'Golden State'!F16+'Guarantee Security'!F16+Imerica!F16+'Inter-American'!F16+'International Fin'!F16+'Investment Life of America'!F16+'Investors Equity'!F16+'Kentucky Central'!F16+Legion!F16+'London Pac'!F16+'Medical Savings'!F16+'Midwest Life'!F16+'Mutual Benefit'!F16+'Mutual Security'!F16+'National Affiliated'!F16+'Natl American'!F16+'National Heritage'!F16+'New Jersey Life'!F16+'Old Colony Life'!F16+'Old Faithful'!F16+'Pacific Standard'!F16+SeeChange!F16+'States General'!F16+Statesman!F16+'Summit National'!F16+Supreme!F16+Underwriters!F16+Unison!F16+'United Republic'!F16+Universe!F16+Villanova!F16</f>
        <v>0</v>
      </c>
      <c r="G16" s="1">
        <f t="shared" si="0"/>
        <v>17501576.675273489</v>
      </c>
      <c r="H16" s="1">
        <f>+'Alabama Life'!G16+'American Chambers'!G16+'American Educators'!G16+'American Integrity'!G16+'Amer Life Asr'!G16+'American Medical'!G16+'Amer Std Life Acc'!G16+AmerWstrn!G16+'AMS Life'!G16+'Andrew Jackson'!G16+'Bankers Commercial'!G16+Benicorp!G16+Centennial!G16+'Coastal States'!G16+'Confed Life (CLIC)'!G16+'Consolidated National'!G16+'Consumers Mutual'!G16+'Consumers United'!G16+'Corporate Life'!G16+'Diamond Benefits'!G16+'EBL Life'!G16+'Family Guaranty'!G16+'Farmers &amp; Ranchers'!G16+'Fidelity Bankers'!G16+'First Natl'!G16+'Franklin American'!G16+'Franklin Protective'!G16+'George Washington'!G16+'Golden State'!G16+'Guarantee Security'!G16+Imerica!G16+'Inter-American'!G16+'International Fin'!G16+'Investment Life of America'!G16+'Investors Equity'!G16+'Kentucky Central'!G16+Legion!G16+'London Pac'!G16+'Medical Savings'!G16+'Midwest Life'!G16+'Mutual Benefit'!G16+'Mutual Security'!G16+'National Affiliated'!G16+'Natl American'!G16+'National Heritage'!G16+'New Jersey Life'!G16+'Old Colony Life'!G16+'Old Faithful'!G16+'Pacific Standard'!G16+SeeChange!G16+'States General'!G16+Statesman!G16+'Summit National'!G16+Supreme!G16+Underwriters!G16+Unison!G16+'United Republic'!G16+Universe!G16+Villanova!G16</f>
        <v>17501576.675273489</v>
      </c>
      <c r="I16" s="1">
        <f t="shared" si="1"/>
        <v>0</v>
      </c>
      <c r="K16" s="1" t="s">
        <v>397</v>
      </c>
      <c r="L16" s="1">
        <f>Summary!TOTAL_61220</f>
        <v>13836653.639999999</v>
      </c>
    </row>
    <row r="17" spans="1:12">
      <c r="A17" s="1" t="s">
        <v>29</v>
      </c>
      <c r="B17" s="1">
        <f>+'Alabama Life'!B17+'American Chambers'!B17+'American Educators'!B17+'American Integrity'!B17+'Amer Life Asr'!B17+'American Medical'!B17+'Amer Std Life Acc'!B17+AmerWstrn!B17+'AMS Life'!B17+'Andrew Jackson'!B17+'Bankers Commercial'!B17+Benicorp!B17+Centennial!B17+'Coastal States'!B17+'Confed Life (CLIC)'!B17+'Consolidated National'!B17+'Consumers Mutual'!B17+'Consumers United'!B17+'Corporate Life'!B17+'Diamond Benefits'!B17+'EBL Life'!B17+'Family Guaranty'!B17+'Farmers &amp; Ranchers'!B17+'Fidelity Bankers'!B17+'First Natl'!B17+'Franklin American'!B17+'Franklin Protective'!B17+'George Washington'!B17+'Golden State'!B17+'Guarantee Security'!B17+Imerica!B17+'Inter-American'!B17+'International Fin'!B17+'Investment Life of America'!B17+'Investors Equity'!B17+'Kentucky Central'!B17+Legion!B17+'London Pac'!B17+'Medical Savings'!B17+'Midwest Life'!B17+'Mutual Benefit'!B17+'Mutual Security'!B17+'National Affiliated'!B17+'Natl American'!B17+'National Heritage'!B17+'New Jersey Life'!B17+'Old Colony Life'!B17+'Old Faithful'!B17+'Pacific Standard'!B17+SeeChange!B17+'States General'!B17+Statesman!B17+'Summit National'!B17+Supreme!B17+Underwriters!B17+Unison!B17+'United Republic'!B17+Universe!B17+Villanova!B17</f>
        <v>1360312.2414218462</v>
      </c>
      <c r="C17" s="1">
        <f>+'Alabama Life'!C17+'American Chambers'!C17+'American Educators'!C17+'American Integrity'!C17+'Amer Life Asr'!C17+'American Medical'!C17+'Amer Std Life Acc'!C17+AmerWstrn!C17+'AMS Life'!C17+'Andrew Jackson'!C17+'Bankers Commercial'!C17+Benicorp!C17+Centennial!C17+'Coastal States'!C17+'Confed Life (CLIC)'!C17+'Consolidated National'!C17+'Consumers Mutual'!C17+'Consumers United'!C17+'Corporate Life'!C17+'Diamond Benefits'!C17+'EBL Life'!C17+'Family Guaranty'!C17+'Farmers &amp; Ranchers'!C17+'Fidelity Bankers'!C17+'First Natl'!C17+'Franklin American'!C17+'Franklin Protective'!C17+'George Washington'!C17+'Golden State'!C17+'Guarantee Security'!C17+Imerica!C17+'Inter-American'!C17+'International Fin'!C17+'Investment Life of America'!C17+'Investors Equity'!C17+'Kentucky Central'!C17+Legion!C17+'London Pac'!C17+'Medical Savings'!C17+'Midwest Life'!C17+'Mutual Benefit'!C17+'Mutual Security'!C17+'National Affiliated'!C17+'Natl American'!C17+'National Heritage'!C17+'New Jersey Life'!C17+'Old Colony Life'!C17+'Old Faithful'!C17+'Pacific Standard'!C17+SeeChange!C17+'States General'!C17+Statesman!C17+'Summit National'!C17+Supreme!C17+Underwriters!C17+Unison!C17+'United Republic'!C17+Universe!C17+Villanova!C17</f>
        <v>37464431.739609696</v>
      </c>
      <c r="D17" s="1">
        <f>+'Alabama Life'!D17+'American Chambers'!D17+'American Educators'!D17+'American Integrity'!D17+'Amer Life Asr'!D17+'American Medical'!D17+'Amer Std Life Acc'!D17+AmerWstrn!D17+'AMS Life'!D17+'Andrew Jackson'!D17+'Bankers Commercial'!D17+Benicorp!D17+Centennial!D17+'Coastal States'!D17+'Confed Life (CLIC)'!D17+'Consolidated National'!D17+'Consumers Mutual'!D17+'Consumers United'!D17+'Corporate Life'!D17+'Diamond Benefits'!D17+'EBL Life'!D17+'Family Guaranty'!D17+'Farmers &amp; Ranchers'!D17+'Fidelity Bankers'!D17+'First Natl'!D17+'Franklin American'!D17+'Franklin Protective'!D17+'George Washington'!D17+'Golden State'!D17+'Guarantee Security'!D17+Imerica!D17+'Inter-American'!D17+'International Fin'!D17+'Investment Life of America'!D17+'Investors Equity'!D17+'Kentucky Central'!D17+Legion!D17+'London Pac'!D17+'Medical Savings'!D17+'Midwest Life'!D17+'Mutual Benefit'!D17+'Mutual Security'!D17+'National Affiliated'!D17+'Natl American'!D17+'National Heritage'!D17+'New Jersey Life'!D17+'Old Colony Life'!D17+'Old Faithful'!D17+'Pacific Standard'!D17+SeeChange!D17+'States General'!D17+Statesman!D17+'Summit National'!D17+Supreme!D17+Underwriters!D17+Unison!D17+'United Republic'!D17+Universe!D17+Villanova!D17</f>
        <v>-73230.382484711052</v>
      </c>
      <c r="E17" s="1">
        <f>+'Alabama Life'!E17+'American Chambers'!E17+'American Educators'!E17+'American Integrity'!E17+'Amer Life Asr'!E17+'American Medical'!E17+'Amer Std Life Acc'!E17+AmerWstrn!E17+'AMS Life'!E17+'Andrew Jackson'!E17+'Bankers Commercial'!E17+Benicorp!E17+Centennial!E17+'Coastal States'!E17+'Confed Life (CLIC)'!E17+'Consolidated National'!E17+'Consumers Mutual'!E17+'Consumers United'!E17+'Corporate Life'!E17+'Diamond Benefits'!E17+'EBL Life'!E17+'Family Guaranty'!E17+'Farmers &amp; Ranchers'!E17+'Fidelity Bankers'!E17+'First Natl'!E17+'Franklin American'!E17+'Franklin Protective'!E17+'George Washington'!E17+'Golden State'!E17+'Guarantee Security'!E17+Imerica!E17+'Inter-American'!E17+'International Fin'!E17+'Investment Life of America'!E17+'Investors Equity'!E17+'Kentucky Central'!E17+Legion!E17+'London Pac'!E17+'Medical Savings'!E17+'Midwest Life'!E17+'Mutual Benefit'!E17+'Mutual Security'!E17+'National Affiliated'!E17+'Natl American'!E17+'National Heritage'!E17+'New Jersey Life'!E17+'Old Colony Life'!E17+'Old Faithful'!E17+'Pacific Standard'!E17+SeeChange!E17+'States General'!E17+Statesman!E17+'Summit National'!E17+Supreme!E17+Underwriters!E17+Unison!E17+'United Republic'!E17+Universe!E17+Villanova!E17</f>
        <v>0</v>
      </c>
      <c r="F17" s="1">
        <f>+'Alabama Life'!F17+'American Chambers'!F17+'American Educators'!F17+'American Integrity'!F17+'Amer Life Asr'!F17+'American Medical'!F17+'Amer Std Life Acc'!F17+AmerWstrn!F17+'AMS Life'!F17+'Andrew Jackson'!F17+'Bankers Commercial'!F17+Benicorp!F17+Centennial!F17+'Coastal States'!F17+'Confed Life (CLIC)'!F17+'Consolidated National'!F17+'Consumers Mutual'!F17+'Consumers United'!F17+'Corporate Life'!F17+'Diamond Benefits'!F17+'EBL Life'!F17+'Family Guaranty'!F17+'Farmers &amp; Ranchers'!F17+'Fidelity Bankers'!F17+'First Natl'!F17+'Franklin American'!F17+'Franklin Protective'!F17+'George Washington'!F17+'Golden State'!F17+'Guarantee Security'!F17+Imerica!F17+'Inter-American'!F17+'International Fin'!F17+'Investment Life of America'!F17+'Investors Equity'!F17+'Kentucky Central'!F17+Legion!F17+'London Pac'!F17+'Medical Savings'!F17+'Midwest Life'!F17+'Mutual Benefit'!F17+'Mutual Security'!F17+'National Affiliated'!F17+'Natl American'!F17+'National Heritage'!F17+'New Jersey Life'!F17+'Old Colony Life'!F17+'Old Faithful'!F17+'Pacific Standard'!F17+SeeChange!F17+'States General'!F17+Statesman!F17+'Summit National'!F17+Supreme!F17+Underwriters!F17+Unison!F17+'United Republic'!F17+Universe!F17+Villanova!F17</f>
        <v>0</v>
      </c>
      <c r="G17" s="1">
        <f t="shared" si="0"/>
        <v>38751513.598546833</v>
      </c>
      <c r="H17" s="1">
        <f>+'Alabama Life'!G17+'American Chambers'!G17+'American Educators'!G17+'American Integrity'!G17+'Amer Life Asr'!G17+'American Medical'!G17+'Amer Std Life Acc'!G17+AmerWstrn!G17+'AMS Life'!G17+'Andrew Jackson'!G17+'Bankers Commercial'!G17+Benicorp!G17+Centennial!G17+'Coastal States'!G17+'Confed Life (CLIC)'!G17+'Consolidated National'!G17+'Consumers Mutual'!G17+'Consumers United'!G17+'Corporate Life'!G17+'Diamond Benefits'!G17+'EBL Life'!G17+'Family Guaranty'!G17+'Farmers &amp; Ranchers'!G17+'Fidelity Bankers'!G17+'First Natl'!G17+'Franklin American'!G17+'Franklin Protective'!G17+'George Washington'!G17+'Golden State'!G17+'Guarantee Security'!G17+Imerica!G17+'Inter-American'!G17+'International Fin'!G17+'Investment Life of America'!G17+'Investors Equity'!G17+'Kentucky Central'!G17+Legion!G17+'London Pac'!G17+'Medical Savings'!G17+'Midwest Life'!G17+'Mutual Benefit'!G17+'Mutual Security'!G17+'National Affiliated'!G17+'Natl American'!G17+'National Heritage'!G17+'New Jersey Life'!G17+'Old Colony Life'!G17+'Old Faithful'!G17+'Pacific Standard'!G17+SeeChange!G17+'States General'!G17+Statesman!G17+'Summit National'!G17+Supreme!G17+Underwriters!G17+Unison!G17+'United Republic'!G17+Universe!G17+Villanova!G17</f>
        <v>38751513.598546825</v>
      </c>
      <c r="I17" s="1">
        <f t="shared" si="1"/>
        <v>0</v>
      </c>
      <c r="K17" s="1" t="s">
        <v>403</v>
      </c>
      <c r="L17" s="1">
        <f>Summary!TOTAL_69752</f>
        <v>26447328.290988941</v>
      </c>
    </row>
    <row r="18" spans="1:12">
      <c r="A18" s="1" t="s">
        <v>30</v>
      </c>
      <c r="B18" s="1">
        <f>+'Alabama Life'!B18+'American Chambers'!B18+'American Educators'!B18+'American Integrity'!B18+'Amer Life Asr'!B18+'American Medical'!B18+'Amer Std Life Acc'!B18+AmerWstrn!B18+'AMS Life'!B18+'Andrew Jackson'!B18+'Bankers Commercial'!B18+Benicorp!B18+Centennial!B18+'Coastal States'!B18+'Confed Life (CLIC)'!B18+'Consolidated National'!B18+'Consumers Mutual'!B18+'Consumers United'!B18+'Corporate Life'!B18+'Diamond Benefits'!B18+'EBL Life'!B18+'Family Guaranty'!B18+'Farmers &amp; Ranchers'!B18+'Fidelity Bankers'!B18+'First Natl'!B18+'Franklin American'!B18+'Franklin Protective'!B18+'George Washington'!B18+'Golden State'!B18+'Guarantee Security'!B18+Imerica!B18+'Inter-American'!B18+'International Fin'!B18+'Investment Life of America'!B18+'Investors Equity'!B18+'Kentucky Central'!B18+Legion!B18+'London Pac'!B18+'Medical Savings'!B18+'Midwest Life'!B18+'Mutual Benefit'!B18+'Mutual Security'!B18+'National Affiliated'!B18+'Natl American'!B18+'National Heritage'!B18+'New Jersey Life'!B18+'Old Colony Life'!B18+'Old Faithful'!B18+'Pacific Standard'!B18+SeeChange!B18+'States General'!B18+Statesman!B18+'Summit National'!B18+Supreme!B18+Underwriters!B18+Unison!B18+'United Republic'!B18+Universe!B18+Villanova!B18</f>
        <v>571813.48309869121</v>
      </c>
      <c r="C18" s="1">
        <f>+'Alabama Life'!C18+'American Chambers'!C18+'American Educators'!C18+'American Integrity'!C18+'Amer Life Asr'!C18+'American Medical'!C18+'Amer Std Life Acc'!C18+AmerWstrn!C18+'AMS Life'!C18+'Andrew Jackson'!C18+'Bankers Commercial'!C18+Benicorp!C18+Centennial!C18+'Coastal States'!C18+'Confed Life (CLIC)'!C18+'Consolidated National'!C18+'Consumers Mutual'!C18+'Consumers United'!C18+'Corporate Life'!C18+'Diamond Benefits'!C18+'EBL Life'!C18+'Family Guaranty'!C18+'Farmers &amp; Ranchers'!C18+'Fidelity Bankers'!C18+'First Natl'!C18+'Franklin American'!C18+'Franklin Protective'!C18+'George Washington'!C18+'Golden State'!C18+'Guarantee Security'!C18+Imerica!C18+'Inter-American'!C18+'International Fin'!C18+'Investment Life of America'!C18+'Investors Equity'!C18+'Kentucky Central'!C18+Legion!C18+'London Pac'!C18+'Medical Savings'!C18+'Midwest Life'!C18+'Mutual Benefit'!C18+'Mutual Security'!C18+'National Affiliated'!C18+'Natl American'!C18+'National Heritage'!C18+'New Jersey Life'!C18+'Old Colony Life'!C18+'Old Faithful'!C18+'Pacific Standard'!C18+SeeChange!C18+'States General'!C18+Statesman!C18+'Summit National'!C18+Supreme!C18+Underwriters!C18+Unison!C18+'United Republic'!C18+Universe!C18+Villanova!C18</f>
        <v>2310756.6907913666</v>
      </c>
      <c r="D18" s="1">
        <f>+'Alabama Life'!D18+'American Chambers'!D18+'American Educators'!D18+'American Integrity'!D18+'Amer Life Asr'!D18+'American Medical'!D18+'Amer Std Life Acc'!D18+AmerWstrn!D18+'AMS Life'!D18+'Andrew Jackson'!D18+'Bankers Commercial'!D18+Benicorp!D18+Centennial!D18+'Coastal States'!D18+'Confed Life (CLIC)'!D18+'Consolidated National'!D18+'Consumers Mutual'!D18+'Consumers United'!D18+'Corporate Life'!D18+'Diamond Benefits'!D18+'EBL Life'!D18+'Family Guaranty'!D18+'Farmers &amp; Ranchers'!D18+'Fidelity Bankers'!D18+'First Natl'!D18+'Franklin American'!D18+'Franklin Protective'!D18+'George Washington'!D18+'Golden State'!D18+'Guarantee Security'!D18+Imerica!D18+'Inter-American'!D18+'International Fin'!D18+'Investment Life of America'!D18+'Investors Equity'!D18+'Kentucky Central'!D18+Legion!D18+'London Pac'!D18+'Medical Savings'!D18+'Midwest Life'!D18+'Mutual Benefit'!D18+'Mutual Security'!D18+'National Affiliated'!D18+'Natl American'!D18+'National Heritage'!D18+'New Jersey Life'!D18+'Old Colony Life'!D18+'Old Faithful'!D18+'Pacific Standard'!D18+SeeChange!D18+'States General'!D18+Statesman!D18+'Summit National'!D18+Supreme!D18+Underwriters!D18+Unison!D18+'United Republic'!D18+Universe!D18+Villanova!D18</f>
        <v>616637.780124499</v>
      </c>
      <c r="E18" s="1">
        <f>+'Alabama Life'!E18+'American Chambers'!E18+'American Educators'!E18+'American Integrity'!E18+'Amer Life Asr'!E18+'American Medical'!E18+'Amer Std Life Acc'!E18+AmerWstrn!E18+'AMS Life'!E18+'Andrew Jackson'!E18+'Bankers Commercial'!E18+Benicorp!E18+Centennial!E18+'Coastal States'!E18+'Confed Life (CLIC)'!E18+'Consolidated National'!E18+'Consumers Mutual'!E18+'Consumers United'!E18+'Corporate Life'!E18+'Diamond Benefits'!E18+'EBL Life'!E18+'Family Guaranty'!E18+'Farmers &amp; Ranchers'!E18+'Fidelity Bankers'!E18+'First Natl'!E18+'Franklin American'!E18+'Franklin Protective'!E18+'George Washington'!E18+'Golden State'!E18+'Guarantee Security'!E18+Imerica!E18+'Inter-American'!E18+'International Fin'!E18+'Investment Life of America'!E18+'Investors Equity'!E18+'Kentucky Central'!E18+Legion!E18+'London Pac'!E18+'Medical Savings'!E18+'Midwest Life'!E18+'Mutual Benefit'!E18+'Mutual Security'!E18+'National Affiliated'!E18+'Natl American'!E18+'National Heritage'!E18+'New Jersey Life'!E18+'Old Colony Life'!E18+'Old Faithful'!E18+'Pacific Standard'!E18+SeeChange!E18+'States General'!E18+Statesman!E18+'Summit National'!E18+Supreme!E18+Underwriters!E18+Unison!E18+'United Republic'!E18+Universe!E18+Villanova!E18</f>
        <v>0</v>
      </c>
      <c r="F18" s="1">
        <f>+'Alabama Life'!F18+'American Chambers'!F18+'American Educators'!F18+'American Integrity'!F18+'Amer Life Asr'!F18+'American Medical'!F18+'Amer Std Life Acc'!F18+AmerWstrn!F18+'AMS Life'!F18+'Andrew Jackson'!F18+'Bankers Commercial'!F18+Benicorp!F18+Centennial!F18+'Coastal States'!F18+'Confed Life (CLIC)'!F18+'Consolidated National'!F18+'Consumers Mutual'!F18+'Consumers United'!F18+'Corporate Life'!F18+'Diamond Benefits'!F18+'EBL Life'!F18+'Family Guaranty'!F18+'Farmers &amp; Ranchers'!F18+'Fidelity Bankers'!F18+'First Natl'!F18+'Franklin American'!F18+'Franklin Protective'!F18+'George Washington'!F18+'Golden State'!F18+'Guarantee Security'!F18+Imerica!F18+'Inter-American'!F18+'International Fin'!F18+'Investment Life of America'!F18+'Investors Equity'!F18+'Kentucky Central'!F18+Legion!F18+'London Pac'!F18+'Medical Savings'!F18+'Midwest Life'!F18+'Mutual Benefit'!F18+'Mutual Security'!F18+'National Affiliated'!F18+'Natl American'!F18+'National Heritage'!F18+'New Jersey Life'!F18+'Old Colony Life'!F18+'Old Faithful'!F18+'Pacific Standard'!F18+SeeChange!F18+'States General'!F18+Statesman!F18+'Summit National'!F18+Supreme!F18+Underwriters!F18+Unison!F18+'United Republic'!F18+Universe!F18+Villanova!F18</f>
        <v>0</v>
      </c>
      <c r="G18" s="1">
        <f t="shared" si="0"/>
        <v>3499207.9540145569</v>
      </c>
      <c r="H18" s="1">
        <f>+'Alabama Life'!G18+'American Chambers'!G18+'American Educators'!G18+'American Integrity'!G18+'Amer Life Asr'!G18+'American Medical'!G18+'Amer Std Life Acc'!G18+AmerWstrn!G18+'AMS Life'!G18+'Andrew Jackson'!G18+'Bankers Commercial'!G18+Benicorp!G18+Centennial!G18+'Coastal States'!G18+'Confed Life (CLIC)'!G18+'Consolidated National'!G18+'Consumers Mutual'!G18+'Consumers United'!G18+'Corporate Life'!G18+'Diamond Benefits'!G18+'EBL Life'!G18+'Family Guaranty'!G18+'Farmers &amp; Ranchers'!G18+'Fidelity Bankers'!G18+'First Natl'!G18+'Franklin American'!G18+'Franklin Protective'!G18+'George Washington'!G18+'Golden State'!G18+'Guarantee Security'!G18+Imerica!G18+'Inter-American'!G18+'International Fin'!G18+'Investment Life of America'!G18+'Investors Equity'!G18+'Kentucky Central'!G18+Legion!G18+'London Pac'!G18+'Medical Savings'!G18+'Midwest Life'!G18+'Mutual Benefit'!G18+'Mutual Security'!G18+'National Affiliated'!G18+'Natl American'!G18+'National Heritage'!G18+'New Jersey Life'!G18+'Old Colony Life'!G18+'Old Faithful'!G18+'Pacific Standard'!G18+SeeChange!G18+'States General'!G18+Statesman!G18+'Summit National'!G18+Supreme!G18+Underwriters!G18+Unison!G18+'United Republic'!G18+Universe!G18+Villanova!G18</f>
        <v>3499207.9540145565</v>
      </c>
      <c r="I18" s="1">
        <f t="shared" si="1"/>
        <v>0</v>
      </c>
      <c r="K18" s="1" t="s">
        <v>408</v>
      </c>
      <c r="L18" s="1">
        <f>Summary!TOTAL_61654</f>
        <v>-180641.04872965094</v>
      </c>
    </row>
    <row r="19" spans="1:12">
      <c r="A19" s="1" t="s">
        <v>32</v>
      </c>
      <c r="B19" s="1">
        <f>+'Alabama Life'!B19+'American Chambers'!B19+'American Educators'!B19+'American Integrity'!B19+'Amer Life Asr'!B19+'American Medical'!B19+'Amer Std Life Acc'!B19+AmerWstrn!B19+'AMS Life'!B19+'Andrew Jackson'!B19+'Bankers Commercial'!B19+Benicorp!B19+Centennial!B19+'Coastal States'!B19+'Confed Life (CLIC)'!B19+'Consolidated National'!B19+'Consumers Mutual'!B19+'Consumers United'!B19+'Corporate Life'!B19+'Diamond Benefits'!B19+'EBL Life'!B19+'Family Guaranty'!B19+'Farmers &amp; Ranchers'!B19+'Fidelity Bankers'!B19+'First Natl'!B19+'Franklin American'!B19+'Franklin Protective'!B19+'George Washington'!B19+'Golden State'!B19+'Guarantee Security'!B19+Imerica!B19+'Inter-American'!B19+'International Fin'!B19+'Investment Life of America'!B19+'Investors Equity'!B19+'Kentucky Central'!B19+Legion!B19+'London Pac'!B19+'Medical Savings'!B19+'Midwest Life'!B19+'Mutual Benefit'!B19+'Mutual Security'!B19+'National Affiliated'!B19+'Natl American'!B19+'National Heritage'!B19+'New Jersey Life'!B19+'Old Colony Life'!B19+'Old Faithful'!B19+'Pacific Standard'!B19+SeeChange!B19+'States General'!B19+Statesman!B19+'Summit National'!B19+Supreme!B19+Underwriters!B19+Unison!B19+'United Republic'!B19+Universe!B19+Villanova!B19</f>
        <v>29662044.903005149</v>
      </c>
      <c r="C19" s="1">
        <f>+'Alabama Life'!C19+'American Chambers'!C19+'American Educators'!C19+'American Integrity'!C19+'Amer Life Asr'!C19+'American Medical'!C19+'Amer Std Life Acc'!C19+AmerWstrn!C19+'AMS Life'!C19+'Andrew Jackson'!C19+'Bankers Commercial'!C19+Benicorp!C19+Centennial!C19+'Coastal States'!C19+'Confed Life (CLIC)'!C19+'Consolidated National'!C19+'Consumers Mutual'!C19+'Consumers United'!C19+'Corporate Life'!C19+'Diamond Benefits'!C19+'EBL Life'!C19+'Family Guaranty'!C19+'Farmers &amp; Ranchers'!C19+'Fidelity Bankers'!C19+'First Natl'!C19+'Franklin American'!C19+'Franklin Protective'!C19+'George Washington'!C19+'Golden State'!C19+'Guarantee Security'!C19+Imerica!C19+'Inter-American'!C19+'International Fin'!C19+'Investment Life of America'!C19+'Investors Equity'!C19+'Kentucky Central'!C19+Legion!C19+'London Pac'!C19+'Medical Savings'!C19+'Midwest Life'!C19+'Mutual Benefit'!C19+'Mutual Security'!C19+'National Affiliated'!C19+'Natl American'!C19+'National Heritage'!C19+'New Jersey Life'!C19+'Old Colony Life'!C19+'Old Faithful'!C19+'Pacific Standard'!C19+SeeChange!C19+'States General'!C19+Statesman!C19+'Summit National'!C19+Supreme!C19+Underwriters!C19+Unison!C19+'United Republic'!C19+Universe!C19+Villanova!C19</f>
        <v>45780175.889853552</v>
      </c>
      <c r="D19" s="1">
        <f>+'Alabama Life'!D19+'American Chambers'!D19+'American Educators'!D19+'American Integrity'!D19+'Amer Life Asr'!D19+'American Medical'!D19+'Amer Std Life Acc'!D19+AmerWstrn!D19+'AMS Life'!D19+'Andrew Jackson'!D19+'Bankers Commercial'!D19+Benicorp!D19+Centennial!D19+'Coastal States'!D19+'Confed Life (CLIC)'!D19+'Consolidated National'!D19+'Consumers Mutual'!D19+'Consumers United'!D19+'Corporate Life'!D19+'Diamond Benefits'!D19+'EBL Life'!D19+'Family Guaranty'!D19+'Farmers &amp; Ranchers'!D19+'Fidelity Bankers'!D19+'First Natl'!D19+'Franklin American'!D19+'Franklin Protective'!D19+'George Washington'!D19+'Golden State'!D19+'Guarantee Security'!D19+Imerica!D19+'Inter-American'!D19+'International Fin'!D19+'Investment Life of America'!D19+'Investors Equity'!D19+'Kentucky Central'!D19+Legion!D19+'London Pac'!D19+'Medical Savings'!D19+'Midwest Life'!D19+'Mutual Benefit'!D19+'Mutual Security'!D19+'National Affiliated'!D19+'Natl American'!D19+'National Heritage'!D19+'New Jersey Life'!D19+'Old Colony Life'!D19+'Old Faithful'!D19+'Pacific Standard'!D19+SeeChange!D19+'States General'!D19+Statesman!D19+'Summit National'!D19+Supreme!D19+Underwriters!D19+Unison!D19+'United Republic'!D19+Universe!D19+Villanova!D19</f>
        <v>9375362.1568785869</v>
      </c>
      <c r="E19" s="1">
        <f>+'Alabama Life'!E19+'American Chambers'!E19+'American Educators'!E19+'American Integrity'!E19+'Amer Life Asr'!E19+'American Medical'!E19+'Amer Std Life Acc'!E19+AmerWstrn!E19+'AMS Life'!E19+'Andrew Jackson'!E19+'Bankers Commercial'!E19+Benicorp!E19+Centennial!E19+'Coastal States'!E19+'Confed Life (CLIC)'!E19+'Consolidated National'!E19+'Consumers Mutual'!E19+'Consumers United'!E19+'Corporate Life'!E19+'Diamond Benefits'!E19+'EBL Life'!E19+'Family Guaranty'!E19+'Farmers &amp; Ranchers'!E19+'Fidelity Bankers'!E19+'First Natl'!E19+'Franklin American'!E19+'Franklin Protective'!E19+'George Washington'!E19+'Golden State'!E19+'Guarantee Security'!E19+Imerica!E19+'Inter-American'!E19+'International Fin'!E19+'Investment Life of America'!E19+'Investors Equity'!E19+'Kentucky Central'!E19+Legion!E19+'London Pac'!E19+'Medical Savings'!E19+'Midwest Life'!E19+'Mutual Benefit'!E19+'Mutual Security'!E19+'National Affiliated'!E19+'Natl American'!E19+'National Heritage'!E19+'New Jersey Life'!E19+'Old Colony Life'!E19+'Old Faithful'!E19+'Pacific Standard'!E19+SeeChange!E19+'States General'!E19+Statesman!E19+'Summit National'!E19+Supreme!E19+Underwriters!E19+Unison!E19+'United Republic'!E19+Universe!E19+Villanova!E19</f>
        <v>2424583.9340050137</v>
      </c>
      <c r="F19" s="1">
        <f>+'Alabama Life'!F19+'American Chambers'!F19+'American Educators'!F19+'American Integrity'!F19+'Amer Life Asr'!F19+'American Medical'!F19+'Amer Std Life Acc'!F19+AmerWstrn!F19+'AMS Life'!F19+'Andrew Jackson'!F19+'Bankers Commercial'!F19+Benicorp!F19+Centennial!F19+'Coastal States'!F19+'Confed Life (CLIC)'!F19+'Consolidated National'!F19+'Consumers Mutual'!F19+'Consumers United'!F19+'Corporate Life'!F19+'Diamond Benefits'!F19+'EBL Life'!F19+'Family Guaranty'!F19+'Farmers &amp; Ranchers'!F19+'Fidelity Bankers'!F19+'First Natl'!F19+'Franklin American'!F19+'Franklin Protective'!F19+'George Washington'!F19+'Golden State'!F19+'Guarantee Security'!F19+Imerica!F19+'Inter-American'!F19+'International Fin'!F19+'Investment Life of America'!F19+'Investors Equity'!F19+'Kentucky Central'!F19+Legion!F19+'London Pac'!F19+'Medical Savings'!F19+'Midwest Life'!F19+'Mutual Benefit'!F19+'Mutual Security'!F19+'National Affiliated'!F19+'Natl American'!F19+'National Heritage'!F19+'New Jersey Life'!F19+'Old Colony Life'!F19+'Old Faithful'!F19+'Pacific Standard'!F19+SeeChange!F19+'States General'!F19+Statesman!F19+'Summit National'!F19+Supreme!F19+Underwriters!F19+Unison!F19+'United Republic'!F19+Universe!F19+Villanova!F19</f>
        <v>0</v>
      </c>
      <c r="G19" s="1">
        <f t="shared" si="0"/>
        <v>87242166.883742303</v>
      </c>
      <c r="H19" s="1">
        <f>+'Alabama Life'!G19+'American Chambers'!G19+'American Educators'!G19+'American Integrity'!G19+'Amer Life Asr'!G19+'American Medical'!G19+'Amer Std Life Acc'!G19+AmerWstrn!G19+'AMS Life'!G19+'Andrew Jackson'!G19+'Bankers Commercial'!G19+Benicorp!G19+Centennial!G19+'Coastal States'!G19+'Confed Life (CLIC)'!G19+'Consolidated National'!G19+'Consumers Mutual'!G19+'Consumers United'!G19+'Corporate Life'!G19+'Diamond Benefits'!G19+'EBL Life'!G19+'Family Guaranty'!G19+'Farmers &amp; Ranchers'!G19+'Fidelity Bankers'!G19+'First Natl'!G19+'Franklin American'!G19+'Franklin Protective'!G19+'George Washington'!G19+'Golden State'!G19+'Guarantee Security'!G19+Imerica!G19+'Inter-American'!G19+'International Fin'!G19+'Investment Life of America'!G19+'Investors Equity'!G19+'Kentucky Central'!G19+Legion!G19+'London Pac'!G19+'Medical Savings'!G19+'Midwest Life'!G19+'Mutual Benefit'!G19+'Mutual Security'!G19+'National Affiliated'!G19+'Natl American'!G19+'National Heritage'!G19+'New Jersey Life'!G19+'Old Colony Life'!G19+'Old Faithful'!G19+'Pacific Standard'!G19+SeeChange!G19+'States General'!G19+Statesman!G19+'Summit National'!G19+Supreme!G19+Underwriters!G19+Unison!G19+'United Republic'!G19+Universe!G19+Villanova!G19</f>
        <v>87242166.883742288</v>
      </c>
      <c r="I19" s="1">
        <f t="shared" si="1"/>
        <v>0</v>
      </c>
      <c r="K19" s="1" t="s">
        <v>415</v>
      </c>
      <c r="L19" s="1">
        <f>Summary!TOTAL_61980</f>
        <v>16325113.880000003</v>
      </c>
    </row>
    <row r="20" spans="1:12">
      <c r="A20" s="1" t="s">
        <v>34</v>
      </c>
      <c r="B20" s="1">
        <f>+'Alabama Life'!B20+'American Chambers'!B20+'American Educators'!B20+'American Integrity'!B20+'Amer Life Asr'!B20+'American Medical'!B20+'Amer Std Life Acc'!B20+AmerWstrn!B20+'AMS Life'!B20+'Andrew Jackson'!B20+'Bankers Commercial'!B20+Benicorp!B20+Centennial!B20+'Coastal States'!B20+'Confed Life (CLIC)'!B20+'Consolidated National'!B20+'Consumers Mutual'!B20+'Consumers United'!B20+'Corporate Life'!B20+'Diamond Benefits'!B20+'EBL Life'!B20+'Family Guaranty'!B20+'Farmers &amp; Ranchers'!B20+'Fidelity Bankers'!B20+'First Natl'!B20+'Franklin American'!B20+'Franklin Protective'!B20+'George Washington'!B20+'Golden State'!B20+'Guarantee Security'!B20+Imerica!B20+'Inter-American'!B20+'International Fin'!B20+'Investment Life of America'!B20+'Investors Equity'!B20+'Kentucky Central'!B20+Legion!B20+'London Pac'!B20+'Medical Savings'!B20+'Midwest Life'!B20+'Mutual Benefit'!B20+'Mutual Security'!B20+'National Affiliated'!B20+'Natl American'!B20+'National Heritage'!B20+'New Jersey Life'!B20+'Old Colony Life'!B20+'Old Faithful'!B20+'Pacific Standard'!B20+SeeChange!B20+'States General'!B20+Statesman!B20+'Summit National'!B20+Supreme!B20+Underwriters!B20+Unison!B20+'United Republic'!B20+Universe!B20+Villanova!B20</f>
        <v>7850470.068885264</v>
      </c>
      <c r="C20" s="1">
        <f>+'Alabama Life'!C20+'American Chambers'!C20+'American Educators'!C20+'American Integrity'!C20+'Amer Life Asr'!C20+'American Medical'!C20+'Amer Std Life Acc'!C20+AmerWstrn!C20+'AMS Life'!C20+'Andrew Jackson'!C20+'Bankers Commercial'!C20+Benicorp!C20+Centennial!C20+'Coastal States'!C20+'Confed Life (CLIC)'!C20+'Consolidated National'!C20+'Consumers Mutual'!C20+'Consumers United'!C20+'Corporate Life'!C20+'Diamond Benefits'!C20+'EBL Life'!C20+'Family Guaranty'!C20+'Farmers &amp; Ranchers'!C20+'Fidelity Bankers'!C20+'First Natl'!C20+'Franklin American'!C20+'Franklin Protective'!C20+'George Washington'!C20+'Golden State'!C20+'Guarantee Security'!C20+Imerica!C20+'Inter-American'!C20+'International Fin'!C20+'Investment Life of America'!C20+'Investors Equity'!C20+'Kentucky Central'!C20+Legion!C20+'London Pac'!C20+'Medical Savings'!C20+'Midwest Life'!C20+'Mutual Benefit'!C20+'Mutual Security'!C20+'National Affiliated'!C20+'Natl American'!C20+'National Heritage'!C20+'New Jersey Life'!C20+'Old Colony Life'!C20+'Old Faithful'!C20+'Pacific Standard'!C20+SeeChange!C20+'States General'!C20+Statesman!C20+'Summit National'!C20+Supreme!C20+Underwriters!C20+Unison!C20+'United Republic'!C20+Universe!C20+Villanova!C20</f>
        <v>25874131.630773727</v>
      </c>
      <c r="D20" s="1">
        <f>+'Alabama Life'!D20+'American Chambers'!D20+'American Educators'!D20+'American Integrity'!D20+'Amer Life Asr'!D20+'American Medical'!D20+'Amer Std Life Acc'!D20+AmerWstrn!D20+'AMS Life'!D20+'Andrew Jackson'!D20+'Bankers Commercial'!D20+Benicorp!D20+Centennial!D20+'Coastal States'!D20+'Confed Life (CLIC)'!D20+'Consolidated National'!D20+'Consumers Mutual'!D20+'Consumers United'!D20+'Corporate Life'!D20+'Diamond Benefits'!D20+'EBL Life'!D20+'Family Guaranty'!D20+'Farmers &amp; Ranchers'!D20+'Fidelity Bankers'!D20+'First Natl'!D20+'Franklin American'!D20+'Franklin Protective'!D20+'George Washington'!D20+'Golden State'!D20+'Guarantee Security'!D20+Imerica!D20+'Inter-American'!D20+'International Fin'!D20+'Investment Life of America'!D20+'Investors Equity'!D20+'Kentucky Central'!D20+Legion!D20+'London Pac'!D20+'Medical Savings'!D20+'Midwest Life'!D20+'Mutual Benefit'!D20+'Mutual Security'!D20+'National Affiliated'!D20+'Natl American'!D20+'National Heritage'!D20+'New Jersey Life'!D20+'Old Colony Life'!D20+'Old Faithful'!D20+'Pacific Standard'!D20+SeeChange!D20+'States General'!D20+Statesman!D20+'Summit National'!D20+Supreme!D20+Underwriters!D20+Unison!D20+'United Republic'!D20+Universe!D20+Villanova!D20</f>
        <v>14297140.535025842</v>
      </c>
      <c r="E20" s="1">
        <f>+'Alabama Life'!E20+'American Chambers'!E20+'American Educators'!E20+'American Integrity'!E20+'Amer Life Asr'!E20+'American Medical'!E20+'Amer Std Life Acc'!E20+AmerWstrn!E20+'AMS Life'!E20+'Andrew Jackson'!E20+'Bankers Commercial'!E20+Benicorp!E20+Centennial!E20+'Coastal States'!E20+'Confed Life (CLIC)'!E20+'Consolidated National'!E20+'Consumers Mutual'!E20+'Consumers United'!E20+'Corporate Life'!E20+'Diamond Benefits'!E20+'EBL Life'!E20+'Family Guaranty'!E20+'Farmers &amp; Ranchers'!E20+'Fidelity Bankers'!E20+'First Natl'!E20+'Franklin American'!E20+'Franklin Protective'!E20+'George Washington'!E20+'Golden State'!E20+'Guarantee Security'!E20+Imerica!E20+'Inter-American'!E20+'International Fin'!E20+'Investment Life of America'!E20+'Investors Equity'!E20+'Kentucky Central'!E20+Legion!E20+'London Pac'!E20+'Medical Savings'!E20+'Midwest Life'!E20+'Mutual Benefit'!E20+'Mutual Security'!E20+'National Affiliated'!E20+'Natl American'!E20+'National Heritage'!E20+'New Jersey Life'!E20+'Old Colony Life'!E20+'Old Faithful'!E20+'Pacific Standard'!E20+SeeChange!E20+'States General'!E20+Statesman!E20+'Summit National'!E20+Supreme!E20+Underwriters!E20+Unison!E20+'United Republic'!E20+Universe!E20+Villanova!E20</f>
        <v>4689250.9015063858</v>
      </c>
      <c r="F20" s="1">
        <f>+'Alabama Life'!F20+'American Chambers'!F20+'American Educators'!F20+'American Integrity'!F20+'Amer Life Asr'!F20+'American Medical'!F20+'Amer Std Life Acc'!F20+AmerWstrn!F20+'AMS Life'!F20+'Andrew Jackson'!F20+'Bankers Commercial'!F20+Benicorp!F20+Centennial!F20+'Coastal States'!F20+'Confed Life (CLIC)'!F20+'Consolidated National'!F20+'Consumers Mutual'!F20+'Consumers United'!F20+'Corporate Life'!F20+'Diamond Benefits'!F20+'EBL Life'!F20+'Family Guaranty'!F20+'Farmers &amp; Ranchers'!F20+'Fidelity Bankers'!F20+'First Natl'!F20+'Franklin American'!F20+'Franklin Protective'!F20+'George Washington'!F20+'Golden State'!F20+'Guarantee Security'!F20+Imerica!F20+'Inter-American'!F20+'International Fin'!F20+'Investment Life of America'!F20+'Investors Equity'!F20+'Kentucky Central'!F20+Legion!F20+'London Pac'!F20+'Medical Savings'!F20+'Midwest Life'!F20+'Mutual Benefit'!F20+'Mutual Security'!F20+'National Affiliated'!F20+'Natl American'!F20+'National Heritage'!F20+'New Jersey Life'!F20+'Old Colony Life'!F20+'Old Faithful'!F20+'Pacific Standard'!F20+SeeChange!F20+'States General'!F20+Statesman!F20+'Summit National'!F20+Supreme!F20+Underwriters!F20+Unison!F20+'United Republic'!F20+Universe!F20+Villanova!F20</f>
        <v>0</v>
      </c>
      <c r="G20" s="1">
        <f t="shared" si="0"/>
        <v>52710993.136191219</v>
      </c>
      <c r="H20" s="1">
        <f>+'Alabama Life'!G20+'American Chambers'!G20+'American Educators'!G20+'American Integrity'!G20+'Amer Life Asr'!G20+'American Medical'!G20+'Amer Std Life Acc'!G20+AmerWstrn!G20+'AMS Life'!G20+'Andrew Jackson'!G20+'Bankers Commercial'!G20+Benicorp!G20+Centennial!G20+'Coastal States'!G20+'Confed Life (CLIC)'!G20+'Consolidated National'!G20+'Consumers Mutual'!G20+'Consumers United'!G20+'Corporate Life'!G20+'Diamond Benefits'!G20+'EBL Life'!G20+'Family Guaranty'!G20+'Farmers &amp; Ranchers'!G20+'Fidelity Bankers'!G20+'First Natl'!G20+'Franklin American'!G20+'Franklin Protective'!G20+'George Washington'!G20+'Golden State'!G20+'Guarantee Security'!G20+Imerica!G20+'Inter-American'!G20+'International Fin'!G20+'Investment Life of America'!G20+'Investors Equity'!G20+'Kentucky Central'!G20+Legion!G20+'London Pac'!G20+'Medical Savings'!G20+'Midwest Life'!G20+'Mutual Benefit'!G20+'Mutual Security'!G20+'National Affiliated'!G20+'Natl American'!G20+'National Heritage'!G20+'New Jersey Life'!G20+'Old Colony Life'!G20+'Old Faithful'!G20+'Pacific Standard'!G20+SeeChange!G20+'States General'!G20+Statesman!G20+'Summit National'!G20+Supreme!G20+Underwriters!G20+Unison!G20+'United Republic'!G20+Universe!G20+Villanova!G20</f>
        <v>52710993.136191204</v>
      </c>
      <c r="I20" s="1">
        <f t="shared" si="1"/>
        <v>0</v>
      </c>
      <c r="K20" s="1" t="s">
        <v>422</v>
      </c>
      <c r="L20" s="1">
        <f>Summary!TOTAL_80667</f>
        <v>-16627.076041025026</v>
      </c>
    </row>
    <row r="21" spans="1:12">
      <c r="A21" s="1" t="s">
        <v>36</v>
      </c>
      <c r="B21" s="1">
        <f>+'Alabama Life'!B21+'American Chambers'!B21+'American Educators'!B21+'American Integrity'!B21+'Amer Life Asr'!B21+'American Medical'!B21+'Amer Std Life Acc'!B21+AmerWstrn!B21+'AMS Life'!B21+'Andrew Jackson'!B21+'Bankers Commercial'!B21+Benicorp!B21+Centennial!B21+'Coastal States'!B21+'Confed Life (CLIC)'!B21+'Consolidated National'!B21+'Consumers Mutual'!B21+'Consumers United'!B21+'Corporate Life'!B21+'Diamond Benefits'!B21+'EBL Life'!B21+'Family Guaranty'!B21+'Farmers &amp; Ranchers'!B21+'Fidelity Bankers'!B21+'First Natl'!B21+'Franklin American'!B21+'Franklin Protective'!B21+'George Washington'!B21+'Golden State'!B21+'Guarantee Security'!B21+Imerica!B21+'Inter-American'!B21+'International Fin'!B21+'Investment Life of America'!B21+'Investors Equity'!B21+'Kentucky Central'!B21+Legion!B21+'London Pac'!B21+'Medical Savings'!B21+'Midwest Life'!B21+'Mutual Benefit'!B21+'Mutual Security'!B21+'National Affiliated'!B21+'Natl American'!B21+'National Heritage'!B21+'New Jersey Life'!B21+'Old Colony Life'!B21+'Old Faithful'!B21+'Pacific Standard'!B21+SeeChange!B21+'States General'!B21+Statesman!B21+'Summit National'!B21+Supreme!B21+Underwriters!B21+Unison!B21+'United Republic'!B21+Universe!B21+Villanova!B21</f>
        <v>5575500.4093535757</v>
      </c>
      <c r="C21" s="1">
        <f>+'Alabama Life'!C21+'American Chambers'!C21+'American Educators'!C21+'American Integrity'!C21+'Amer Life Asr'!C21+'American Medical'!C21+'Amer Std Life Acc'!C21+AmerWstrn!C21+'AMS Life'!C21+'Andrew Jackson'!C21+'Bankers Commercial'!C21+Benicorp!C21+Centennial!C21+'Coastal States'!C21+'Confed Life (CLIC)'!C21+'Consolidated National'!C21+'Consumers Mutual'!C21+'Consumers United'!C21+'Corporate Life'!C21+'Diamond Benefits'!C21+'EBL Life'!C21+'Family Guaranty'!C21+'Farmers &amp; Ranchers'!C21+'Fidelity Bankers'!C21+'First Natl'!C21+'Franklin American'!C21+'Franklin Protective'!C21+'George Washington'!C21+'Golden State'!C21+'Guarantee Security'!C21+Imerica!C21+'Inter-American'!C21+'International Fin'!C21+'Investment Life of America'!C21+'Investors Equity'!C21+'Kentucky Central'!C21+Legion!C21+'London Pac'!C21+'Medical Savings'!C21+'Midwest Life'!C21+'Mutual Benefit'!C21+'Mutual Security'!C21+'National Affiliated'!C21+'Natl American'!C21+'National Heritage'!C21+'New Jersey Life'!C21+'Old Colony Life'!C21+'Old Faithful'!C21+'Pacific Standard'!C21+SeeChange!C21+'States General'!C21+Statesman!C21+'Summit National'!C21+Supreme!C21+Underwriters!C21+Unison!C21+'United Republic'!C21+Universe!C21+Villanova!C21</f>
        <v>12308664.179254808</v>
      </c>
      <c r="D21" s="1">
        <f>+'Alabama Life'!D21+'American Chambers'!D21+'American Educators'!D21+'American Integrity'!D21+'Amer Life Asr'!D21+'American Medical'!D21+'Amer Std Life Acc'!D21+AmerWstrn!D21+'AMS Life'!D21+'Andrew Jackson'!D21+'Bankers Commercial'!D21+Benicorp!D21+Centennial!D21+'Coastal States'!D21+'Confed Life (CLIC)'!D21+'Consolidated National'!D21+'Consumers Mutual'!D21+'Consumers United'!D21+'Corporate Life'!D21+'Diamond Benefits'!D21+'EBL Life'!D21+'Family Guaranty'!D21+'Farmers &amp; Ranchers'!D21+'Fidelity Bankers'!D21+'First Natl'!D21+'Franklin American'!D21+'Franklin Protective'!D21+'George Washington'!D21+'Golden State'!D21+'Guarantee Security'!D21+Imerica!D21+'Inter-American'!D21+'International Fin'!D21+'Investment Life of America'!D21+'Investors Equity'!D21+'Kentucky Central'!D21+Legion!D21+'London Pac'!D21+'Medical Savings'!D21+'Midwest Life'!D21+'Mutual Benefit'!D21+'Mutual Security'!D21+'National Affiliated'!D21+'Natl American'!D21+'National Heritage'!D21+'New Jersey Life'!D21+'Old Colony Life'!D21+'Old Faithful'!D21+'Pacific Standard'!D21+SeeChange!D21+'States General'!D21+Statesman!D21+'Summit National'!D21+Supreme!D21+Underwriters!D21+Unison!D21+'United Republic'!D21+Universe!D21+Villanova!D21</f>
        <v>1207639.5239004979</v>
      </c>
      <c r="E21" s="1">
        <f>+'Alabama Life'!E21+'American Chambers'!E21+'American Educators'!E21+'American Integrity'!E21+'Amer Life Asr'!E21+'American Medical'!E21+'Amer Std Life Acc'!E21+AmerWstrn!E21+'AMS Life'!E21+'Andrew Jackson'!E21+'Bankers Commercial'!E21+Benicorp!E21+Centennial!E21+'Coastal States'!E21+'Confed Life (CLIC)'!E21+'Consolidated National'!E21+'Consumers Mutual'!E21+'Consumers United'!E21+'Corporate Life'!E21+'Diamond Benefits'!E21+'EBL Life'!E21+'Family Guaranty'!E21+'Farmers &amp; Ranchers'!E21+'Fidelity Bankers'!E21+'First Natl'!E21+'Franklin American'!E21+'Franklin Protective'!E21+'George Washington'!E21+'Golden State'!E21+'Guarantee Security'!E21+Imerica!E21+'Inter-American'!E21+'International Fin'!E21+'Investment Life of America'!E21+'Investors Equity'!E21+'Kentucky Central'!E21+Legion!E21+'London Pac'!E21+'Medical Savings'!E21+'Midwest Life'!E21+'Mutual Benefit'!E21+'Mutual Security'!E21+'National Affiliated'!E21+'Natl American'!E21+'National Heritage'!E21+'New Jersey Life'!E21+'Old Colony Life'!E21+'Old Faithful'!E21+'Pacific Standard'!E21+SeeChange!E21+'States General'!E21+Statesman!E21+'Summit National'!E21+Supreme!E21+Underwriters!E21+Unison!E21+'United Republic'!E21+Universe!E21+Villanova!E21</f>
        <v>-25.171420703991316</v>
      </c>
      <c r="F21" s="1">
        <f>+'Alabama Life'!F21+'American Chambers'!F21+'American Educators'!F21+'American Integrity'!F21+'Amer Life Asr'!F21+'American Medical'!F21+'Amer Std Life Acc'!F21+AmerWstrn!F21+'AMS Life'!F21+'Andrew Jackson'!F21+'Bankers Commercial'!F21+Benicorp!F21+Centennial!F21+'Coastal States'!F21+'Confed Life (CLIC)'!F21+'Consolidated National'!F21+'Consumers Mutual'!F21+'Consumers United'!F21+'Corporate Life'!F21+'Diamond Benefits'!F21+'EBL Life'!F21+'Family Guaranty'!F21+'Farmers &amp; Ranchers'!F21+'Fidelity Bankers'!F21+'First Natl'!F21+'Franklin American'!F21+'Franklin Protective'!F21+'George Washington'!F21+'Golden State'!F21+'Guarantee Security'!F21+Imerica!F21+'Inter-American'!F21+'International Fin'!F21+'Investment Life of America'!F21+'Investors Equity'!F21+'Kentucky Central'!F21+Legion!F21+'London Pac'!F21+'Medical Savings'!F21+'Midwest Life'!F21+'Mutual Benefit'!F21+'Mutual Security'!F21+'National Affiliated'!F21+'Natl American'!F21+'National Heritage'!F21+'New Jersey Life'!F21+'Old Colony Life'!F21+'Old Faithful'!F21+'Pacific Standard'!F21+SeeChange!F21+'States General'!F21+Statesman!F21+'Summit National'!F21+Supreme!F21+Underwriters!F21+Unison!F21+'United Republic'!F21+Universe!F21+Villanova!F21</f>
        <v>0</v>
      </c>
      <c r="G21" s="1">
        <f t="shared" si="0"/>
        <v>19091778.941088177</v>
      </c>
      <c r="H21" s="1">
        <f>+'Alabama Life'!G21+'American Chambers'!G21+'American Educators'!G21+'American Integrity'!G21+'Amer Life Asr'!G21+'American Medical'!G21+'Amer Std Life Acc'!G21+AmerWstrn!G21+'AMS Life'!G21+'Andrew Jackson'!G21+'Bankers Commercial'!G21+Benicorp!G21+Centennial!G21+'Coastal States'!G21+'Confed Life (CLIC)'!G21+'Consolidated National'!G21+'Consumers Mutual'!G21+'Consumers United'!G21+'Corporate Life'!G21+'Diamond Benefits'!G21+'EBL Life'!G21+'Family Guaranty'!G21+'Farmers &amp; Ranchers'!G21+'Fidelity Bankers'!G21+'First Natl'!G21+'Franklin American'!G21+'Franklin Protective'!G21+'George Washington'!G21+'Golden State'!G21+'Guarantee Security'!G21+Imerica!G21+'Inter-American'!G21+'International Fin'!G21+'Investment Life of America'!G21+'Investors Equity'!G21+'Kentucky Central'!G21+Legion!G21+'London Pac'!G21+'Medical Savings'!G21+'Midwest Life'!G21+'Mutual Benefit'!G21+'Mutual Security'!G21+'National Affiliated'!G21+'Natl American'!G21+'National Heritage'!G21+'New Jersey Life'!G21+'Old Colony Life'!G21+'Old Faithful'!G21+'Pacific Standard'!G21+SeeChange!G21+'States General'!G21+Statesman!G21+'Summit National'!G21+Supreme!G21+Underwriters!G21+Unison!G21+'United Republic'!G21+Universe!G21+Villanova!G21</f>
        <v>19091778.941088177</v>
      </c>
      <c r="I21" s="1">
        <f t="shared" si="1"/>
        <v>0</v>
      </c>
      <c r="K21" s="1" t="s">
        <v>428</v>
      </c>
      <c r="L21" s="1">
        <f>Summary!TOTAL_71382</f>
        <v>8883218.3851282038</v>
      </c>
    </row>
    <row r="22" spans="1:12">
      <c r="A22" s="1" t="s">
        <v>38</v>
      </c>
      <c r="B22" s="1">
        <f>+'Alabama Life'!B22+'American Chambers'!B22+'American Educators'!B22+'American Integrity'!B22+'Amer Life Asr'!B22+'American Medical'!B22+'Amer Std Life Acc'!B22+AmerWstrn!B22+'AMS Life'!B22+'Andrew Jackson'!B22+'Bankers Commercial'!B22+Benicorp!B22+Centennial!B22+'Coastal States'!B22+'Confed Life (CLIC)'!B22+'Consolidated National'!B22+'Consumers Mutual'!B22+'Consumers United'!B22+'Corporate Life'!B22+'Diamond Benefits'!B22+'EBL Life'!B22+'Family Guaranty'!B22+'Farmers &amp; Ranchers'!B22+'Fidelity Bankers'!B22+'First Natl'!B22+'Franklin American'!B22+'Franklin Protective'!B22+'George Washington'!B22+'Golden State'!B22+'Guarantee Security'!B22+Imerica!B22+'Inter-American'!B22+'International Fin'!B22+'Investment Life of America'!B22+'Investors Equity'!B22+'Kentucky Central'!B22+Legion!B22+'London Pac'!B22+'Medical Savings'!B22+'Midwest Life'!B22+'Mutual Benefit'!B22+'Mutual Security'!B22+'National Affiliated'!B22+'Natl American'!B22+'National Heritage'!B22+'New Jersey Life'!B22+'Old Colony Life'!B22+'Old Faithful'!B22+'Pacific Standard'!B22+SeeChange!B22+'States General'!B22+Statesman!B22+'Summit National'!B22+Supreme!B22+Underwriters!B22+Unison!B22+'United Republic'!B22+Universe!B22+Villanova!B22</f>
        <v>1253950.7357830552</v>
      </c>
      <c r="C22" s="1">
        <f>+'Alabama Life'!C22+'American Chambers'!C22+'American Educators'!C22+'American Integrity'!C22+'Amer Life Asr'!C22+'American Medical'!C22+'Amer Std Life Acc'!C22+AmerWstrn!C22+'AMS Life'!C22+'Andrew Jackson'!C22+'Bankers Commercial'!C22+Benicorp!C22+Centennial!C22+'Coastal States'!C22+'Confed Life (CLIC)'!C22+'Consolidated National'!C22+'Consumers Mutual'!C22+'Consumers United'!C22+'Corporate Life'!C22+'Diamond Benefits'!C22+'EBL Life'!C22+'Family Guaranty'!C22+'Farmers &amp; Ranchers'!C22+'Fidelity Bankers'!C22+'First Natl'!C22+'Franklin American'!C22+'Franklin Protective'!C22+'George Washington'!C22+'Golden State'!C22+'Guarantee Security'!C22+Imerica!C22+'Inter-American'!C22+'International Fin'!C22+'Investment Life of America'!C22+'Investors Equity'!C22+'Kentucky Central'!C22+Legion!C22+'London Pac'!C22+'Medical Savings'!C22+'Midwest Life'!C22+'Mutual Benefit'!C22+'Mutual Security'!C22+'National Affiliated'!C22+'Natl American'!C22+'National Heritage'!C22+'New Jersey Life'!C22+'Old Colony Life'!C22+'Old Faithful'!C22+'Pacific Standard'!C22+SeeChange!C22+'States General'!C22+Statesman!C22+'Summit National'!C22+Supreme!C22+Underwriters!C22+Unison!C22+'United Republic'!C22+Universe!C22+Villanova!C22</f>
        <v>6114444.7651344333</v>
      </c>
      <c r="D22" s="1">
        <f>+'Alabama Life'!D22+'American Chambers'!D22+'American Educators'!D22+'American Integrity'!D22+'Amer Life Asr'!D22+'American Medical'!D22+'Amer Std Life Acc'!D22+AmerWstrn!D22+'AMS Life'!D22+'Andrew Jackson'!D22+'Bankers Commercial'!D22+Benicorp!D22+Centennial!D22+'Coastal States'!D22+'Confed Life (CLIC)'!D22+'Consolidated National'!D22+'Consumers Mutual'!D22+'Consumers United'!D22+'Corporate Life'!D22+'Diamond Benefits'!D22+'EBL Life'!D22+'Family Guaranty'!D22+'Farmers &amp; Ranchers'!D22+'Fidelity Bankers'!D22+'First Natl'!D22+'Franklin American'!D22+'Franklin Protective'!D22+'George Washington'!D22+'Golden State'!D22+'Guarantee Security'!D22+Imerica!D22+'Inter-American'!D22+'International Fin'!D22+'Investment Life of America'!D22+'Investors Equity'!D22+'Kentucky Central'!D22+Legion!D22+'London Pac'!D22+'Medical Savings'!D22+'Midwest Life'!D22+'Mutual Benefit'!D22+'Mutual Security'!D22+'National Affiliated'!D22+'Natl American'!D22+'National Heritage'!D22+'New Jersey Life'!D22+'Old Colony Life'!D22+'Old Faithful'!D22+'Pacific Standard'!D22+SeeChange!D22+'States General'!D22+Statesman!D22+'Summit National'!D22+Supreme!D22+Underwriters!D22+Unison!D22+'United Republic'!D22+Universe!D22+Villanova!D22</f>
        <v>1514117.4738162002</v>
      </c>
      <c r="E22" s="1">
        <f>+'Alabama Life'!E22+'American Chambers'!E22+'American Educators'!E22+'American Integrity'!E22+'Amer Life Asr'!E22+'American Medical'!E22+'Amer Std Life Acc'!E22+AmerWstrn!E22+'AMS Life'!E22+'Andrew Jackson'!E22+'Bankers Commercial'!E22+Benicorp!E22+Centennial!E22+'Coastal States'!E22+'Confed Life (CLIC)'!E22+'Consolidated National'!E22+'Consumers Mutual'!E22+'Consumers United'!E22+'Corporate Life'!E22+'Diamond Benefits'!E22+'EBL Life'!E22+'Family Guaranty'!E22+'Farmers &amp; Ranchers'!E22+'Fidelity Bankers'!E22+'First Natl'!E22+'Franklin American'!E22+'Franklin Protective'!E22+'George Washington'!E22+'Golden State'!E22+'Guarantee Security'!E22+Imerica!E22+'Inter-American'!E22+'International Fin'!E22+'Investment Life of America'!E22+'Investors Equity'!E22+'Kentucky Central'!E22+Legion!E22+'London Pac'!E22+'Medical Savings'!E22+'Midwest Life'!E22+'Mutual Benefit'!E22+'Mutual Security'!E22+'National Affiliated'!E22+'Natl American'!E22+'National Heritage'!E22+'New Jersey Life'!E22+'Old Colony Life'!E22+'Old Faithful'!E22+'Pacific Standard'!E22+SeeChange!E22+'States General'!E22+Statesman!E22+'Summit National'!E22+Supreme!E22+Underwriters!E22+Unison!E22+'United Republic'!E22+Universe!E22+Villanova!E22</f>
        <v>0</v>
      </c>
      <c r="F22" s="1">
        <f>+'Alabama Life'!F22+'American Chambers'!F22+'American Educators'!F22+'American Integrity'!F22+'Amer Life Asr'!F22+'American Medical'!F22+'Amer Std Life Acc'!F22+AmerWstrn!F22+'AMS Life'!F22+'Andrew Jackson'!F22+'Bankers Commercial'!F22+Benicorp!F22+Centennial!F22+'Coastal States'!F22+'Confed Life (CLIC)'!F22+'Consolidated National'!F22+'Consumers Mutual'!F22+'Consumers United'!F22+'Corporate Life'!F22+'Diamond Benefits'!F22+'EBL Life'!F22+'Family Guaranty'!F22+'Farmers &amp; Ranchers'!F22+'Fidelity Bankers'!F22+'First Natl'!F22+'Franklin American'!F22+'Franklin Protective'!F22+'George Washington'!F22+'Golden State'!F22+'Guarantee Security'!F22+Imerica!F22+'Inter-American'!F22+'International Fin'!F22+'Investment Life of America'!F22+'Investors Equity'!F22+'Kentucky Central'!F22+Legion!F22+'London Pac'!F22+'Medical Savings'!F22+'Midwest Life'!F22+'Mutual Benefit'!F22+'Mutual Security'!F22+'National Affiliated'!F22+'Natl American'!F22+'National Heritage'!F22+'New Jersey Life'!F22+'Old Colony Life'!F22+'Old Faithful'!F22+'Pacific Standard'!F22+SeeChange!F22+'States General'!F22+Statesman!F22+'Summit National'!F22+Supreme!F22+Underwriters!F22+Unison!F22+'United Republic'!F22+Universe!F22+Villanova!F22</f>
        <v>0</v>
      </c>
      <c r="G22" s="1">
        <f t="shared" si="0"/>
        <v>8882512.9747336879</v>
      </c>
      <c r="H22" s="1">
        <f>+'Alabama Life'!G22+'American Chambers'!G22+'American Educators'!G22+'American Integrity'!G22+'Amer Life Asr'!G22+'American Medical'!G22+'Amer Std Life Acc'!G22+AmerWstrn!G22+'AMS Life'!G22+'Andrew Jackson'!G22+'Bankers Commercial'!G22+Benicorp!G22+Centennial!G22+'Coastal States'!G22+'Confed Life (CLIC)'!G22+'Consolidated National'!G22+'Consumers Mutual'!G22+'Consumers United'!G22+'Corporate Life'!G22+'Diamond Benefits'!G22+'EBL Life'!G22+'Family Guaranty'!G22+'Farmers &amp; Ranchers'!G22+'Fidelity Bankers'!G22+'First Natl'!G22+'Franklin American'!G22+'Franklin Protective'!G22+'George Washington'!G22+'Golden State'!G22+'Guarantee Security'!G22+Imerica!G22+'Inter-American'!G22+'International Fin'!G22+'Investment Life of America'!G22+'Investors Equity'!G22+'Kentucky Central'!G22+Legion!G22+'London Pac'!G22+'Medical Savings'!G22+'Midwest Life'!G22+'Mutual Benefit'!G22+'Mutual Security'!G22+'National Affiliated'!G22+'Natl American'!G22+'National Heritage'!G22+'New Jersey Life'!G22+'Old Colony Life'!G22+'Old Faithful'!G22+'Pacific Standard'!G22+SeeChange!G22+'States General'!G22+Statesman!G22+'Summit National'!G22+Supreme!G22+Underwriters!G22+Unison!G22+'United Republic'!G22+Universe!G22+Villanova!G22</f>
        <v>8882512.9747336879</v>
      </c>
      <c r="I22" s="1">
        <f t="shared" si="1"/>
        <v>0</v>
      </c>
      <c r="K22" s="1" t="s">
        <v>105</v>
      </c>
      <c r="L22" s="1">
        <f>Summary!TOTAL_15128</f>
        <v>5569399</v>
      </c>
    </row>
    <row r="23" spans="1:12">
      <c r="A23" s="1" t="s">
        <v>40</v>
      </c>
      <c r="B23" s="1">
        <f>+'Alabama Life'!B23+'American Chambers'!B23+'American Educators'!B23+'American Integrity'!B23+'Amer Life Asr'!B23+'American Medical'!B23+'Amer Std Life Acc'!B23+AmerWstrn!B23+'AMS Life'!B23+'Andrew Jackson'!B23+'Bankers Commercial'!B23+Benicorp!B23+Centennial!B23+'Coastal States'!B23+'Confed Life (CLIC)'!B23+'Consolidated National'!B23+'Consumers Mutual'!B23+'Consumers United'!B23+'Corporate Life'!B23+'Diamond Benefits'!B23+'EBL Life'!B23+'Family Guaranty'!B23+'Farmers &amp; Ranchers'!B23+'Fidelity Bankers'!B23+'First Natl'!B23+'Franklin American'!B23+'Franklin Protective'!B23+'George Washington'!B23+'Golden State'!B23+'Guarantee Security'!B23+Imerica!B23+'Inter-American'!B23+'International Fin'!B23+'Investment Life of America'!B23+'Investors Equity'!B23+'Kentucky Central'!B23+Legion!B23+'London Pac'!B23+'Medical Savings'!B23+'Midwest Life'!B23+'Mutual Benefit'!B23+'Mutual Security'!B23+'National Affiliated'!B23+'Natl American'!B23+'National Heritage'!B23+'New Jersey Life'!B23+'Old Colony Life'!B23+'Old Faithful'!B23+'Pacific Standard'!B23+SeeChange!B23+'States General'!B23+Statesman!B23+'Summit National'!B23+Supreme!B23+Underwriters!B23+Unison!B23+'United Republic'!B23+Universe!B23+Villanova!B23</f>
        <v>1468014.9130502001</v>
      </c>
      <c r="C23" s="1">
        <f>+'Alabama Life'!C23+'American Chambers'!C23+'American Educators'!C23+'American Integrity'!C23+'Amer Life Asr'!C23+'American Medical'!C23+'Amer Std Life Acc'!C23+AmerWstrn!C23+'AMS Life'!C23+'Andrew Jackson'!C23+'Bankers Commercial'!C23+Benicorp!C23+Centennial!C23+'Coastal States'!C23+'Confed Life (CLIC)'!C23+'Consolidated National'!C23+'Consumers Mutual'!C23+'Consumers United'!C23+'Corporate Life'!C23+'Diamond Benefits'!C23+'EBL Life'!C23+'Family Guaranty'!C23+'Farmers &amp; Ranchers'!C23+'Fidelity Bankers'!C23+'First Natl'!C23+'Franklin American'!C23+'Franklin Protective'!C23+'George Washington'!C23+'Golden State'!C23+'Guarantee Security'!C23+Imerica!C23+'Inter-American'!C23+'International Fin'!C23+'Investment Life of America'!C23+'Investors Equity'!C23+'Kentucky Central'!C23+Legion!C23+'London Pac'!C23+'Medical Savings'!C23+'Midwest Life'!C23+'Mutual Benefit'!C23+'Mutual Security'!C23+'National Affiliated'!C23+'Natl American'!C23+'National Heritage'!C23+'New Jersey Life'!C23+'Old Colony Life'!C23+'Old Faithful'!C23+'Pacific Standard'!C23+SeeChange!C23+'States General'!C23+Statesman!C23+'Summit National'!C23+Supreme!C23+Underwriters!C23+Unison!C23+'United Republic'!C23+Universe!C23+Villanova!C23</f>
        <v>1901675.0285362089</v>
      </c>
      <c r="D23" s="1">
        <f>+'Alabama Life'!D23+'American Chambers'!D23+'American Educators'!D23+'American Integrity'!D23+'Amer Life Asr'!D23+'American Medical'!D23+'Amer Std Life Acc'!D23+AmerWstrn!D23+'AMS Life'!D23+'Andrew Jackson'!D23+'Bankers Commercial'!D23+Benicorp!D23+Centennial!D23+'Coastal States'!D23+'Confed Life (CLIC)'!D23+'Consolidated National'!D23+'Consumers Mutual'!D23+'Consumers United'!D23+'Corporate Life'!D23+'Diamond Benefits'!D23+'EBL Life'!D23+'Family Guaranty'!D23+'Farmers &amp; Ranchers'!D23+'Fidelity Bankers'!D23+'First Natl'!D23+'Franklin American'!D23+'Franklin Protective'!D23+'George Washington'!D23+'Golden State'!D23+'Guarantee Security'!D23+Imerica!D23+'Inter-American'!D23+'International Fin'!D23+'Investment Life of America'!D23+'Investors Equity'!D23+'Kentucky Central'!D23+Legion!D23+'London Pac'!D23+'Medical Savings'!D23+'Midwest Life'!D23+'Mutual Benefit'!D23+'Mutual Security'!D23+'National Affiliated'!D23+'Natl American'!D23+'National Heritage'!D23+'New Jersey Life'!D23+'Old Colony Life'!D23+'Old Faithful'!D23+'Pacific Standard'!D23+SeeChange!D23+'States General'!D23+Statesman!D23+'Summit National'!D23+Supreme!D23+Underwriters!D23+Unison!D23+'United Republic'!D23+Universe!D23+Villanova!D23</f>
        <v>1282258.5309680356</v>
      </c>
      <c r="E23" s="1">
        <f>+'Alabama Life'!E23+'American Chambers'!E23+'American Educators'!E23+'American Integrity'!E23+'Amer Life Asr'!E23+'American Medical'!E23+'Amer Std Life Acc'!E23+AmerWstrn!E23+'AMS Life'!E23+'Andrew Jackson'!E23+'Bankers Commercial'!E23+Benicorp!E23+Centennial!E23+'Coastal States'!E23+'Confed Life (CLIC)'!E23+'Consolidated National'!E23+'Consumers Mutual'!E23+'Consumers United'!E23+'Corporate Life'!E23+'Diamond Benefits'!E23+'EBL Life'!E23+'Family Guaranty'!E23+'Farmers &amp; Ranchers'!E23+'Fidelity Bankers'!E23+'First Natl'!E23+'Franklin American'!E23+'Franklin Protective'!E23+'George Washington'!E23+'Golden State'!E23+'Guarantee Security'!E23+Imerica!E23+'Inter-American'!E23+'International Fin'!E23+'Investment Life of America'!E23+'Investors Equity'!E23+'Kentucky Central'!E23+Legion!E23+'London Pac'!E23+'Medical Savings'!E23+'Midwest Life'!E23+'Mutual Benefit'!E23+'Mutual Security'!E23+'National Affiliated'!E23+'Natl American'!E23+'National Heritage'!E23+'New Jersey Life'!E23+'Old Colony Life'!E23+'Old Faithful'!E23+'Pacific Standard'!E23+SeeChange!E23+'States General'!E23+Statesman!E23+'Summit National'!E23+Supreme!E23+Underwriters!E23+Unison!E23+'United Republic'!E23+Universe!E23+Villanova!E23</f>
        <v>0</v>
      </c>
      <c r="F23" s="1">
        <f>+'Alabama Life'!F23+'American Chambers'!F23+'American Educators'!F23+'American Integrity'!F23+'Amer Life Asr'!F23+'American Medical'!F23+'Amer Std Life Acc'!F23+AmerWstrn!F23+'AMS Life'!F23+'Andrew Jackson'!F23+'Bankers Commercial'!F23+Benicorp!F23+Centennial!F23+'Coastal States'!F23+'Confed Life (CLIC)'!F23+'Consolidated National'!F23+'Consumers Mutual'!F23+'Consumers United'!F23+'Corporate Life'!F23+'Diamond Benefits'!F23+'EBL Life'!F23+'Family Guaranty'!F23+'Farmers &amp; Ranchers'!F23+'Fidelity Bankers'!F23+'First Natl'!F23+'Franklin American'!F23+'Franklin Protective'!F23+'George Washington'!F23+'Golden State'!F23+'Guarantee Security'!F23+Imerica!F23+'Inter-American'!F23+'International Fin'!F23+'Investment Life of America'!F23+'Investors Equity'!F23+'Kentucky Central'!F23+Legion!F23+'London Pac'!F23+'Medical Savings'!F23+'Midwest Life'!F23+'Mutual Benefit'!F23+'Mutual Security'!F23+'National Affiliated'!F23+'Natl American'!F23+'National Heritage'!F23+'New Jersey Life'!F23+'Old Colony Life'!F23+'Old Faithful'!F23+'Pacific Standard'!F23+SeeChange!F23+'States General'!F23+Statesman!F23+'Summit National'!F23+Supreme!F23+Underwriters!F23+Unison!F23+'United Republic'!F23+Universe!F23+Villanova!F23</f>
        <v>0</v>
      </c>
      <c r="G23" s="1">
        <f t="shared" si="0"/>
        <v>4651948.4725544443</v>
      </c>
      <c r="H23" s="1">
        <f>+'Alabama Life'!G23+'American Chambers'!G23+'American Educators'!G23+'American Integrity'!G23+'Amer Life Asr'!G23+'American Medical'!G23+'Amer Std Life Acc'!G23+AmerWstrn!G23+'AMS Life'!G23+'Andrew Jackson'!G23+'Bankers Commercial'!G23+Benicorp!G23+Centennial!G23+'Coastal States'!G23+'Confed Life (CLIC)'!G23+'Consolidated National'!G23+'Consumers Mutual'!G23+'Consumers United'!G23+'Corporate Life'!G23+'Diamond Benefits'!G23+'EBL Life'!G23+'Family Guaranty'!G23+'Farmers &amp; Ranchers'!G23+'Fidelity Bankers'!G23+'First Natl'!G23+'Franklin American'!G23+'Franklin Protective'!G23+'George Washington'!G23+'Golden State'!G23+'Guarantee Security'!G23+Imerica!G23+'Inter-American'!G23+'International Fin'!G23+'Investment Life of America'!G23+'Investors Equity'!G23+'Kentucky Central'!G23+Legion!G23+'London Pac'!G23+'Medical Savings'!G23+'Midwest Life'!G23+'Mutual Benefit'!G23+'Mutual Security'!G23+'National Affiliated'!G23+'Natl American'!G23+'National Heritage'!G23+'New Jersey Life'!G23+'Old Colony Life'!G23+'Old Faithful'!G23+'Pacific Standard'!G23+SeeChange!G23+'States General'!G23+Statesman!G23+'Summit National'!G23+Supreme!G23+Underwriters!G23+Unison!G23+'United Republic'!G23+Universe!G23+Villanova!G23</f>
        <v>4651948.4725544453</v>
      </c>
      <c r="I23" s="1">
        <f t="shared" si="1"/>
        <v>0</v>
      </c>
      <c r="K23" s="1" t="s">
        <v>436</v>
      </c>
      <c r="L23" s="1">
        <f>Summary!TOTAL_62278</f>
        <v>15104531.729999997</v>
      </c>
    </row>
    <row r="24" spans="1:12">
      <c r="A24" s="1" t="s">
        <v>42</v>
      </c>
      <c r="B24" s="1">
        <f>+'Alabama Life'!B24+'American Chambers'!B24+'American Educators'!B24+'American Integrity'!B24+'Amer Life Asr'!B24+'American Medical'!B24+'Amer Std Life Acc'!B24+AmerWstrn!B24+'AMS Life'!B24+'Andrew Jackson'!B24+'Bankers Commercial'!B24+Benicorp!B24+Centennial!B24+'Coastal States'!B24+'Confed Life (CLIC)'!B24+'Consolidated National'!B24+'Consumers Mutual'!B24+'Consumers United'!B24+'Corporate Life'!B24+'Diamond Benefits'!B24+'EBL Life'!B24+'Family Guaranty'!B24+'Farmers &amp; Ranchers'!B24+'Fidelity Bankers'!B24+'First Natl'!B24+'Franklin American'!B24+'Franklin Protective'!B24+'George Washington'!B24+'Golden State'!B24+'Guarantee Security'!B24+Imerica!B24+'Inter-American'!B24+'International Fin'!B24+'Investment Life of America'!B24+'Investors Equity'!B24+'Kentucky Central'!B24+Legion!B24+'London Pac'!B24+'Medical Savings'!B24+'Midwest Life'!B24+'Mutual Benefit'!B24+'Mutual Security'!B24+'National Affiliated'!B24+'Natl American'!B24+'National Heritage'!B24+'New Jersey Life'!B24+'Old Colony Life'!B24+'Old Faithful'!B24+'Pacific Standard'!B24+SeeChange!B24+'States General'!B24+Statesman!B24+'Summit National'!B24+Supreme!B24+Underwriters!B24+Unison!B24+'United Republic'!B24+Universe!B24+Villanova!B24</f>
        <v>4427646.294502438</v>
      </c>
      <c r="C24" s="1">
        <f>+'Alabama Life'!C24+'American Chambers'!C24+'American Educators'!C24+'American Integrity'!C24+'Amer Life Asr'!C24+'American Medical'!C24+'Amer Std Life Acc'!C24+AmerWstrn!C24+'AMS Life'!C24+'Andrew Jackson'!C24+'Bankers Commercial'!C24+Benicorp!C24+Centennial!C24+'Coastal States'!C24+'Confed Life (CLIC)'!C24+'Consolidated National'!C24+'Consumers Mutual'!C24+'Consumers United'!C24+'Corporate Life'!C24+'Diamond Benefits'!C24+'EBL Life'!C24+'Family Guaranty'!C24+'Farmers &amp; Ranchers'!C24+'Fidelity Bankers'!C24+'First Natl'!C24+'Franklin American'!C24+'Franklin Protective'!C24+'George Washington'!C24+'Golden State'!C24+'Guarantee Security'!C24+Imerica!C24+'Inter-American'!C24+'International Fin'!C24+'Investment Life of America'!C24+'Investors Equity'!C24+'Kentucky Central'!C24+Legion!C24+'London Pac'!C24+'Medical Savings'!C24+'Midwest Life'!C24+'Mutual Benefit'!C24+'Mutual Security'!C24+'National Affiliated'!C24+'Natl American'!C24+'National Heritage'!C24+'New Jersey Life'!C24+'Old Colony Life'!C24+'Old Faithful'!C24+'Pacific Standard'!C24+SeeChange!C24+'States General'!C24+Statesman!C24+'Summit National'!C24+Supreme!C24+Underwriters!C24+Unison!C24+'United Republic'!C24+Universe!C24+Villanova!C24</f>
        <v>5851013.7519500814</v>
      </c>
      <c r="D24" s="1">
        <f>+'Alabama Life'!D24+'American Chambers'!D24+'American Educators'!D24+'American Integrity'!D24+'Amer Life Asr'!D24+'American Medical'!D24+'Amer Std Life Acc'!D24+AmerWstrn!D24+'AMS Life'!D24+'Andrew Jackson'!D24+'Bankers Commercial'!D24+Benicorp!D24+Centennial!D24+'Coastal States'!D24+'Confed Life (CLIC)'!D24+'Consolidated National'!D24+'Consumers Mutual'!D24+'Consumers United'!D24+'Corporate Life'!D24+'Diamond Benefits'!D24+'EBL Life'!D24+'Family Guaranty'!D24+'Farmers &amp; Ranchers'!D24+'Fidelity Bankers'!D24+'First Natl'!D24+'Franklin American'!D24+'Franklin Protective'!D24+'George Washington'!D24+'Golden State'!D24+'Guarantee Security'!D24+Imerica!D24+'Inter-American'!D24+'International Fin'!D24+'Investment Life of America'!D24+'Investors Equity'!D24+'Kentucky Central'!D24+Legion!D24+'London Pac'!D24+'Medical Savings'!D24+'Midwest Life'!D24+'Mutual Benefit'!D24+'Mutual Security'!D24+'National Affiliated'!D24+'Natl American'!D24+'National Heritage'!D24+'New Jersey Life'!D24+'Old Colony Life'!D24+'Old Faithful'!D24+'Pacific Standard'!D24+SeeChange!D24+'States General'!D24+Statesman!D24+'Summit National'!D24+Supreme!D24+Underwriters!D24+Unison!D24+'United Republic'!D24+Universe!D24+Villanova!D24</f>
        <v>6242583.3595554773</v>
      </c>
      <c r="E24" s="1">
        <f>+'Alabama Life'!E24+'American Chambers'!E24+'American Educators'!E24+'American Integrity'!E24+'Amer Life Asr'!E24+'American Medical'!E24+'Amer Std Life Acc'!E24+AmerWstrn!E24+'AMS Life'!E24+'Andrew Jackson'!E24+'Bankers Commercial'!E24+Benicorp!E24+Centennial!E24+'Coastal States'!E24+'Confed Life (CLIC)'!E24+'Consolidated National'!E24+'Consumers Mutual'!E24+'Consumers United'!E24+'Corporate Life'!E24+'Diamond Benefits'!E24+'EBL Life'!E24+'Family Guaranty'!E24+'Farmers &amp; Ranchers'!E24+'Fidelity Bankers'!E24+'First Natl'!E24+'Franklin American'!E24+'Franklin Protective'!E24+'George Washington'!E24+'Golden State'!E24+'Guarantee Security'!E24+Imerica!E24+'Inter-American'!E24+'International Fin'!E24+'Investment Life of America'!E24+'Investors Equity'!E24+'Kentucky Central'!E24+Legion!E24+'London Pac'!E24+'Medical Savings'!E24+'Midwest Life'!E24+'Mutual Benefit'!E24+'Mutual Security'!E24+'National Affiliated'!E24+'Natl American'!E24+'National Heritage'!E24+'New Jersey Life'!E24+'Old Colony Life'!E24+'Old Faithful'!E24+'Pacific Standard'!E24+SeeChange!E24+'States General'!E24+Statesman!E24+'Summit National'!E24+Supreme!E24+Underwriters!E24+Unison!E24+'United Republic'!E24+Universe!E24+Villanova!E24</f>
        <v>0</v>
      </c>
      <c r="F24" s="1">
        <f>+'Alabama Life'!F24+'American Chambers'!F24+'American Educators'!F24+'American Integrity'!F24+'Amer Life Asr'!F24+'American Medical'!F24+'Amer Std Life Acc'!F24+AmerWstrn!F24+'AMS Life'!F24+'Andrew Jackson'!F24+'Bankers Commercial'!F24+Benicorp!F24+Centennial!F24+'Coastal States'!F24+'Confed Life (CLIC)'!F24+'Consolidated National'!F24+'Consumers Mutual'!F24+'Consumers United'!F24+'Corporate Life'!F24+'Diamond Benefits'!F24+'EBL Life'!F24+'Family Guaranty'!F24+'Farmers &amp; Ranchers'!F24+'Fidelity Bankers'!F24+'First Natl'!F24+'Franklin American'!F24+'Franklin Protective'!F24+'George Washington'!F24+'Golden State'!F24+'Guarantee Security'!F24+Imerica!F24+'Inter-American'!F24+'International Fin'!F24+'Investment Life of America'!F24+'Investors Equity'!F24+'Kentucky Central'!F24+Legion!F24+'London Pac'!F24+'Medical Savings'!F24+'Midwest Life'!F24+'Mutual Benefit'!F24+'Mutual Security'!F24+'National Affiliated'!F24+'Natl American'!F24+'National Heritage'!F24+'New Jersey Life'!F24+'Old Colony Life'!F24+'Old Faithful'!F24+'Pacific Standard'!F24+SeeChange!F24+'States General'!F24+Statesman!F24+'Summit National'!F24+Supreme!F24+Underwriters!F24+Unison!F24+'United Republic'!F24+Universe!F24+Villanova!F24</f>
        <v>0</v>
      </c>
      <c r="G24" s="1">
        <f t="shared" si="0"/>
        <v>16521243.406007996</v>
      </c>
      <c r="H24" s="1">
        <f>+'Alabama Life'!G24+'American Chambers'!G24+'American Educators'!G24+'American Integrity'!G24+'Amer Life Asr'!G24+'American Medical'!G24+'Amer Std Life Acc'!G24+AmerWstrn!G24+'AMS Life'!G24+'Andrew Jackson'!G24+'Bankers Commercial'!G24+Benicorp!G24+Centennial!G24+'Coastal States'!G24+'Confed Life (CLIC)'!G24+'Consolidated National'!G24+'Consumers Mutual'!G24+'Consumers United'!G24+'Corporate Life'!G24+'Diamond Benefits'!G24+'EBL Life'!G24+'Family Guaranty'!G24+'Farmers &amp; Ranchers'!G24+'Fidelity Bankers'!G24+'First Natl'!G24+'Franklin American'!G24+'Franklin Protective'!G24+'George Washington'!G24+'Golden State'!G24+'Guarantee Security'!G24+Imerica!G24+'Inter-American'!G24+'International Fin'!G24+'Investment Life of America'!G24+'Investors Equity'!G24+'Kentucky Central'!G24+Legion!G24+'London Pac'!G24+'Medical Savings'!G24+'Midwest Life'!G24+'Mutual Benefit'!G24+'Mutual Security'!G24+'National Affiliated'!G24+'Natl American'!G24+'National Heritage'!G24+'New Jersey Life'!G24+'Old Colony Life'!G24+'Old Faithful'!G24+'Pacific Standard'!G24+SeeChange!G24+'States General'!G24+Statesman!G24+'Summit National'!G24+Supreme!G24+Underwriters!G24+Unison!G24+'United Republic'!G24+Universe!G24+Villanova!G24</f>
        <v>16521243.406007994</v>
      </c>
      <c r="I24" s="1">
        <f t="shared" si="1"/>
        <v>0</v>
      </c>
      <c r="K24" s="1" t="s">
        <v>442</v>
      </c>
      <c r="L24" s="1">
        <f>Summary!TOTAL_74705</f>
        <v>173587826.87265</v>
      </c>
    </row>
    <row r="25" spans="1:12">
      <c r="A25" s="1" t="s">
        <v>44</v>
      </c>
      <c r="B25" s="1">
        <f>+'Alabama Life'!B25+'American Chambers'!B25+'American Educators'!B25+'American Integrity'!B25+'Amer Life Asr'!B25+'American Medical'!B25+'Amer Std Life Acc'!B25+AmerWstrn!B25+'AMS Life'!B25+'Andrew Jackson'!B25+'Bankers Commercial'!B25+Benicorp!B25+Centennial!B25+'Coastal States'!B25+'Confed Life (CLIC)'!B25+'Consolidated National'!B25+'Consumers Mutual'!B25+'Consumers United'!B25+'Corporate Life'!B25+'Diamond Benefits'!B25+'EBL Life'!B25+'Family Guaranty'!B25+'Farmers &amp; Ranchers'!B25+'Fidelity Bankers'!B25+'First Natl'!B25+'Franklin American'!B25+'Franklin Protective'!B25+'George Washington'!B25+'Golden State'!B25+'Guarantee Security'!B25+Imerica!B25+'Inter-American'!B25+'International Fin'!B25+'Investment Life of America'!B25+'Investors Equity'!B25+'Kentucky Central'!B25+Legion!B25+'London Pac'!B25+'Medical Savings'!B25+'Midwest Life'!B25+'Mutual Benefit'!B25+'Mutual Security'!B25+'National Affiliated'!B25+'Natl American'!B25+'National Heritage'!B25+'New Jersey Life'!B25+'Old Colony Life'!B25+'Old Faithful'!B25+'Pacific Standard'!B25+SeeChange!B25+'States General'!B25+Statesman!B25+'Summit National'!B25+Supreme!B25+Underwriters!B25+Unison!B25+'United Republic'!B25+Universe!B25+Villanova!B25</f>
        <v>579765.81696449174</v>
      </c>
      <c r="C25" s="1">
        <f>+'Alabama Life'!C25+'American Chambers'!C25+'American Educators'!C25+'American Integrity'!C25+'Amer Life Asr'!C25+'American Medical'!C25+'Amer Std Life Acc'!C25+AmerWstrn!C25+'AMS Life'!C25+'Andrew Jackson'!C25+'Bankers Commercial'!C25+Benicorp!C25+Centennial!C25+'Coastal States'!C25+'Confed Life (CLIC)'!C25+'Consolidated National'!C25+'Consumers Mutual'!C25+'Consumers United'!C25+'Corporate Life'!C25+'Diamond Benefits'!C25+'EBL Life'!C25+'Family Guaranty'!C25+'Farmers &amp; Ranchers'!C25+'Fidelity Bankers'!C25+'First Natl'!C25+'Franklin American'!C25+'Franklin Protective'!C25+'George Washington'!C25+'Golden State'!C25+'Guarantee Security'!C25+Imerica!C25+'Inter-American'!C25+'International Fin'!C25+'Investment Life of America'!C25+'Investors Equity'!C25+'Kentucky Central'!C25+Legion!C25+'London Pac'!C25+'Medical Savings'!C25+'Midwest Life'!C25+'Mutual Benefit'!C25+'Mutual Security'!C25+'National Affiliated'!C25+'Natl American'!C25+'National Heritage'!C25+'New Jersey Life'!C25+'Old Colony Life'!C25+'Old Faithful'!C25+'Pacific Standard'!C25+SeeChange!C25+'States General'!C25+Statesman!C25+'Summit National'!C25+Supreme!C25+Underwriters!C25+Unison!C25+'United Republic'!C25+Universe!C25+Villanova!C25</f>
        <v>549293.73597703595</v>
      </c>
      <c r="D25" s="1">
        <f>+'Alabama Life'!D25+'American Chambers'!D25+'American Educators'!D25+'American Integrity'!D25+'Amer Life Asr'!D25+'American Medical'!D25+'Amer Std Life Acc'!D25+AmerWstrn!D25+'AMS Life'!D25+'Andrew Jackson'!D25+'Bankers Commercial'!D25+Benicorp!D25+Centennial!D25+'Coastal States'!D25+'Confed Life (CLIC)'!D25+'Consolidated National'!D25+'Consumers Mutual'!D25+'Consumers United'!D25+'Corporate Life'!D25+'Diamond Benefits'!D25+'EBL Life'!D25+'Family Guaranty'!D25+'Farmers &amp; Ranchers'!D25+'Fidelity Bankers'!D25+'First Natl'!D25+'Franklin American'!D25+'Franklin Protective'!D25+'George Washington'!D25+'Golden State'!D25+'Guarantee Security'!D25+Imerica!D25+'Inter-American'!D25+'International Fin'!D25+'Investment Life of America'!D25+'Investors Equity'!D25+'Kentucky Central'!D25+Legion!D25+'London Pac'!D25+'Medical Savings'!D25+'Midwest Life'!D25+'Mutual Benefit'!D25+'Mutual Security'!D25+'National Affiliated'!D25+'Natl American'!D25+'National Heritage'!D25+'New Jersey Life'!D25+'Old Colony Life'!D25+'Old Faithful'!D25+'Pacific Standard'!D25+SeeChange!D25+'States General'!D25+Statesman!D25+'Summit National'!D25+Supreme!D25+Underwriters!D25+Unison!D25+'United Republic'!D25+Universe!D25+Villanova!D25</f>
        <v>48901.16319822165</v>
      </c>
      <c r="E25" s="1">
        <f>+'Alabama Life'!E25+'American Chambers'!E25+'American Educators'!E25+'American Integrity'!E25+'Amer Life Asr'!E25+'American Medical'!E25+'Amer Std Life Acc'!E25+AmerWstrn!E25+'AMS Life'!E25+'Andrew Jackson'!E25+'Bankers Commercial'!E25+Benicorp!E25+Centennial!E25+'Coastal States'!E25+'Confed Life (CLIC)'!E25+'Consolidated National'!E25+'Consumers Mutual'!E25+'Consumers United'!E25+'Corporate Life'!E25+'Diamond Benefits'!E25+'EBL Life'!E25+'Family Guaranty'!E25+'Farmers &amp; Ranchers'!E25+'Fidelity Bankers'!E25+'First Natl'!E25+'Franklin American'!E25+'Franklin Protective'!E25+'George Washington'!E25+'Golden State'!E25+'Guarantee Security'!E25+Imerica!E25+'Inter-American'!E25+'International Fin'!E25+'Investment Life of America'!E25+'Investors Equity'!E25+'Kentucky Central'!E25+Legion!E25+'London Pac'!E25+'Medical Savings'!E25+'Midwest Life'!E25+'Mutual Benefit'!E25+'Mutual Security'!E25+'National Affiliated'!E25+'Natl American'!E25+'National Heritage'!E25+'New Jersey Life'!E25+'Old Colony Life'!E25+'Old Faithful'!E25+'Pacific Standard'!E25+SeeChange!E25+'States General'!E25+Statesman!E25+'Summit National'!E25+Supreme!E25+Underwriters!E25+Unison!E25+'United Republic'!E25+Universe!E25+Villanova!E25</f>
        <v>63023.182327443486</v>
      </c>
      <c r="F25" s="1">
        <f>+'Alabama Life'!F25+'American Chambers'!F25+'American Educators'!F25+'American Integrity'!F25+'Amer Life Asr'!F25+'American Medical'!F25+'Amer Std Life Acc'!F25+AmerWstrn!F25+'AMS Life'!F25+'Andrew Jackson'!F25+'Bankers Commercial'!F25+Benicorp!F25+Centennial!F25+'Coastal States'!F25+'Confed Life (CLIC)'!F25+'Consolidated National'!F25+'Consumers Mutual'!F25+'Consumers United'!F25+'Corporate Life'!F25+'Diamond Benefits'!F25+'EBL Life'!F25+'Family Guaranty'!F25+'Farmers &amp; Ranchers'!F25+'Fidelity Bankers'!F25+'First Natl'!F25+'Franklin American'!F25+'Franklin Protective'!F25+'George Washington'!F25+'Golden State'!F25+'Guarantee Security'!F25+Imerica!F25+'Inter-American'!F25+'International Fin'!F25+'Investment Life of America'!F25+'Investors Equity'!F25+'Kentucky Central'!F25+Legion!F25+'London Pac'!F25+'Medical Savings'!F25+'Midwest Life'!F25+'Mutual Benefit'!F25+'Mutual Security'!F25+'National Affiliated'!F25+'Natl American'!F25+'National Heritage'!F25+'New Jersey Life'!F25+'Old Colony Life'!F25+'Old Faithful'!F25+'Pacific Standard'!F25+SeeChange!F25+'States General'!F25+Statesman!F25+'Summit National'!F25+Supreme!F25+Underwriters!F25+Unison!F25+'United Republic'!F25+Universe!F25+Villanova!F25</f>
        <v>0</v>
      </c>
      <c r="G25" s="1">
        <f t="shared" si="0"/>
        <v>1240983.8984671929</v>
      </c>
      <c r="H25" s="1">
        <f>+'Alabama Life'!G25+'American Chambers'!G25+'American Educators'!G25+'American Integrity'!G25+'Amer Life Asr'!G25+'American Medical'!G25+'Amer Std Life Acc'!G25+AmerWstrn!G25+'AMS Life'!G25+'Andrew Jackson'!G25+'Bankers Commercial'!G25+Benicorp!G25+Centennial!G25+'Coastal States'!G25+'Confed Life (CLIC)'!G25+'Consolidated National'!G25+'Consumers Mutual'!G25+'Consumers United'!G25+'Corporate Life'!G25+'Diamond Benefits'!G25+'EBL Life'!G25+'Family Guaranty'!G25+'Farmers &amp; Ranchers'!G25+'Fidelity Bankers'!G25+'First Natl'!G25+'Franklin American'!G25+'Franklin Protective'!G25+'George Washington'!G25+'Golden State'!G25+'Guarantee Security'!G25+Imerica!G25+'Inter-American'!G25+'International Fin'!G25+'Investment Life of America'!G25+'Investors Equity'!G25+'Kentucky Central'!G25+Legion!G25+'London Pac'!G25+'Medical Savings'!G25+'Midwest Life'!G25+'Mutual Benefit'!G25+'Mutual Security'!G25+'National Affiliated'!G25+'Natl American'!G25+'National Heritage'!G25+'New Jersey Life'!G25+'Old Colony Life'!G25+'Old Faithful'!G25+'Pacific Standard'!G25+SeeChange!G25+'States General'!G25+Statesman!G25+'Summit National'!G25+Supreme!G25+Underwriters!G25+Unison!G25+'United Republic'!G25+Universe!G25+Villanova!G25</f>
        <v>1240983.8984671929</v>
      </c>
      <c r="I25" s="1">
        <f t="shared" si="1"/>
        <v>0</v>
      </c>
      <c r="K25" s="1" t="s">
        <v>448</v>
      </c>
      <c r="L25" s="1">
        <f>Summary!TOTAL_74969</f>
        <v>12093330.970000001</v>
      </c>
    </row>
    <row r="26" spans="1:12">
      <c r="A26" s="1" t="s">
        <v>45</v>
      </c>
      <c r="B26" s="1">
        <f>+'Alabama Life'!B26+'American Chambers'!B26+'American Educators'!B26+'American Integrity'!B26+'Amer Life Asr'!B26+'American Medical'!B26+'Amer Std Life Acc'!B26+AmerWstrn!B26+'AMS Life'!B26+'Andrew Jackson'!B26+'Bankers Commercial'!B26+Benicorp!B26+Centennial!B26+'Coastal States'!B26+'Confed Life (CLIC)'!B26+'Consolidated National'!B26+'Consumers Mutual'!B26+'Consumers United'!B26+'Corporate Life'!B26+'Diamond Benefits'!B26+'EBL Life'!B26+'Family Guaranty'!B26+'Farmers &amp; Ranchers'!B26+'Fidelity Bankers'!B26+'First Natl'!B26+'Franklin American'!B26+'Franklin Protective'!B26+'George Washington'!B26+'Golden State'!B26+'Guarantee Security'!B26+Imerica!B26+'Inter-American'!B26+'International Fin'!B26+'Investment Life of America'!B26+'Investors Equity'!B26+'Kentucky Central'!B26+Legion!B26+'London Pac'!B26+'Medical Savings'!B26+'Midwest Life'!B26+'Mutual Benefit'!B26+'Mutual Security'!B26+'National Affiliated'!B26+'Natl American'!B26+'National Heritage'!B26+'New Jersey Life'!B26+'Old Colony Life'!B26+'Old Faithful'!B26+'Pacific Standard'!B26+SeeChange!B26+'States General'!B26+Statesman!B26+'Summit National'!B26+Supreme!B26+Underwriters!B26+Unison!B26+'United Republic'!B26+Universe!B26+Villanova!B26</f>
        <v>1859900.4689920521</v>
      </c>
      <c r="C26" s="1">
        <f>+'Alabama Life'!C26+'American Chambers'!C26+'American Educators'!C26+'American Integrity'!C26+'Amer Life Asr'!C26+'American Medical'!C26+'Amer Std Life Acc'!C26+AmerWstrn!C26+'AMS Life'!C26+'Andrew Jackson'!C26+'Bankers Commercial'!C26+Benicorp!C26+Centennial!C26+'Coastal States'!C26+'Confed Life (CLIC)'!C26+'Consolidated National'!C26+'Consumers Mutual'!C26+'Consumers United'!C26+'Corporate Life'!C26+'Diamond Benefits'!C26+'EBL Life'!C26+'Family Guaranty'!C26+'Farmers &amp; Ranchers'!C26+'Fidelity Bankers'!C26+'First Natl'!C26+'Franklin American'!C26+'Franklin Protective'!C26+'George Washington'!C26+'Golden State'!C26+'Guarantee Security'!C26+Imerica!C26+'Inter-American'!C26+'International Fin'!C26+'Investment Life of America'!C26+'Investors Equity'!C26+'Kentucky Central'!C26+Legion!C26+'London Pac'!C26+'Medical Savings'!C26+'Midwest Life'!C26+'Mutual Benefit'!C26+'Mutual Security'!C26+'National Affiliated'!C26+'Natl American'!C26+'National Heritage'!C26+'New Jersey Life'!C26+'Old Colony Life'!C26+'Old Faithful'!C26+'Pacific Standard'!C26+SeeChange!C26+'States General'!C26+Statesman!C26+'Summit National'!C26+Supreme!C26+Underwriters!C26+Unison!C26+'United Republic'!C26+Universe!C26+Villanova!C26</f>
        <v>5171586.9823300615</v>
      </c>
      <c r="D26" s="1">
        <f>+'Alabama Life'!D26+'American Chambers'!D26+'American Educators'!D26+'American Integrity'!D26+'Amer Life Asr'!D26+'American Medical'!D26+'Amer Std Life Acc'!D26+AmerWstrn!D26+'AMS Life'!D26+'Andrew Jackson'!D26+'Bankers Commercial'!D26+Benicorp!D26+Centennial!D26+'Coastal States'!D26+'Confed Life (CLIC)'!D26+'Consolidated National'!D26+'Consumers Mutual'!D26+'Consumers United'!D26+'Corporate Life'!D26+'Diamond Benefits'!D26+'EBL Life'!D26+'Family Guaranty'!D26+'Farmers &amp; Ranchers'!D26+'Fidelity Bankers'!D26+'First Natl'!D26+'Franklin American'!D26+'Franklin Protective'!D26+'George Washington'!D26+'Golden State'!D26+'Guarantee Security'!D26+Imerica!D26+'Inter-American'!D26+'International Fin'!D26+'Investment Life of America'!D26+'Investors Equity'!D26+'Kentucky Central'!D26+Legion!D26+'London Pac'!D26+'Medical Savings'!D26+'Midwest Life'!D26+'Mutual Benefit'!D26+'Mutual Security'!D26+'National Affiliated'!D26+'Natl American'!D26+'National Heritage'!D26+'New Jersey Life'!D26+'Old Colony Life'!D26+'Old Faithful'!D26+'Pacific Standard'!D26+SeeChange!D26+'States General'!D26+Statesman!D26+'Summit National'!D26+Supreme!D26+Underwriters!D26+Unison!D26+'United Republic'!D26+Universe!D26+Villanova!D26</f>
        <v>485940.9556147703</v>
      </c>
      <c r="E26" s="1">
        <f>+'Alabama Life'!E26+'American Chambers'!E26+'American Educators'!E26+'American Integrity'!E26+'Amer Life Asr'!E26+'American Medical'!E26+'Amer Std Life Acc'!E26+AmerWstrn!E26+'AMS Life'!E26+'Andrew Jackson'!E26+'Bankers Commercial'!E26+Benicorp!E26+Centennial!E26+'Coastal States'!E26+'Confed Life (CLIC)'!E26+'Consolidated National'!E26+'Consumers Mutual'!E26+'Consumers United'!E26+'Corporate Life'!E26+'Diamond Benefits'!E26+'EBL Life'!E26+'Family Guaranty'!E26+'Farmers &amp; Ranchers'!E26+'Fidelity Bankers'!E26+'First Natl'!E26+'Franklin American'!E26+'Franklin Protective'!E26+'George Washington'!E26+'Golden State'!E26+'Guarantee Security'!E26+Imerica!E26+'Inter-American'!E26+'International Fin'!E26+'Investment Life of America'!E26+'Investors Equity'!E26+'Kentucky Central'!E26+Legion!E26+'London Pac'!E26+'Medical Savings'!E26+'Midwest Life'!E26+'Mutual Benefit'!E26+'Mutual Security'!E26+'National Affiliated'!E26+'Natl American'!E26+'National Heritage'!E26+'New Jersey Life'!E26+'Old Colony Life'!E26+'Old Faithful'!E26+'Pacific Standard'!E26+SeeChange!E26+'States General'!E26+Statesman!E26+'Summit National'!E26+Supreme!E26+Underwriters!E26+Unison!E26+'United Republic'!E26+Universe!E26+Villanova!E26</f>
        <v>-582.42313150968403</v>
      </c>
      <c r="F26" s="1">
        <f>+'Alabama Life'!F26+'American Chambers'!F26+'American Educators'!F26+'American Integrity'!F26+'Amer Life Asr'!F26+'American Medical'!F26+'Amer Std Life Acc'!F26+AmerWstrn!F26+'AMS Life'!F26+'Andrew Jackson'!F26+'Bankers Commercial'!F26+Benicorp!F26+Centennial!F26+'Coastal States'!F26+'Confed Life (CLIC)'!F26+'Consolidated National'!F26+'Consumers Mutual'!F26+'Consumers United'!F26+'Corporate Life'!F26+'Diamond Benefits'!F26+'EBL Life'!F26+'Family Guaranty'!F26+'Farmers &amp; Ranchers'!F26+'Fidelity Bankers'!F26+'First Natl'!F26+'Franklin American'!F26+'Franklin Protective'!F26+'George Washington'!F26+'Golden State'!F26+'Guarantee Security'!F26+Imerica!F26+'Inter-American'!F26+'International Fin'!F26+'Investment Life of America'!F26+'Investors Equity'!F26+'Kentucky Central'!F26+Legion!F26+'London Pac'!F26+'Medical Savings'!F26+'Midwest Life'!F26+'Mutual Benefit'!F26+'Mutual Security'!F26+'National Affiliated'!F26+'Natl American'!F26+'National Heritage'!F26+'New Jersey Life'!F26+'Old Colony Life'!F26+'Old Faithful'!F26+'Pacific Standard'!F26+SeeChange!F26+'States General'!F26+Statesman!F26+'Summit National'!F26+Supreme!F26+Underwriters!F26+Unison!F26+'United Republic'!F26+Universe!F26+Villanova!F26</f>
        <v>0</v>
      </c>
      <c r="G26" s="1">
        <f t="shared" si="0"/>
        <v>7516845.9838053742</v>
      </c>
      <c r="H26" s="1">
        <f>+'Alabama Life'!G26+'American Chambers'!G26+'American Educators'!G26+'American Integrity'!G26+'Amer Life Asr'!G26+'American Medical'!G26+'Amer Std Life Acc'!G26+AmerWstrn!G26+'AMS Life'!G26+'Andrew Jackson'!G26+'Bankers Commercial'!G26+Benicorp!G26+Centennial!G26+'Coastal States'!G26+'Confed Life (CLIC)'!G26+'Consolidated National'!G26+'Consumers Mutual'!G26+'Consumers United'!G26+'Corporate Life'!G26+'Diamond Benefits'!G26+'EBL Life'!G26+'Family Guaranty'!G26+'Farmers &amp; Ranchers'!G26+'Fidelity Bankers'!G26+'First Natl'!G26+'Franklin American'!G26+'Franklin Protective'!G26+'George Washington'!G26+'Golden State'!G26+'Guarantee Security'!G26+Imerica!G26+'Inter-American'!G26+'International Fin'!G26+'Investment Life of America'!G26+'Investors Equity'!G26+'Kentucky Central'!G26+Legion!G26+'London Pac'!G26+'Medical Savings'!G26+'Midwest Life'!G26+'Mutual Benefit'!G26+'Mutual Security'!G26+'National Affiliated'!G26+'Natl American'!G26+'National Heritage'!G26+'New Jersey Life'!G26+'Old Colony Life'!G26+'Old Faithful'!G26+'Pacific Standard'!G26+SeeChange!G26+'States General'!G26+Statesman!G26+'Summit National'!G26+Supreme!G26+Underwriters!G26+Unison!G26+'United Republic'!G26+Universe!G26+Villanova!G26</f>
        <v>7516845.9838053761</v>
      </c>
      <c r="I26" s="1">
        <f t="shared" si="1"/>
        <v>0</v>
      </c>
      <c r="K26" s="1" t="s">
        <v>454</v>
      </c>
      <c r="L26" s="1">
        <f>Summary!TOTAL_87033</f>
        <v>14255071.83</v>
      </c>
    </row>
    <row r="27" spans="1:12">
      <c r="A27" s="1" t="s">
        <v>47</v>
      </c>
      <c r="B27" s="1">
        <f>+'Alabama Life'!B27+'American Chambers'!B27+'American Educators'!B27+'American Integrity'!B27+'Amer Life Asr'!B27+'American Medical'!B27+'Amer Std Life Acc'!B27+AmerWstrn!B27+'AMS Life'!B27+'Andrew Jackson'!B27+'Bankers Commercial'!B27+Benicorp!B27+Centennial!B27+'Coastal States'!B27+'Confed Life (CLIC)'!B27+'Consolidated National'!B27+'Consumers Mutual'!B27+'Consumers United'!B27+'Corporate Life'!B27+'Diamond Benefits'!B27+'EBL Life'!B27+'Family Guaranty'!B27+'Farmers &amp; Ranchers'!B27+'Fidelity Bankers'!B27+'First Natl'!B27+'Franklin American'!B27+'Franklin Protective'!B27+'George Washington'!B27+'Golden State'!B27+'Guarantee Security'!B27+Imerica!B27+'Inter-American'!B27+'International Fin'!B27+'Investment Life of America'!B27+'Investors Equity'!B27+'Kentucky Central'!B27+Legion!B27+'London Pac'!B27+'Medical Savings'!B27+'Midwest Life'!B27+'Mutual Benefit'!B27+'Mutual Security'!B27+'National Affiliated'!B27+'Natl American'!B27+'National Heritage'!B27+'New Jersey Life'!B27+'Old Colony Life'!B27+'Old Faithful'!B27+'Pacific Standard'!B27+SeeChange!B27+'States General'!B27+Statesman!B27+'Summit National'!B27+Supreme!B27+Underwriters!B27+Unison!B27+'United Republic'!B27+Universe!B27+Villanova!B27</f>
        <v>3534653.1428944422</v>
      </c>
      <c r="C27" s="1">
        <f>+'Alabama Life'!C27+'American Chambers'!C27+'American Educators'!C27+'American Integrity'!C27+'Amer Life Asr'!C27+'American Medical'!C27+'Amer Std Life Acc'!C27+AmerWstrn!C27+'AMS Life'!C27+'Andrew Jackson'!C27+'Bankers Commercial'!C27+Benicorp!C27+Centennial!C27+'Coastal States'!C27+'Confed Life (CLIC)'!C27+'Consolidated National'!C27+'Consumers Mutual'!C27+'Consumers United'!C27+'Corporate Life'!C27+'Diamond Benefits'!C27+'EBL Life'!C27+'Family Guaranty'!C27+'Farmers &amp; Ranchers'!C27+'Fidelity Bankers'!C27+'First Natl'!C27+'Franklin American'!C27+'Franklin Protective'!C27+'George Washington'!C27+'Golden State'!C27+'Guarantee Security'!C27+Imerica!C27+'Inter-American'!C27+'International Fin'!C27+'Investment Life of America'!C27+'Investors Equity'!C27+'Kentucky Central'!C27+Legion!C27+'London Pac'!C27+'Medical Savings'!C27+'Midwest Life'!C27+'Mutual Benefit'!C27+'Mutual Security'!C27+'National Affiliated'!C27+'Natl American'!C27+'National Heritage'!C27+'New Jersey Life'!C27+'Old Colony Life'!C27+'Old Faithful'!C27+'Pacific Standard'!C27+SeeChange!C27+'States General'!C27+Statesman!C27+'Summit National'!C27+Supreme!C27+Underwriters!C27+Unison!C27+'United Republic'!C27+Universe!C27+Villanova!C27</f>
        <v>3179596.3641537353</v>
      </c>
      <c r="D27" s="1">
        <f>+'Alabama Life'!D27+'American Chambers'!D27+'American Educators'!D27+'American Integrity'!D27+'Amer Life Asr'!D27+'American Medical'!D27+'Amer Std Life Acc'!D27+AmerWstrn!D27+'AMS Life'!D27+'Andrew Jackson'!D27+'Bankers Commercial'!D27+Benicorp!D27+Centennial!D27+'Coastal States'!D27+'Confed Life (CLIC)'!D27+'Consolidated National'!D27+'Consumers Mutual'!D27+'Consumers United'!D27+'Corporate Life'!D27+'Diamond Benefits'!D27+'EBL Life'!D27+'Family Guaranty'!D27+'Farmers &amp; Ranchers'!D27+'Fidelity Bankers'!D27+'First Natl'!D27+'Franklin American'!D27+'Franklin Protective'!D27+'George Washington'!D27+'Golden State'!D27+'Guarantee Security'!D27+Imerica!D27+'Inter-American'!D27+'International Fin'!D27+'Investment Life of America'!D27+'Investors Equity'!D27+'Kentucky Central'!D27+Legion!D27+'London Pac'!D27+'Medical Savings'!D27+'Midwest Life'!D27+'Mutual Benefit'!D27+'Mutual Security'!D27+'National Affiliated'!D27+'Natl American'!D27+'National Heritage'!D27+'New Jersey Life'!D27+'Old Colony Life'!D27+'Old Faithful'!D27+'Pacific Standard'!D27+SeeChange!D27+'States General'!D27+Statesman!D27+'Summit National'!D27+Supreme!D27+Underwriters!D27+Unison!D27+'United Republic'!D27+Universe!D27+Villanova!D27</f>
        <v>1666731.383089581</v>
      </c>
      <c r="E27" s="1">
        <f>+'Alabama Life'!E27+'American Chambers'!E27+'American Educators'!E27+'American Integrity'!E27+'Amer Life Asr'!E27+'American Medical'!E27+'Amer Std Life Acc'!E27+AmerWstrn!E27+'AMS Life'!E27+'Andrew Jackson'!E27+'Bankers Commercial'!E27+Benicorp!E27+Centennial!E27+'Coastal States'!E27+'Confed Life (CLIC)'!E27+'Consolidated National'!E27+'Consumers Mutual'!E27+'Consumers United'!E27+'Corporate Life'!E27+'Diamond Benefits'!E27+'EBL Life'!E27+'Family Guaranty'!E27+'Farmers &amp; Ranchers'!E27+'Fidelity Bankers'!E27+'First Natl'!E27+'Franklin American'!E27+'Franklin Protective'!E27+'George Washington'!E27+'Golden State'!E27+'Guarantee Security'!E27+Imerica!E27+'Inter-American'!E27+'International Fin'!E27+'Investment Life of America'!E27+'Investors Equity'!E27+'Kentucky Central'!E27+Legion!E27+'London Pac'!E27+'Medical Savings'!E27+'Midwest Life'!E27+'Mutual Benefit'!E27+'Mutual Security'!E27+'National Affiliated'!E27+'Natl American'!E27+'National Heritage'!E27+'New Jersey Life'!E27+'Old Colony Life'!E27+'Old Faithful'!E27+'Pacific Standard'!E27+SeeChange!E27+'States General'!E27+Statesman!E27+'Summit National'!E27+Supreme!E27+Underwriters!E27+Unison!E27+'United Republic'!E27+Universe!E27+Villanova!E27</f>
        <v>0</v>
      </c>
      <c r="F27" s="1">
        <f>+'Alabama Life'!F27+'American Chambers'!F27+'American Educators'!F27+'American Integrity'!F27+'Amer Life Asr'!F27+'American Medical'!F27+'Amer Std Life Acc'!F27+AmerWstrn!F27+'AMS Life'!F27+'Andrew Jackson'!F27+'Bankers Commercial'!F27+Benicorp!F27+Centennial!F27+'Coastal States'!F27+'Confed Life (CLIC)'!F27+'Consolidated National'!F27+'Consumers Mutual'!F27+'Consumers United'!F27+'Corporate Life'!F27+'Diamond Benefits'!F27+'EBL Life'!F27+'Family Guaranty'!F27+'Farmers &amp; Ranchers'!F27+'Fidelity Bankers'!F27+'First Natl'!F27+'Franklin American'!F27+'Franklin Protective'!F27+'George Washington'!F27+'Golden State'!F27+'Guarantee Security'!F27+Imerica!F27+'Inter-American'!F27+'International Fin'!F27+'Investment Life of America'!F27+'Investors Equity'!F27+'Kentucky Central'!F27+Legion!F27+'London Pac'!F27+'Medical Savings'!F27+'Midwest Life'!F27+'Mutual Benefit'!F27+'Mutual Security'!F27+'National Affiliated'!F27+'Natl American'!F27+'National Heritage'!F27+'New Jersey Life'!F27+'Old Colony Life'!F27+'Old Faithful'!F27+'Pacific Standard'!F27+SeeChange!F27+'States General'!F27+Statesman!F27+'Summit National'!F27+Supreme!F27+Underwriters!F27+Unison!F27+'United Republic'!F27+Universe!F27+Villanova!F27</f>
        <v>0</v>
      </c>
      <c r="G27" s="1">
        <f t="shared" si="0"/>
        <v>8380980.8901377581</v>
      </c>
      <c r="H27" s="1">
        <f>+'Alabama Life'!G27+'American Chambers'!G27+'American Educators'!G27+'American Integrity'!G27+'Amer Life Asr'!G27+'American Medical'!G27+'Amer Std Life Acc'!G27+AmerWstrn!G27+'AMS Life'!G27+'Andrew Jackson'!G27+'Bankers Commercial'!G27+Benicorp!G27+Centennial!G27+'Coastal States'!G27+'Confed Life (CLIC)'!G27+'Consolidated National'!G27+'Consumers Mutual'!G27+'Consumers United'!G27+'Corporate Life'!G27+'Diamond Benefits'!G27+'EBL Life'!G27+'Family Guaranty'!G27+'Farmers &amp; Ranchers'!G27+'Fidelity Bankers'!G27+'First Natl'!G27+'Franklin American'!G27+'Franklin Protective'!G27+'George Washington'!G27+'Golden State'!G27+'Guarantee Security'!G27+Imerica!G27+'Inter-American'!G27+'International Fin'!G27+'Investment Life of America'!G27+'Investors Equity'!G27+'Kentucky Central'!G27+Legion!G27+'London Pac'!G27+'Medical Savings'!G27+'Midwest Life'!G27+'Mutual Benefit'!G27+'Mutual Security'!G27+'National Affiliated'!G27+'Natl American'!G27+'National Heritage'!G27+'New Jersey Life'!G27+'Old Colony Life'!G27+'Old Faithful'!G27+'Pacific Standard'!G27+SeeChange!G27+'States General'!G27+Statesman!G27+'Summit National'!G27+Supreme!G27+Underwriters!G27+Unison!G27+'United Republic'!G27+Universe!G27+Villanova!G27</f>
        <v>8380980.8901377572</v>
      </c>
      <c r="I27" s="1">
        <f t="shared" si="1"/>
        <v>0</v>
      </c>
      <c r="K27" s="1" t="s">
        <v>459</v>
      </c>
      <c r="L27" s="1">
        <f>Summary!TOTAL_75302</f>
        <v>19770463.759021532</v>
      </c>
    </row>
    <row r="28" spans="1:12">
      <c r="A28" s="1" t="s">
        <v>49</v>
      </c>
      <c r="B28" s="1">
        <f>+'Alabama Life'!B28+'American Chambers'!B28+'American Educators'!B28+'American Integrity'!B28+'Amer Life Asr'!B28+'American Medical'!B28+'Amer Std Life Acc'!B28+AmerWstrn!B28+'AMS Life'!B28+'Andrew Jackson'!B28+'Bankers Commercial'!B28+Benicorp!B28+Centennial!B28+'Coastal States'!B28+'Confed Life (CLIC)'!B28+'Consolidated National'!B28+'Consumers Mutual'!B28+'Consumers United'!B28+'Corporate Life'!B28+'Diamond Benefits'!B28+'EBL Life'!B28+'Family Guaranty'!B28+'Farmers &amp; Ranchers'!B28+'Fidelity Bankers'!B28+'First Natl'!B28+'Franklin American'!B28+'Franklin Protective'!B28+'George Washington'!B28+'Golden State'!B28+'Guarantee Security'!B28+Imerica!B28+'Inter-American'!B28+'International Fin'!B28+'Investment Life of America'!B28+'Investors Equity'!B28+'Kentucky Central'!B28+Legion!B28+'London Pac'!B28+'Medical Savings'!B28+'Midwest Life'!B28+'Mutual Benefit'!B28+'Mutual Security'!B28+'National Affiliated'!B28+'Natl American'!B28+'National Heritage'!B28+'New Jersey Life'!B28+'Old Colony Life'!B28+'Old Faithful'!B28+'Pacific Standard'!B28+SeeChange!B28+'States General'!B28+Statesman!B28+'Summit National'!B28+Supreme!B28+Underwriters!B28+Unison!B28+'United Republic'!B28+Universe!B28+Villanova!B28</f>
        <v>10196777.048927421</v>
      </c>
      <c r="C28" s="1">
        <f>+'Alabama Life'!C28+'American Chambers'!C28+'American Educators'!C28+'American Integrity'!C28+'Amer Life Asr'!C28+'American Medical'!C28+'Amer Std Life Acc'!C28+AmerWstrn!C28+'AMS Life'!C28+'Andrew Jackson'!C28+'Bankers Commercial'!C28+Benicorp!C28+Centennial!C28+'Coastal States'!C28+'Confed Life (CLIC)'!C28+'Consolidated National'!C28+'Consumers Mutual'!C28+'Consumers United'!C28+'Corporate Life'!C28+'Diamond Benefits'!C28+'EBL Life'!C28+'Family Guaranty'!C28+'Farmers &amp; Ranchers'!C28+'Fidelity Bankers'!C28+'First Natl'!C28+'Franklin American'!C28+'Franklin Protective'!C28+'George Washington'!C28+'Golden State'!C28+'Guarantee Security'!C28+Imerica!C28+'Inter-American'!C28+'International Fin'!C28+'Investment Life of America'!C28+'Investors Equity'!C28+'Kentucky Central'!C28+Legion!C28+'London Pac'!C28+'Medical Savings'!C28+'Midwest Life'!C28+'Mutual Benefit'!C28+'Mutual Security'!C28+'National Affiliated'!C28+'Natl American'!C28+'National Heritage'!C28+'New Jersey Life'!C28+'Old Colony Life'!C28+'Old Faithful'!C28+'Pacific Standard'!C28+SeeChange!C28+'States General'!C28+Statesman!C28+'Summit National'!C28+Supreme!C28+Underwriters!C28+Unison!C28+'United Republic'!C28+Universe!C28+Villanova!C28</f>
        <v>41916395.156598449</v>
      </c>
      <c r="D28" s="1">
        <f>+'Alabama Life'!D28+'American Chambers'!D28+'American Educators'!D28+'American Integrity'!D28+'Amer Life Asr'!D28+'American Medical'!D28+'Amer Std Life Acc'!D28+AmerWstrn!D28+'AMS Life'!D28+'Andrew Jackson'!D28+'Bankers Commercial'!D28+Benicorp!D28+Centennial!D28+'Coastal States'!D28+'Confed Life (CLIC)'!D28+'Consolidated National'!D28+'Consumers Mutual'!D28+'Consumers United'!D28+'Corporate Life'!D28+'Diamond Benefits'!D28+'EBL Life'!D28+'Family Guaranty'!D28+'Farmers &amp; Ranchers'!D28+'Fidelity Bankers'!D28+'First Natl'!D28+'Franklin American'!D28+'Franklin Protective'!D28+'George Washington'!D28+'Golden State'!D28+'Guarantee Security'!D28+Imerica!D28+'Inter-American'!D28+'International Fin'!D28+'Investment Life of America'!D28+'Investors Equity'!D28+'Kentucky Central'!D28+Legion!D28+'London Pac'!D28+'Medical Savings'!D28+'Midwest Life'!D28+'Mutual Benefit'!D28+'Mutual Security'!D28+'National Affiliated'!D28+'Natl American'!D28+'National Heritage'!D28+'New Jersey Life'!D28+'Old Colony Life'!D28+'Old Faithful'!D28+'Pacific Standard'!D28+SeeChange!D28+'States General'!D28+Statesman!D28+'Summit National'!D28+Supreme!D28+Underwriters!D28+Unison!D28+'United Republic'!D28+Universe!D28+Villanova!D28</f>
        <v>5621879.7776508462</v>
      </c>
      <c r="E28" s="1">
        <f>+'Alabama Life'!E28+'American Chambers'!E28+'American Educators'!E28+'American Integrity'!E28+'Amer Life Asr'!E28+'American Medical'!E28+'Amer Std Life Acc'!E28+AmerWstrn!E28+'AMS Life'!E28+'Andrew Jackson'!E28+'Bankers Commercial'!E28+Benicorp!E28+Centennial!E28+'Coastal States'!E28+'Confed Life (CLIC)'!E28+'Consolidated National'!E28+'Consumers Mutual'!E28+'Consumers United'!E28+'Corporate Life'!E28+'Diamond Benefits'!E28+'EBL Life'!E28+'Family Guaranty'!E28+'Farmers &amp; Ranchers'!E28+'Fidelity Bankers'!E28+'First Natl'!E28+'Franklin American'!E28+'Franklin Protective'!E28+'George Washington'!E28+'Golden State'!E28+'Guarantee Security'!E28+Imerica!E28+'Inter-American'!E28+'International Fin'!E28+'Investment Life of America'!E28+'Investors Equity'!E28+'Kentucky Central'!E28+Legion!E28+'London Pac'!E28+'Medical Savings'!E28+'Midwest Life'!E28+'Mutual Benefit'!E28+'Mutual Security'!E28+'National Affiliated'!E28+'Natl American'!E28+'National Heritage'!E28+'New Jersey Life'!E28+'Old Colony Life'!E28+'Old Faithful'!E28+'Pacific Standard'!E28+SeeChange!E28+'States General'!E28+Statesman!E28+'Summit National'!E28+Supreme!E28+Underwriters!E28+Unison!E28+'United Republic'!E28+Universe!E28+Villanova!E28</f>
        <v>3372843.4317399804</v>
      </c>
      <c r="F28" s="1">
        <f>+'Alabama Life'!F28+'American Chambers'!F28+'American Educators'!F28+'American Integrity'!F28+'Amer Life Asr'!F28+'American Medical'!F28+'Amer Std Life Acc'!F28+AmerWstrn!F28+'AMS Life'!F28+'Andrew Jackson'!F28+'Bankers Commercial'!F28+Benicorp!F28+Centennial!F28+'Coastal States'!F28+'Confed Life (CLIC)'!F28+'Consolidated National'!F28+'Consumers Mutual'!F28+'Consumers United'!F28+'Corporate Life'!F28+'Diamond Benefits'!F28+'EBL Life'!F28+'Family Guaranty'!F28+'Farmers &amp; Ranchers'!F28+'Fidelity Bankers'!F28+'First Natl'!F28+'Franklin American'!F28+'Franklin Protective'!F28+'George Washington'!F28+'Golden State'!F28+'Guarantee Security'!F28+Imerica!F28+'Inter-American'!F28+'International Fin'!F28+'Investment Life of America'!F28+'Investors Equity'!F28+'Kentucky Central'!F28+Legion!F28+'London Pac'!F28+'Medical Savings'!F28+'Midwest Life'!F28+'Mutual Benefit'!F28+'Mutual Security'!F28+'National Affiliated'!F28+'Natl American'!F28+'National Heritage'!F28+'New Jersey Life'!F28+'Old Colony Life'!F28+'Old Faithful'!F28+'Pacific Standard'!F28+SeeChange!F28+'States General'!F28+Statesman!F28+'Summit National'!F28+Supreme!F28+Underwriters!F28+Unison!F28+'United Republic'!F28+Universe!F28+Villanova!F28</f>
        <v>0</v>
      </c>
      <c r="G28" s="1">
        <f t="shared" si="0"/>
        <v>61107895.414916694</v>
      </c>
      <c r="H28" s="1">
        <f>+'Alabama Life'!G28+'American Chambers'!G28+'American Educators'!G28+'American Integrity'!G28+'Amer Life Asr'!G28+'American Medical'!G28+'Amer Std Life Acc'!G28+AmerWstrn!G28+'AMS Life'!G28+'Andrew Jackson'!G28+'Bankers Commercial'!G28+Benicorp!G28+Centennial!G28+'Coastal States'!G28+'Confed Life (CLIC)'!G28+'Consolidated National'!G28+'Consumers Mutual'!G28+'Consumers United'!G28+'Corporate Life'!G28+'Diamond Benefits'!G28+'EBL Life'!G28+'Family Guaranty'!G28+'Farmers &amp; Ranchers'!G28+'Fidelity Bankers'!G28+'First Natl'!G28+'Franklin American'!G28+'Franklin Protective'!G28+'George Washington'!G28+'Golden State'!G28+'Guarantee Security'!G28+Imerica!G28+'Inter-American'!G28+'International Fin'!G28+'Investment Life of America'!G28+'Investors Equity'!G28+'Kentucky Central'!G28+Legion!G28+'London Pac'!G28+'Medical Savings'!G28+'Midwest Life'!G28+'Mutual Benefit'!G28+'Mutual Security'!G28+'National Affiliated'!G28+'Natl American'!G28+'National Heritage'!G28+'New Jersey Life'!G28+'Old Colony Life'!G28+'Old Faithful'!G28+'Pacific Standard'!G28+SeeChange!G28+'States General'!G28+Statesman!G28+'Summit National'!G28+Supreme!G28+Underwriters!G28+Unison!G28+'United Republic'!G28+Universe!G28+Villanova!G28</f>
        <v>61107895.414916694</v>
      </c>
      <c r="I28" s="1">
        <f t="shared" si="1"/>
        <v>0</v>
      </c>
      <c r="K28" s="1" t="s">
        <v>462</v>
      </c>
      <c r="L28" s="1">
        <f>Summary!TOTAL_63185</f>
        <v>9196677.4056882318</v>
      </c>
    </row>
    <row r="29" spans="1:12">
      <c r="A29" s="1" t="s">
        <v>50</v>
      </c>
      <c r="B29" s="1">
        <f>+'Alabama Life'!B29+'American Chambers'!B29+'American Educators'!B29+'American Integrity'!B29+'Amer Life Asr'!B29+'American Medical'!B29+'Amer Std Life Acc'!B29+AmerWstrn!B29+'AMS Life'!B29+'Andrew Jackson'!B29+'Bankers Commercial'!B29+Benicorp!B29+Centennial!B29+'Coastal States'!B29+'Confed Life (CLIC)'!B29+'Consolidated National'!B29+'Consumers Mutual'!B29+'Consumers United'!B29+'Corporate Life'!B29+'Diamond Benefits'!B29+'EBL Life'!B29+'Family Guaranty'!B29+'Farmers &amp; Ranchers'!B29+'Fidelity Bankers'!B29+'First Natl'!B29+'Franklin American'!B29+'Franklin Protective'!B29+'George Washington'!B29+'Golden State'!B29+'Guarantee Security'!B29+Imerica!B29+'Inter-American'!B29+'International Fin'!B29+'Investment Life of America'!B29+'Investors Equity'!B29+'Kentucky Central'!B29+Legion!B29+'London Pac'!B29+'Medical Savings'!B29+'Midwest Life'!B29+'Mutual Benefit'!B29+'Mutual Security'!B29+'National Affiliated'!B29+'Natl American'!B29+'National Heritage'!B29+'New Jersey Life'!B29+'Old Colony Life'!B29+'Old Faithful'!B29+'Pacific Standard'!B29+SeeChange!B29+'States General'!B29+Statesman!B29+'Summit National'!B29+Supreme!B29+Underwriters!B29+Unison!B29+'United Republic'!B29+Universe!B29+Villanova!B29</f>
        <v>2755060.0196639765</v>
      </c>
      <c r="C29" s="1">
        <f>+'Alabama Life'!C29+'American Chambers'!C29+'American Educators'!C29+'American Integrity'!C29+'Amer Life Asr'!C29+'American Medical'!C29+'Amer Std Life Acc'!C29+AmerWstrn!C29+'AMS Life'!C29+'Andrew Jackson'!C29+'Bankers Commercial'!C29+Benicorp!C29+Centennial!C29+'Coastal States'!C29+'Confed Life (CLIC)'!C29+'Consolidated National'!C29+'Consumers Mutual'!C29+'Consumers United'!C29+'Corporate Life'!C29+'Diamond Benefits'!C29+'EBL Life'!C29+'Family Guaranty'!C29+'Farmers &amp; Ranchers'!C29+'Fidelity Bankers'!C29+'First Natl'!C29+'Franklin American'!C29+'Franklin Protective'!C29+'George Washington'!C29+'Golden State'!C29+'Guarantee Security'!C29+Imerica!C29+'Inter-American'!C29+'International Fin'!C29+'Investment Life of America'!C29+'Investors Equity'!C29+'Kentucky Central'!C29+Legion!C29+'London Pac'!C29+'Medical Savings'!C29+'Midwest Life'!C29+'Mutual Benefit'!C29+'Mutual Security'!C29+'National Affiliated'!C29+'Natl American'!C29+'National Heritage'!C29+'New Jersey Life'!C29+'Old Colony Life'!C29+'Old Faithful'!C29+'Pacific Standard'!C29+SeeChange!C29+'States General'!C29+Statesman!C29+'Summit National'!C29+Supreme!C29+Underwriters!C29+Unison!C29+'United Republic'!C29+Universe!C29+Villanova!C29</f>
        <v>23326827.631874789</v>
      </c>
      <c r="D29" s="1">
        <f>+'Alabama Life'!D29+'American Chambers'!D29+'American Educators'!D29+'American Integrity'!D29+'Amer Life Asr'!D29+'American Medical'!D29+'Amer Std Life Acc'!D29+AmerWstrn!D29+'AMS Life'!D29+'Andrew Jackson'!D29+'Bankers Commercial'!D29+Benicorp!D29+Centennial!D29+'Coastal States'!D29+'Confed Life (CLIC)'!D29+'Consolidated National'!D29+'Consumers Mutual'!D29+'Consumers United'!D29+'Corporate Life'!D29+'Diamond Benefits'!D29+'EBL Life'!D29+'Family Guaranty'!D29+'Farmers &amp; Ranchers'!D29+'Fidelity Bankers'!D29+'First Natl'!D29+'Franklin American'!D29+'Franklin Protective'!D29+'George Washington'!D29+'Golden State'!D29+'Guarantee Security'!D29+Imerica!D29+'Inter-American'!D29+'International Fin'!D29+'Investment Life of America'!D29+'Investors Equity'!D29+'Kentucky Central'!D29+Legion!D29+'London Pac'!D29+'Medical Savings'!D29+'Midwest Life'!D29+'Mutual Benefit'!D29+'Mutual Security'!D29+'National Affiliated'!D29+'Natl American'!D29+'National Heritage'!D29+'New Jersey Life'!D29+'Old Colony Life'!D29+'Old Faithful'!D29+'Pacific Standard'!D29+SeeChange!D29+'States General'!D29+Statesman!D29+'Summit National'!D29+Supreme!D29+Underwriters!D29+Unison!D29+'United Republic'!D29+Universe!D29+Villanova!D29</f>
        <v>257992.14964444155</v>
      </c>
      <c r="E29" s="1">
        <f>+'Alabama Life'!E29+'American Chambers'!E29+'American Educators'!E29+'American Integrity'!E29+'Amer Life Asr'!E29+'American Medical'!E29+'Amer Std Life Acc'!E29+AmerWstrn!E29+'AMS Life'!E29+'Andrew Jackson'!E29+'Bankers Commercial'!E29+Benicorp!E29+Centennial!E29+'Coastal States'!E29+'Confed Life (CLIC)'!E29+'Consolidated National'!E29+'Consumers Mutual'!E29+'Consumers United'!E29+'Corporate Life'!E29+'Diamond Benefits'!E29+'EBL Life'!E29+'Family Guaranty'!E29+'Farmers &amp; Ranchers'!E29+'Fidelity Bankers'!E29+'First Natl'!E29+'Franklin American'!E29+'Franklin Protective'!E29+'George Washington'!E29+'Golden State'!E29+'Guarantee Security'!E29+Imerica!E29+'Inter-American'!E29+'International Fin'!E29+'Investment Life of America'!E29+'Investors Equity'!E29+'Kentucky Central'!E29+Legion!E29+'London Pac'!E29+'Medical Savings'!E29+'Midwest Life'!E29+'Mutual Benefit'!E29+'Mutual Security'!E29+'National Affiliated'!E29+'Natl American'!E29+'National Heritage'!E29+'New Jersey Life'!E29+'Old Colony Life'!E29+'Old Faithful'!E29+'Pacific Standard'!E29+SeeChange!E29+'States General'!E29+Statesman!E29+'Summit National'!E29+Supreme!E29+Underwriters!E29+Unison!E29+'United Republic'!E29+Universe!E29+Villanova!E29</f>
        <v>2396400.2635905049</v>
      </c>
      <c r="F29" s="1">
        <f>+'Alabama Life'!F29+'American Chambers'!F29+'American Educators'!F29+'American Integrity'!F29+'Amer Life Asr'!F29+'American Medical'!F29+'Amer Std Life Acc'!F29+AmerWstrn!F29+'AMS Life'!F29+'Andrew Jackson'!F29+'Bankers Commercial'!F29+Benicorp!F29+Centennial!F29+'Coastal States'!F29+'Confed Life (CLIC)'!F29+'Consolidated National'!F29+'Consumers Mutual'!F29+'Consumers United'!F29+'Corporate Life'!F29+'Diamond Benefits'!F29+'EBL Life'!F29+'Family Guaranty'!F29+'Farmers &amp; Ranchers'!F29+'Fidelity Bankers'!F29+'First Natl'!F29+'Franklin American'!F29+'Franklin Protective'!F29+'George Washington'!F29+'Golden State'!F29+'Guarantee Security'!F29+Imerica!F29+'Inter-American'!F29+'International Fin'!F29+'Investment Life of America'!F29+'Investors Equity'!F29+'Kentucky Central'!F29+Legion!F29+'London Pac'!F29+'Medical Savings'!F29+'Midwest Life'!F29+'Mutual Benefit'!F29+'Mutual Security'!F29+'National Affiliated'!F29+'Natl American'!F29+'National Heritage'!F29+'New Jersey Life'!F29+'Old Colony Life'!F29+'Old Faithful'!F29+'Pacific Standard'!F29+SeeChange!F29+'States General'!F29+Statesman!F29+'Summit National'!F29+Supreme!F29+Underwriters!F29+Unison!F29+'United Republic'!F29+Universe!F29+Villanova!F29</f>
        <v>0</v>
      </c>
      <c r="G29" s="1">
        <f t="shared" si="0"/>
        <v>28736280.064773712</v>
      </c>
      <c r="H29" s="1">
        <f>+'Alabama Life'!G29+'American Chambers'!G29+'American Educators'!G29+'American Integrity'!G29+'Amer Life Asr'!G29+'American Medical'!G29+'Amer Std Life Acc'!G29+AmerWstrn!G29+'AMS Life'!G29+'Andrew Jackson'!G29+'Bankers Commercial'!G29+Benicorp!G29+Centennial!G29+'Coastal States'!G29+'Confed Life (CLIC)'!G29+'Consolidated National'!G29+'Consumers Mutual'!G29+'Consumers United'!G29+'Corporate Life'!G29+'Diamond Benefits'!G29+'EBL Life'!G29+'Family Guaranty'!G29+'Farmers &amp; Ranchers'!G29+'Fidelity Bankers'!G29+'First Natl'!G29+'Franklin American'!G29+'Franklin Protective'!G29+'George Washington'!G29+'Golden State'!G29+'Guarantee Security'!G29+Imerica!G29+'Inter-American'!G29+'International Fin'!G29+'Investment Life of America'!G29+'Investors Equity'!G29+'Kentucky Central'!G29+Legion!G29+'London Pac'!G29+'Medical Savings'!G29+'Midwest Life'!G29+'Mutual Benefit'!G29+'Mutual Security'!G29+'National Affiliated'!G29+'Natl American'!G29+'National Heritage'!G29+'New Jersey Life'!G29+'Old Colony Life'!G29+'Old Faithful'!G29+'Pacific Standard'!G29+SeeChange!G29+'States General'!G29+Statesman!G29+'Summit National'!G29+Supreme!G29+Underwriters!G29+Unison!G29+'United Republic'!G29+Universe!G29+Villanova!G29</f>
        <v>28736280.064773709</v>
      </c>
      <c r="I29" s="1">
        <f t="shared" si="1"/>
        <v>0</v>
      </c>
      <c r="K29" s="1" t="s">
        <v>468</v>
      </c>
      <c r="L29" s="1">
        <f>Summary!TOTAL_63266</f>
        <v>14440461.450000001</v>
      </c>
    </row>
    <row r="30" spans="1:12">
      <c r="A30" s="1" t="s">
        <v>51</v>
      </c>
      <c r="B30" s="1">
        <f>+'Alabama Life'!B30+'American Chambers'!B30+'American Educators'!B30+'American Integrity'!B30+'Amer Life Asr'!B30+'American Medical'!B30+'Amer Std Life Acc'!B30+AmerWstrn!B30+'AMS Life'!B30+'Andrew Jackson'!B30+'Bankers Commercial'!B30+Benicorp!B30+Centennial!B30+'Coastal States'!B30+'Confed Life (CLIC)'!B30+'Consolidated National'!B30+'Consumers Mutual'!B30+'Consumers United'!B30+'Corporate Life'!B30+'Diamond Benefits'!B30+'EBL Life'!B30+'Family Guaranty'!B30+'Farmers &amp; Ranchers'!B30+'Fidelity Bankers'!B30+'First Natl'!B30+'Franklin American'!B30+'Franklin Protective'!B30+'George Washington'!B30+'Golden State'!B30+'Guarantee Security'!B30+Imerica!B30+'Inter-American'!B30+'International Fin'!B30+'Investment Life of America'!B30+'Investors Equity'!B30+'Kentucky Central'!B30+Legion!B30+'London Pac'!B30+'Medical Savings'!B30+'Midwest Life'!B30+'Mutual Benefit'!B30+'Mutual Security'!B30+'National Affiliated'!B30+'Natl American'!B30+'National Heritage'!B30+'New Jersey Life'!B30+'Old Colony Life'!B30+'Old Faithful'!B30+'Pacific Standard'!B30+SeeChange!B30+'States General'!B30+Statesman!B30+'Summit National'!B30+Supreme!B30+Underwriters!B30+Unison!B30+'United Republic'!B30+Universe!B30+Villanova!B30</f>
        <v>38893097.104922272</v>
      </c>
      <c r="C30" s="1">
        <f>+'Alabama Life'!C30+'American Chambers'!C30+'American Educators'!C30+'American Integrity'!C30+'Amer Life Asr'!C30+'American Medical'!C30+'Amer Std Life Acc'!C30+AmerWstrn!C30+'AMS Life'!C30+'Andrew Jackson'!C30+'Bankers Commercial'!C30+Benicorp!C30+Centennial!C30+'Coastal States'!C30+'Confed Life (CLIC)'!C30+'Consolidated National'!C30+'Consumers Mutual'!C30+'Consumers United'!C30+'Corporate Life'!C30+'Diamond Benefits'!C30+'EBL Life'!C30+'Family Guaranty'!C30+'Farmers &amp; Ranchers'!C30+'Fidelity Bankers'!C30+'First Natl'!C30+'Franklin American'!C30+'Franklin Protective'!C30+'George Washington'!C30+'Golden State'!C30+'Guarantee Security'!C30+Imerica!C30+'Inter-American'!C30+'International Fin'!C30+'Investment Life of America'!C30+'Investors Equity'!C30+'Kentucky Central'!C30+Legion!C30+'London Pac'!C30+'Medical Savings'!C30+'Midwest Life'!C30+'Mutual Benefit'!C30+'Mutual Security'!C30+'National Affiliated'!C30+'Natl American'!C30+'National Heritage'!C30+'New Jersey Life'!C30+'Old Colony Life'!C30+'Old Faithful'!C30+'Pacific Standard'!C30+SeeChange!C30+'States General'!C30+Statesman!C30+'Summit National'!C30+Supreme!C30+Underwriters!C30+Unison!C30+'United Republic'!C30+Universe!C30+Villanova!C30</f>
        <v>9998280.9112156834</v>
      </c>
      <c r="D30" s="1">
        <f>+'Alabama Life'!D30+'American Chambers'!D30+'American Educators'!D30+'American Integrity'!D30+'Amer Life Asr'!D30+'American Medical'!D30+'Amer Std Life Acc'!D30+AmerWstrn!D30+'AMS Life'!D30+'Andrew Jackson'!D30+'Bankers Commercial'!D30+Benicorp!D30+Centennial!D30+'Coastal States'!D30+'Confed Life (CLIC)'!D30+'Consolidated National'!D30+'Consumers Mutual'!D30+'Consumers United'!D30+'Corporate Life'!D30+'Diamond Benefits'!D30+'EBL Life'!D30+'Family Guaranty'!D30+'Farmers &amp; Ranchers'!D30+'Fidelity Bankers'!D30+'First Natl'!D30+'Franklin American'!D30+'Franklin Protective'!D30+'George Washington'!D30+'Golden State'!D30+'Guarantee Security'!D30+Imerica!D30+'Inter-American'!D30+'International Fin'!D30+'Investment Life of America'!D30+'Investors Equity'!D30+'Kentucky Central'!D30+Legion!D30+'London Pac'!D30+'Medical Savings'!D30+'Midwest Life'!D30+'Mutual Benefit'!D30+'Mutual Security'!D30+'National Affiliated'!D30+'Natl American'!D30+'National Heritage'!D30+'New Jersey Life'!D30+'Old Colony Life'!D30+'Old Faithful'!D30+'Pacific Standard'!D30+SeeChange!D30+'States General'!D30+Statesman!D30+'Summit National'!D30+Supreme!D30+Underwriters!D30+Unison!D30+'United Republic'!D30+Universe!D30+Villanova!D30</f>
        <v>5784082.6540268641</v>
      </c>
      <c r="E30" s="1">
        <f>+'Alabama Life'!E30+'American Chambers'!E30+'American Educators'!E30+'American Integrity'!E30+'Amer Life Asr'!E30+'American Medical'!E30+'Amer Std Life Acc'!E30+AmerWstrn!E30+'AMS Life'!E30+'Andrew Jackson'!E30+'Bankers Commercial'!E30+Benicorp!E30+Centennial!E30+'Coastal States'!E30+'Confed Life (CLIC)'!E30+'Consolidated National'!E30+'Consumers Mutual'!E30+'Consumers United'!E30+'Corporate Life'!E30+'Diamond Benefits'!E30+'EBL Life'!E30+'Family Guaranty'!E30+'Farmers &amp; Ranchers'!E30+'Fidelity Bankers'!E30+'First Natl'!E30+'Franklin American'!E30+'Franklin Protective'!E30+'George Washington'!E30+'Golden State'!E30+'Guarantee Security'!E30+Imerica!E30+'Inter-American'!E30+'International Fin'!E30+'Investment Life of America'!E30+'Investors Equity'!E30+'Kentucky Central'!E30+Legion!E30+'London Pac'!E30+'Medical Savings'!E30+'Midwest Life'!E30+'Mutual Benefit'!E30+'Mutual Security'!E30+'National Affiliated'!E30+'Natl American'!E30+'National Heritage'!E30+'New Jersey Life'!E30+'Old Colony Life'!E30+'Old Faithful'!E30+'Pacific Standard'!E30+SeeChange!E30+'States General'!E30+Statesman!E30+'Summit National'!E30+Supreme!E30+Underwriters!E30+Unison!E30+'United Republic'!E30+Universe!E30+Villanova!E30</f>
        <v>-97.333197792177089</v>
      </c>
      <c r="F30" s="1">
        <f>+'Alabama Life'!F30+'American Chambers'!F30+'American Educators'!F30+'American Integrity'!F30+'Amer Life Asr'!F30+'American Medical'!F30+'Amer Std Life Acc'!F30+AmerWstrn!F30+'AMS Life'!F30+'Andrew Jackson'!F30+'Bankers Commercial'!F30+Benicorp!F30+Centennial!F30+'Coastal States'!F30+'Confed Life (CLIC)'!F30+'Consolidated National'!F30+'Consumers Mutual'!F30+'Consumers United'!F30+'Corporate Life'!F30+'Diamond Benefits'!F30+'EBL Life'!F30+'Family Guaranty'!F30+'Farmers &amp; Ranchers'!F30+'Fidelity Bankers'!F30+'First Natl'!F30+'Franklin American'!F30+'Franklin Protective'!F30+'George Washington'!F30+'Golden State'!F30+'Guarantee Security'!F30+Imerica!F30+'Inter-American'!F30+'International Fin'!F30+'Investment Life of America'!F30+'Investors Equity'!F30+'Kentucky Central'!F30+Legion!F30+'London Pac'!F30+'Medical Savings'!F30+'Midwest Life'!F30+'Mutual Benefit'!F30+'Mutual Security'!F30+'National Affiliated'!F30+'Natl American'!F30+'National Heritage'!F30+'New Jersey Life'!F30+'Old Colony Life'!F30+'Old Faithful'!F30+'Pacific Standard'!F30+SeeChange!F30+'States General'!F30+Statesman!F30+'Summit National'!F30+Supreme!F30+Underwriters!F30+Unison!F30+'United Republic'!F30+Universe!F30+Villanova!F30</f>
        <v>0</v>
      </c>
      <c r="G30" s="1">
        <f t="shared" si="0"/>
        <v>54675363.336967029</v>
      </c>
      <c r="H30" s="1">
        <f>+'Alabama Life'!G30+'American Chambers'!G30+'American Educators'!G30+'American Integrity'!G30+'Amer Life Asr'!G30+'American Medical'!G30+'Amer Std Life Acc'!G30+AmerWstrn!G30+'AMS Life'!G30+'Andrew Jackson'!G30+'Bankers Commercial'!G30+Benicorp!G30+Centennial!G30+'Coastal States'!G30+'Confed Life (CLIC)'!G30+'Consolidated National'!G30+'Consumers Mutual'!G30+'Consumers United'!G30+'Corporate Life'!G30+'Diamond Benefits'!G30+'EBL Life'!G30+'Family Guaranty'!G30+'Farmers &amp; Ranchers'!G30+'Fidelity Bankers'!G30+'First Natl'!G30+'Franklin American'!G30+'Franklin Protective'!G30+'George Washington'!G30+'Golden State'!G30+'Guarantee Security'!G30+Imerica!G30+'Inter-American'!G30+'International Fin'!G30+'Investment Life of America'!G30+'Investors Equity'!G30+'Kentucky Central'!G30+Legion!G30+'London Pac'!G30+'Medical Savings'!G30+'Midwest Life'!G30+'Mutual Benefit'!G30+'Mutual Security'!G30+'National Affiliated'!G30+'Natl American'!G30+'National Heritage'!G30+'New Jersey Life'!G30+'Old Colony Life'!G30+'Old Faithful'!G30+'Pacific Standard'!G30+SeeChange!G30+'States General'!G30+Statesman!G30+'Summit National'!G30+Supreme!G30+Underwriters!G30+Unison!G30+'United Republic'!G30+Universe!G30+Villanova!G30</f>
        <v>54675363.336967044</v>
      </c>
      <c r="I30" s="1">
        <f t="shared" si="1"/>
        <v>0</v>
      </c>
      <c r="K30" s="1" t="s">
        <v>475</v>
      </c>
      <c r="L30" s="1">
        <f>Summary!TOTAL_63517</f>
        <v>226006.55000000005</v>
      </c>
    </row>
    <row r="31" spans="1:12">
      <c r="A31" s="1" t="s">
        <v>52</v>
      </c>
      <c r="B31" s="1">
        <f>+'Alabama Life'!B31+'American Chambers'!B31+'American Educators'!B31+'American Integrity'!B31+'Amer Life Asr'!B31+'American Medical'!B31+'Amer Std Life Acc'!B31+AmerWstrn!B31+'AMS Life'!B31+'Andrew Jackson'!B31+'Bankers Commercial'!B31+Benicorp!B31+Centennial!B31+'Coastal States'!B31+'Confed Life (CLIC)'!B31+'Consolidated National'!B31+'Consumers Mutual'!B31+'Consumers United'!B31+'Corporate Life'!B31+'Diamond Benefits'!B31+'EBL Life'!B31+'Family Guaranty'!B31+'Farmers &amp; Ranchers'!B31+'Fidelity Bankers'!B31+'First Natl'!B31+'Franklin American'!B31+'Franklin Protective'!B31+'George Washington'!B31+'Golden State'!B31+'Guarantee Security'!B31+Imerica!B31+'Inter-American'!B31+'International Fin'!B31+'Investment Life of America'!B31+'Investors Equity'!B31+'Kentucky Central'!B31+Legion!B31+'London Pac'!B31+'Medical Savings'!B31+'Midwest Life'!B31+'Mutual Benefit'!B31+'Mutual Security'!B31+'National Affiliated'!B31+'Natl American'!B31+'National Heritage'!B31+'New Jersey Life'!B31+'Old Colony Life'!B31+'Old Faithful'!B31+'Pacific Standard'!B31+SeeChange!B31+'States General'!B31+Statesman!B31+'Summit National'!B31+Supreme!B31+Underwriters!B31+Unison!B31+'United Republic'!B31+Universe!B31+Villanova!B31</f>
        <v>2691488.327878071</v>
      </c>
      <c r="C31" s="1">
        <f>+'Alabama Life'!C31+'American Chambers'!C31+'American Educators'!C31+'American Integrity'!C31+'Amer Life Asr'!C31+'American Medical'!C31+'Amer Std Life Acc'!C31+AmerWstrn!C31+'AMS Life'!C31+'Andrew Jackson'!C31+'Bankers Commercial'!C31+Benicorp!C31+Centennial!C31+'Coastal States'!C31+'Confed Life (CLIC)'!C31+'Consolidated National'!C31+'Consumers Mutual'!C31+'Consumers United'!C31+'Corporate Life'!C31+'Diamond Benefits'!C31+'EBL Life'!C31+'Family Guaranty'!C31+'Farmers &amp; Ranchers'!C31+'Fidelity Bankers'!C31+'First Natl'!C31+'Franklin American'!C31+'Franklin Protective'!C31+'George Washington'!C31+'Golden State'!C31+'Guarantee Security'!C31+Imerica!C31+'Inter-American'!C31+'International Fin'!C31+'Investment Life of America'!C31+'Investors Equity'!C31+'Kentucky Central'!C31+Legion!C31+'London Pac'!C31+'Medical Savings'!C31+'Midwest Life'!C31+'Mutual Benefit'!C31+'Mutual Security'!C31+'National Affiliated'!C31+'Natl American'!C31+'National Heritage'!C31+'New Jersey Life'!C31+'Old Colony Life'!C31+'Old Faithful'!C31+'Pacific Standard'!C31+SeeChange!C31+'States General'!C31+Statesman!C31+'Summit National'!C31+Supreme!C31+Underwriters!C31+Unison!C31+'United Republic'!C31+Universe!C31+Villanova!C31</f>
        <v>8963840.725294264</v>
      </c>
      <c r="D31" s="1">
        <f>+'Alabama Life'!D31+'American Chambers'!D31+'American Educators'!D31+'American Integrity'!D31+'Amer Life Asr'!D31+'American Medical'!D31+'Amer Std Life Acc'!D31+AmerWstrn!D31+'AMS Life'!D31+'Andrew Jackson'!D31+'Bankers Commercial'!D31+Benicorp!D31+Centennial!D31+'Coastal States'!D31+'Confed Life (CLIC)'!D31+'Consolidated National'!D31+'Consumers Mutual'!D31+'Consumers United'!D31+'Corporate Life'!D31+'Diamond Benefits'!D31+'EBL Life'!D31+'Family Guaranty'!D31+'Farmers &amp; Ranchers'!D31+'Fidelity Bankers'!D31+'First Natl'!D31+'Franklin American'!D31+'Franklin Protective'!D31+'George Washington'!D31+'Golden State'!D31+'Guarantee Security'!D31+Imerica!D31+'Inter-American'!D31+'International Fin'!D31+'Investment Life of America'!D31+'Investors Equity'!D31+'Kentucky Central'!D31+Legion!D31+'London Pac'!D31+'Medical Savings'!D31+'Midwest Life'!D31+'Mutual Benefit'!D31+'Mutual Security'!D31+'National Affiliated'!D31+'Natl American'!D31+'National Heritage'!D31+'New Jersey Life'!D31+'Old Colony Life'!D31+'Old Faithful'!D31+'Pacific Standard'!D31+SeeChange!D31+'States General'!D31+Statesman!D31+'Summit National'!D31+Supreme!D31+Underwriters!D31+Unison!D31+'United Republic'!D31+Universe!D31+Villanova!D31</f>
        <v>6021064.9653962422</v>
      </c>
      <c r="E31" s="1">
        <f>+'Alabama Life'!E31+'American Chambers'!E31+'American Educators'!E31+'American Integrity'!E31+'Amer Life Asr'!E31+'American Medical'!E31+'Amer Std Life Acc'!E31+AmerWstrn!E31+'AMS Life'!E31+'Andrew Jackson'!E31+'Bankers Commercial'!E31+Benicorp!E31+Centennial!E31+'Coastal States'!E31+'Confed Life (CLIC)'!E31+'Consolidated National'!E31+'Consumers Mutual'!E31+'Consumers United'!E31+'Corporate Life'!E31+'Diamond Benefits'!E31+'EBL Life'!E31+'Family Guaranty'!E31+'Farmers &amp; Ranchers'!E31+'Fidelity Bankers'!E31+'First Natl'!E31+'Franklin American'!E31+'Franklin Protective'!E31+'George Washington'!E31+'Golden State'!E31+'Guarantee Security'!E31+Imerica!E31+'Inter-American'!E31+'International Fin'!E31+'Investment Life of America'!E31+'Investors Equity'!E31+'Kentucky Central'!E31+Legion!E31+'London Pac'!E31+'Medical Savings'!E31+'Midwest Life'!E31+'Mutual Benefit'!E31+'Mutual Security'!E31+'National Affiliated'!E31+'Natl American'!E31+'National Heritage'!E31+'New Jersey Life'!E31+'Old Colony Life'!E31+'Old Faithful'!E31+'Pacific Standard'!E31+SeeChange!E31+'States General'!E31+Statesman!E31+'Summit National'!E31+Supreme!E31+Underwriters!E31+Unison!E31+'United Republic'!E31+Universe!E31+Villanova!E31</f>
        <v>27443.965790575112</v>
      </c>
      <c r="F31" s="1">
        <f>+'Alabama Life'!F31+'American Chambers'!F31+'American Educators'!F31+'American Integrity'!F31+'Amer Life Asr'!F31+'American Medical'!F31+'Amer Std Life Acc'!F31+AmerWstrn!F31+'AMS Life'!F31+'Andrew Jackson'!F31+'Bankers Commercial'!F31+Benicorp!F31+Centennial!F31+'Coastal States'!F31+'Confed Life (CLIC)'!F31+'Consolidated National'!F31+'Consumers Mutual'!F31+'Consumers United'!F31+'Corporate Life'!F31+'Diamond Benefits'!F31+'EBL Life'!F31+'Family Guaranty'!F31+'Farmers &amp; Ranchers'!F31+'Fidelity Bankers'!F31+'First Natl'!F31+'Franklin American'!F31+'Franklin Protective'!F31+'George Washington'!F31+'Golden State'!F31+'Guarantee Security'!F31+Imerica!F31+'Inter-American'!F31+'International Fin'!F31+'Investment Life of America'!F31+'Investors Equity'!F31+'Kentucky Central'!F31+Legion!F31+'London Pac'!F31+'Medical Savings'!F31+'Midwest Life'!F31+'Mutual Benefit'!F31+'Mutual Security'!F31+'National Affiliated'!F31+'Natl American'!F31+'National Heritage'!F31+'New Jersey Life'!F31+'Old Colony Life'!F31+'Old Faithful'!F31+'Pacific Standard'!F31+SeeChange!F31+'States General'!F31+Statesman!F31+'Summit National'!F31+Supreme!F31+Underwriters!F31+Unison!F31+'United Republic'!F31+Universe!F31+Villanova!F31</f>
        <v>0</v>
      </c>
      <c r="G31" s="1">
        <f t="shared" si="0"/>
        <v>17703837.984359149</v>
      </c>
      <c r="H31" s="1">
        <f>+'Alabama Life'!G31+'American Chambers'!G31+'American Educators'!G31+'American Integrity'!G31+'Amer Life Asr'!G31+'American Medical'!G31+'Amer Std Life Acc'!G31+AmerWstrn!G31+'AMS Life'!G31+'Andrew Jackson'!G31+'Bankers Commercial'!G31+Benicorp!G31+Centennial!G31+'Coastal States'!G31+'Confed Life (CLIC)'!G31+'Consolidated National'!G31+'Consumers Mutual'!G31+'Consumers United'!G31+'Corporate Life'!G31+'Diamond Benefits'!G31+'EBL Life'!G31+'Family Guaranty'!G31+'Farmers &amp; Ranchers'!G31+'Fidelity Bankers'!G31+'First Natl'!G31+'Franklin American'!G31+'Franklin Protective'!G31+'George Washington'!G31+'Golden State'!G31+'Guarantee Security'!G31+Imerica!G31+'Inter-American'!G31+'International Fin'!G31+'Investment Life of America'!G31+'Investors Equity'!G31+'Kentucky Central'!G31+Legion!G31+'London Pac'!G31+'Medical Savings'!G31+'Midwest Life'!G31+'Mutual Benefit'!G31+'Mutual Security'!G31+'National Affiliated'!G31+'Natl American'!G31+'National Heritage'!G31+'New Jersey Life'!G31+'Old Colony Life'!G31+'Old Faithful'!G31+'Pacific Standard'!G31+SeeChange!G31+'States General'!G31+Statesman!G31+'Summit National'!G31+Supreme!G31+Underwriters!G31+Unison!G31+'United Republic'!G31+Universe!G31+Villanova!G31</f>
        <v>17703837.98435916</v>
      </c>
      <c r="I31" s="1">
        <f t="shared" si="1"/>
        <v>0</v>
      </c>
      <c r="K31" s="1" t="s">
        <v>480</v>
      </c>
      <c r="L31" s="1">
        <f>Summary!TOTAL_68489</f>
        <v>473627.79736712511</v>
      </c>
    </row>
    <row r="32" spans="1:12">
      <c r="A32" s="1" t="s">
        <v>53</v>
      </c>
      <c r="B32" s="1">
        <f>+'Alabama Life'!B32+'American Chambers'!B32+'American Educators'!B32+'American Integrity'!B32+'Amer Life Asr'!B32+'American Medical'!B32+'Amer Std Life Acc'!B32+AmerWstrn!B32+'AMS Life'!B32+'Andrew Jackson'!B32+'Bankers Commercial'!B32+Benicorp!B32+Centennial!B32+'Coastal States'!B32+'Confed Life (CLIC)'!B32+'Consolidated National'!B32+'Consumers Mutual'!B32+'Consumers United'!B32+'Corporate Life'!B32+'Diamond Benefits'!B32+'EBL Life'!B32+'Family Guaranty'!B32+'Farmers &amp; Ranchers'!B32+'Fidelity Bankers'!B32+'First Natl'!B32+'Franklin American'!B32+'Franklin Protective'!B32+'George Washington'!B32+'Golden State'!B32+'Guarantee Security'!B32+Imerica!B32+'Inter-American'!B32+'International Fin'!B32+'Investment Life of America'!B32+'Investors Equity'!B32+'Kentucky Central'!B32+Legion!B32+'London Pac'!B32+'Medical Savings'!B32+'Midwest Life'!B32+'Mutual Benefit'!B32+'Mutual Security'!B32+'National Affiliated'!B32+'Natl American'!B32+'National Heritage'!B32+'New Jersey Life'!B32+'Old Colony Life'!B32+'Old Faithful'!B32+'Pacific Standard'!B32+SeeChange!B32+'States General'!B32+Statesman!B32+'Summit National'!B32+Supreme!B32+Underwriters!B32+Unison!B32+'United Republic'!B32+Universe!B32+Villanova!B32</f>
        <v>719449.9912715432</v>
      </c>
      <c r="C32" s="1">
        <f>+'Alabama Life'!C32+'American Chambers'!C32+'American Educators'!C32+'American Integrity'!C32+'Amer Life Asr'!C32+'American Medical'!C32+'Amer Std Life Acc'!C32+AmerWstrn!C32+'AMS Life'!C32+'Andrew Jackson'!C32+'Bankers Commercial'!C32+Benicorp!C32+Centennial!C32+'Coastal States'!C32+'Confed Life (CLIC)'!C32+'Consolidated National'!C32+'Consumers Mutual'!C32+'Consumers United'!C32+'Corporate Life'!C32+'Diamond Benefits'!C32+'EBL Life'!C32+'Family Guaranty'!C32+'Farmers &amp; Ranchers'!C32+'Fidelity Bankers'!C32+'First Natl'!C32+'Franklin American'!C32+'Franklin Protective'!C32+'George Washington'!C32+'Golden State'!C32+'Guarantee Security'!C32+Imerica!C32+'Inter-American'!C32+'International Fin'!C32+'Investment Life of America'!C32+'Investors Equity'!C32+'Kentucky Central'!C32+Legion!C32+'London Pac'!C32+'Medical Savings'!C32+'Midwest Life'!C32+'Mutual Benefit'!C32+'Mutual Security'!C32+'National Affiliated'!C32+'Natl American'!C32+'National Heritage'!C32+'New Jersey Life'!C32+'Old Colony Life'!C32+'Old Faithful'!C32+'Pacific Standard'!C32+SeeChange!C32+'States General'!C32+Statesman!C32+'Summit National'!C32+Supreme!C32+Underwriters!C32+Unison!C32+'United Republic'!C32+Universe!C32+Villanova!C32</f>
        <v>2348745.8509851717</v>
      </c>
      <c r="D32" s="1">
        <f>+'Alabama Life'!D32+'American Chambers'!D32+'American Educators'!D32+'American Integrity'!D32+'Amer Life Asr'!D32+'American Medical'!D32+'Amer Std Life Acc'!D32+AmerWstrn!D32+'AMS Life'!D32+'Andrew Jackson'!D32+'Bankers Commercial'!D32+Benicorp!D32+Centennial!D32+'Coastal States'!D32+'Confed Life (CLIC)'!D32+'Consolidated National'!D32+'Consumers Mutual'!D32+'Consumers United'!D32+'Corporate Life'!D32+'Diamond Benefits'!D32+'EBL Life'!D32+'Family Guaranty'!D32+'Farmers &amp; Ranchers'!D32+'Fidelity Bankers'!D32+'First Natl'!D32+'Franklin American'!D32+'Franklin Protective'!D32+'George Washington'!D32+'Golden State'!D32+'Guarantee Security'!D32+Imerica!D32+'Inter-American'!D32+'International Fin'!D32+'Investment Life of America'!D32+'Investors Equity'!D32+'Kentucky Central'!D32+Legion!D32+'London Pac'!D32+'Medical Savings'!D32+'Midwest Life'!D32+'Mutual Benefit'!D32+'Mutual Security'!D32+'National Affiliated'!D32+'Natl American'!D32+'National Heritage'!D32+'New Jersey Life'!D32+'Old Colony Life'!D32+'Old Faithful'!D32+'Pacific Standard'!D32+SeeChange!D32+'States General'!D32+Statesman!D32+'Summit National'!D32+Supreme!D32+Underwriters!D32+Unison!D32+'United Republic'!D32+Universe!D32+Villanova!D32</f>
        <v>1098497.3412528003</v>
      </c>
      <c r="E32" s="1">
        <f>+'Alabama Life'!E32+'American Chambers'!E32+'American Educators'!E32+'American Integrity'!E32+'Amer Life Asr'!E32+'American Medical'!E32+'Amer Std Life Acc'!E32+AmerWstrn!E32+'AMS Life'!E32+'Andrew Jackson'!E32+'Bankers Commercial'!E32+Benicorp!E32+Centennial!E32+'Coastal States'!E32+'Confed Life (CLIC)'!E32+'Consolidated National'!E32+'Consumers Mutual'!E32+'Consumers United'!E32+'Corporate Life'!E32+'Diamond Benefits'!E32+'EBL Life'!E32+'Family Guaranty'!E32+'Farmers &amp; Ranchers'!E32+'Fidelity Bankers'!E32+'First Natl'!E32+'Franklin American'!E32+'Franklin Protective'!E32+'George Washington'!E32+'Golden State'!E32+'Guarantee Security'!E32+Imerica!E32+'Inter-American'!E32+'International Fin'!E32+'Investment Life of America'!E32+'Investors Equity'!E32+'Kentucky Central'!E32+Legion!E32+'London Pac'!E32+'Medical Savings'!E32+'Midwest Life'!E32+'Mutual Benefit'!E32+'Mutual Security'!E32+'National Affiliated'!E32+'Natl American'!E32+'National Heritage'!E32+'New Jersey Life'!E32+'Old Colony Life'!E32+'Old Faithful'!E32+'Pacific Standard'!E32+SeeChange!E32+'States General'!E32+Statesman!E32+'Summit National'!E32+Supreme!E32+Underwriters!E32+Unison!E32+'United Republic'!E32+Universe!E32+Villanova!E32</f>
        <v>0</v>
      </c>
      <c r="F32" s="1">
        <f>+'Alabama Life'!F32+'American Chambers'!F32+'American Educators'!F32+'American Integrity'!F32+'Amer Life Asr'!F32+'American Medical'!F32+'Amer Std Life Acc'!F32+AmerWstrn!F32+'AMS Life'!F32+'Andrew Jackson'!F32+'Bankers Commercial'!F32+Benicorp!F32+Centennial!F32+'Coastal States'!F32+'Confed Life (CLIC)'!F32+'Consolidated National'!F32+'Consumers Mutual'!F32+'Consumers United'!F32+'Corporate Life'!F32+'Diamond Benefits'!F32+'EBL Life'!F32+'Family Guaranty'!F32+'Farmers &amp; Ranchers'!F32+'Fidelity Bankers'!F32+'First Natl'!F32+'Franklin American'!F32+'Franklin Protective'!F32+'George Washington'!F32+'Golden State'!F32+'Guarantee Security'!F32+Imerica!F32+'Inter-American'!F32+'International Fin'!F32+'Investment Life of America'!F32+'Investors Equity'!F32+'Kentucky Central'!F32+Legion!F32+'London Pac'!F32+'Medical Savings'!F32+'Midwest Life'!F32+'Mutual Benefit'!F32+'Mutual Security'!F32+'National Affiliated'!F32+'Natl American'!F32+'National Heritage'!F32+'New Jersey Life'!F32+'Old Colony Life'!F32+'Old Faithful'!F32+'Pacific Standard'!F32+SeeChange!F32+'States General'!F32+Statesman!F32+'Summit National'!F32+Supreme!F32+Underwriters!F32+Unison!F32+'United Republic'!F32+Universe!F32+Villanova!F32</f>
        <v>0</v>
      </c>
      <c r="G32" s="1">
        <f t="shared" si="0"/>
        <v>4166693.1835095156</v>
      </c>
      <c r="H32" s="1">
        <f>+'Alabama Life'!G32+'American Chambers'!G32+'American Educators'!G32+'American Integrity'!G32+'Amer Life Asr'!G32+'American Medical'!G32+'Amer Std Life Acc'!G32+AmerWstrn!G32+'AMS Life'!G32+'Andrew Jackson'!G32+'Bankers Commercial'!G32+Benicorp!G32+Centennial!G32+'Coastal States'!G32+'Confed Life (CLIC)'!G32+'Consolidated National'!G32+'Consumers Mutual'!G32+'Consumers United'!G32+'Corporate Life'!G32+'Diamond Benefits'!G32+'EBL Life'!G32+'Family Guaranty'!G32+'Farmers &amp; Ranchers'!G32+'Fidelity Bankers'!G32+'First Natl'!G32+'Franklin American'!G32+'Franklin Protective'!G32+'George Washington'!G32+'Golden State'!G32+'Guarantee Security'!G32+Imerica!G32+'Inter-American'!G32+'International Fin'!G32+'Investment Life of America'!G32+'Investors Equity'!G32+'Kentucky Central'!G32+Legion!G32+'London Pac'!G32+'Medical Savings'!G32+'Midwest Life'!G32+'Mutual Benefit'!G32+'Mutual Security'!G32+'National Affiliated'!G32+'Natl American'!G32+'National Heritage'!G32+'New Jersey Life'!G32+'Old Colony Life'!G32+'Old Faithful'!G32+'Pacific Standard'!G32+SeeChange!G32+'States General'!G32+Statesman!G32+'Summit National'!G32+Supreme!G32+Underwriters!G32+Unison!G32+'United Republic'!G32+Universe!G32+Villanova!G32</f>
        <v>4166693.1835095156</v>
      </c>
      <c r="I32" s="1">
        <f t="shared" si="1"/>
        <v>0</v>
      </c>
      <c r="K32" s="1" t="s">
        <v>487</v>
      </c>
      <c r="L32" s="1">
        <f>Summary!TOTAL_98655</f>
        <v>12583422.18711181</v>
      </c>
    </row>
    <row r="33" spans="1:12">
      <c r="A33" s="1" t="s">
        <v>54</v>
      </c>
      <c r="B33" s="1">
        <f>+'Alabama Life'!B33+'American Chambers'!B33+'American Educators'!B33+'American Integrity'!B33+'Amer Life Asr'!B33+'American Medical'!B33+'Amer Std Life Acc'!B33+AmerWstrn!B33+'AMS Life'!B33+'Andrew Jackson'!B33+'Bankers Commercial'!B33+Benicorp!B33+Centennial!B33+'Coastal States'!B33+'Confed Life (CLIC)'!B33+'Consolidated National'!B33+'Consumers Mutual'!B33+'Consumers United'!B33+'Corporate Life'!B33+'Diamond Benefits'!B33+'EBL Life'!B33+'Family Guaranty'!B33+'Farmers &amp; Ranchers'!B33+'Fidelity Bankers'!B33+'First Natl'!B33+'Franklin American'!B33+'Franklin Protective'!B33+'George Washington'!B33+'Golden State'!B33+'Guarantee Security'!B33+Imerica!B33+'Inter-American'!B33+'International Fin'!B33+'Investment Life of America'!B33+'Investors Equity'!B33+'Kentucky Central'!B33+Legion!B33+'London Pac'!B33+'Medical Savings'!B33+'Midwest Life'!B33+'Mutual Benefit'!B33+'Mutual Security'!B33+'National Affiliated'!B33+'Natl American'!B33+'National Heritage'!B33+'New Jersey Life'!B33+'Old Colony Life'!B33+'Old Faithful'!B33+'Pacific Standard'!B33+SeeChange!B33+'States General'!B33+Statesman!B33+'Summit National'!B33+Supreme!B33+Underwriters!B33+Unison!B33+'United Republic'!B33+Universe!B33+Villanova!B33</f>
        <v>2311394.7671833271</v>
      </c>
      <c r="C33" s="1">
        <f>+'Alabama Life'!C33+'American Chambers'!C33+'American Educators'!C33+'American Integrity'!C33+'Amer Life Asr'!C33+'American Medical'!C33+'Amer Std Life Acc'!C33+AmerWstrn!C33+'AMS Life'!C33+'Andrew Jackson'!C33+'Bankers Commercial'!C33+Benicorp!C33+Centennial!C33+'Coastal States'!C33+'Confed Life (CLIC)'!C33+'Consolidated National'!C33+'Consumers Mutual'!C33+'Consumers United'!C33+'Corporate Life'!C33+'Diamond Benefits'!C33+'EBL Life'!C33+'Family Guaranty'!C33+'Farmers &amp; Ranchers'!C33+'Fidelity Bankers'!C33+'First Natl'!C33+'Franklin American'!C33+'Franklin Protective'!C33+'George Washington'!C33+'Golden State'!C33+'Guarantee Security'!C33+Imerica!C33+'Inter-American'!C33+'International Fin'!C33+'Investment Life of America'!C33+'Investors Equity'!C33+'Kentucky Central'!C33+Legion!C33+'London Pac'!C33+'Medical Savings'!C33+'Midwest Life'!C33+'Mutual Benefit'!C33+'Mutual Security'!C33+'National Affiliated'!C33+'Natl American'!C33+'National Heritage'!C33+'New Jersey Life'!C33+'Old Colony Life'!C33+'Old Faithful'!C33+'Pacific Standard'!C33+SeeChange!C33+'States General'!C33+Statesman!C33+'Summit National'!C33+Supreme!C33+Underwriters!C33+Unison!C33+'United Republic'!C33+Universe!C33+Villanova!C33</f>
        <v>8341005.0555779496</v>
      </c>
      <c r="D33" s="1">
        <f>+'Alabama Life'!D33+'American Chambers'!D33+'American Educators'!D33+'American Integrity'!D33+'Amer Life Asr'!D33+'American Medical'!D33+'Amer Std Life Acc'!D33+AmerWstrn!D33+'AMS Life'!D33+'Andrew Jackson'!D33+'Bankers Commercial'!D33+Benicorp!D33+Centennial!D33+'Coastal States'!D33+'Confed Life (CLIC)'!D33+'Consolidated National'!D33+'Consumers Mutual'!D33+'Consumers United'!D33+'Corporate Life'!D33+'Diamond Benefits'!D33+'EBL Life'!D33+'Family Guaranty'!D33+'Farmers &amp; Ranchers'!D33+'Fidelity Bankers'!D33+'First Natl'!D33+'Franklin American'!D33+'Franklin Protective'!D33+'George Washington'!D33+'Golden State'!D33+'Guarantee Security'!D33+Imerica!D33+'Inter-American'!D33+'International Fin'!D33+'Investment Life of America'!D33+'Investors Equity'!D33+'Kentucky Central'!D33+Legion!D33+'London Pac'!D33+'Medical Savings'!D33+'Midwest Life'!D33+'Mutual Benefit'!D33+'Mutual Security'!D33+'National Affiliated'!D33+'Natl American'!D33+'National Heritage'!D33+'New Jersey Life'!D33+'Old Colony Life'!D33+'Old Faithful'!D33+'Pacific Standard'!D33+SeeChange!D33+'States General'!D33+Statesman!D33+'Summit National'!D33+Supreme!D33+Underwriters!D33+Unison!D33+'United Republic'!D33+Universe!D33+Villanova!D33</f>
        <v>2477538.0066621508</v>
      </c>
      <c r="E33" s="1">
        <f>+'Alabama Life'!E33+'American Chambers'!E33+'American Educators'!E33+'American Integrity'!E33+'Amer Life Asr'!E33+'American Medical'!E33+'Amer Std Life Acc'!E33+AmerWstrn!E33+'AMS Life'!E33+'Andrew Jackson'!E33+'Bankers Commercial'!E33+Benicorp!E33+Centennial!E33+'Coastal States'!E33+'Confed Life (CLIC)'!E33+'Consolidated National'!E33+'Consumers Mutual'!E33+'Consumers United'!E33+'Corporate Life'!E33+'Diamond Benefits'!E33+'EBL Life'!E33+'Family Guaranty'!E33+'Farmers &amp; Ranchers'!E33+'Fidelity Bankers'!E33+'First Natl'!E33+'Franklin American'!E33+'Franklin Protective'!E33+'George Washington'!E33+'Golden State'!E33+'Guarantee Security'!E33+Imerica!E33+'Inter-American'!E33+'International Fin'!E33+'Investment Life of America'!E33+'Investors Equity'!E33+'Kentucky Central'!E33+Legion!E33+'London Pac'!E33+'Medical Savings'!E33+'Midwest Life'!E33+'Mutual Benefit'!E33+'Mutual Security'!E33+'National Affiliated'!E33+'Natl American'!E33+'National Heritage'!E33+'New Jersey Life'!E33+'Old Colony Life'!E33+'Old Faithful'!E33+'Pacific Standard'!E33+SeeChange!E33+'States General'!E33+Statesman!E33+'Summit National'!E33+Supreme!E33+Underwriters!E33+Unison!E33+'United Republic'!E33+Universe!E33+Villanova!E33</f>
        <v>0</v>
      </c>
      <c r="F33" s="1">
        <f>+'Alabama Life'!F33+'American Chambers'!F33+'American Educators'!F33+'American Integrity'!F33+'Amer Life Asr'!F33+'American Medical'!F33+'Amer Std Life Acc'!F33+AmerWstrn!F33+'AMS Life'!F33+'Andrew Jackson'!F33+'Bankers Commercial'!F33+Benicorp!F33+Centennial!F33+'Coastal States'!F33+'Confed Life (CLIC)'!F33+'Consolidated National'!F33+'Consumers Mutual'!F33+'Consumers United'!F33+'Corporate Life'!F33+'Diamond Benefits'!F33+'EBL Life'!F33+'Family Guaranty'!F33+'Farmers &amp; Ranchers'!F33+'Fidelity Bankers'!F33+'First Natl'!F33+'Franklin American'!F33+'Franklin Protective'!F33+'George Washington'!F33+'Golden State'!F33+'Guarantee Security'!F33+Imerica!F33+'Inter-American'!F33+'International Fin'!F33+'Investment Life of America'!F33+'Investors Equity'!F33+'Kentucky Central'!F33+Legion!F33+'London Pac'!F33+'Medical Savings'!F33+'Midwest Life'!F33+'Mutual Benefit'!F33+'Mutual Security'!F33+'National Affiliated'!F33+'Natl American'!F33+'National Heritage'!F33+'New Jersey Life'!F33+'Old Colony Life'!F33+'Old Faithful'!F33+'Pacific Standard'!F33+SeeChange!F33+'States General'!F33+Statesman!F33+'Summit National'!F33+Supreme!F33+Underwriters!F33+Unison!F33+'United Republic'!F33+Universe!F33+Villanova!F33</f>
        <v>0</v>
      </c>
      <c r="G33" s="1">
        <f t="shared" si="0"/>
        <v>13129937.829423428</v>
      </c>
      <c r="H33" s="1">
        <f>+'Alabama Life'!G33+'American Chambers'!G33+'American Educators'!G33+'American Integrity'!G33+'Amer Life Asr'!G33+'American Medical'!G33+'Amer Std Life Acc'!G33+AmerWstrn!G33+'AMS Life'!G33+'Andrew Jackson'!G33+'Bankers Commercial'!G33+Benicorp!G33+Centennial!G33+'Coastal States'!G33+'Confed Life (CLIC)'!G33+'Consolidated National'!G33+'Consumers Mutual'!G33+'Consumers United'!G33+'Corporate Life'!G33+'Diamond Benefits'!G33+'EBL Life'!G33+'Family Guaranty'!G33+'Farmers &amp; Ranchers'!G33+'Fidelity Bankers'!G33+'First Natl'!G33+'Franklin American'!G33+'Franklin Protective'!G33+'George Washington'!G33+'Golden State'!G33+'Guarantee Security'!G33+Imerica!G33+'Inter-American'!G33+'International Fin'!G33+'Investment Life of America'!G33+'Investors Equity'!G33+'Kentucky Central'!G33+Legion!G33+'London Pac'!G33+'Medical Savings'!G33+'Midwest Life'!G33+'Mutual Benefit'!G33+'Mutual Security'!G33+'National Affiliated'!G33+'Natl American'!G33+'National Heritage'!G33+'New Jersey Life'!G33+'Old Colony Life'!G33+'Old Faithful'!G33+'Pacific Standard'!G33+SeeChange!G33+'States General'!G33+Statesman!G33+'Summit National'!G33+Supreme!G33+Underwriters!G33+Unison!G33+'United Republic'!G33+Universe!G33+Villanova!G33</f>
        <v>13129937.829423429</v>
      </c>
      <c r="I33" s="1">
        <f t="shared" si="1"/>
        <v>0</v>
      </c>
      <c r="K33" s="1" t="s">
        <v>490</v>
      </c>
      <c r="L33" s="1">
        <f>Summary!TOTAL_63770</f>
        <v>1804983.0999999989</v>
      </c>
    </row>
    <row r="34" spans="1:12">
      <c r="A34" s="1" t="s">
        <v>55</v>
      </c>
      <c r="B34" s="1">
        <f>+'Alabama Life'!B34+'American Chambers'!B34+'American Educators'!B34+'American Integrity'!B34+'Amer Life Asr'!B34+'American Medical'!B34+'Amer Std Life Acc'!B34+AmerWstrn!B34+'AMS Life'!B34+'Andrew Jackson'!B34+'Bankers Commercial'!B34+Benicorp!B34+Centennial!B34+'Coastal States'!B34+'Confed Life (CLIC)'!B34+'Consolidated National'!B34+'Consumers Mutual'!B34+'Consumers United'!B34+'Corporate Life'!B34+'Diamond Benefits'!B34+'EBL Life'!B34+'Family Guaranty'!B34+'Farmers &amp; Ranchers'!B34+'Fidelity Bankers'!B34+'First Natl'!B34+'Franklin American'!B34+'Franklin Protective'!B34+'George Washington'!B34+'Golden State'!B34+'Guarantee Security'!B34+Imerica!B34+'Inter-American'!B34+'International Fin'!B34+'Investment Life of America'!B34+'Investors Equity'!B34+'Kentucky Central'!B34+Legion!B34+'London Pac'!B34+'Medical Savings'!B34+'Midwest Life'!B34+'Mutual Benefit'!B34+'Mutual Security'!B34+'National Affiliated'!B34+'Natl American'!B34+'National Heritage'!B34+'New Jersey Life'!B34+'Old Colony Life'!B34+'Old Faithful'!B34+'Pacific Standard'!B34+SeeChange!B34+'States General'!B34+Statesman!B34+'Summit National'!B34+Supreme!B34+Underwriters!B34+Unison!B34+'United Republic'!B34+Universe!B34+Villanova!B34</f>
        <v>450615.88835616707</v>
      </c>
      <c r="C34" s="1">
        <f>+'Alabama Life'!C34+'American Chambers'!C34+'American Educators'!C34+'American Integrity'!C34+'Amer Life Asr'!C34+'American Medical'!C34+'Amer Std Life Acc'!C34+AmerWstrn!C34+'AMS Life'!C34+'Andrew Jackson'!C34+'Bankers Commercial'!C34+Benicorp!C34+Centennial!C34+'Coastal States'!C34+'Confed Life (CLIC)'!C34+'Consolidated National'!C34+'Consumers Mutual'!C34+'Consumers United'!C34+'Corporate Life'!C34+'Diamond Benefits'!C34+'EBL Life'!C34+'Family Guaranty'!C34+'Farmers &amp; Ranchers'!C34+'Fidelity Bankers'!C34+'First Natl'!C34+'Franklin American'!C34+'Franklin Protective'!C34+'George Washington'!C34+'Golden State'!C34+'Guarantee Security'!C34+Imerica!C34+'Inter-American'!C34+'International Fin'!C34+'Investment Life of America'!C34+'Investors Equity'!C34+'Kentucky Central'!C34+Legion!C34+'London Pac'!C34+'Medical Savings'!C34+'Midwest Life'!C34+'Mutual Benefit'!C34+'Mutual Security'!C34+'National Affiliated'!C34+'Natl American'!C34+'National Heritage'!C34+'New Jersey Life'!C34+'Old Colony Life'!C34+'Old Faithful'!C34+'Pacific Standard'!C34+SeeChange!C34+'States General'!C34+Statesman!C34+'Summit National'!C34+Supreme!C34+Underwriters!C34+Unison!C34+'United Republic'!C34+Universe!C34+Villanova!C34</f>
        <v>1700940.48388081</v>
      </c>
      <c r="D34" s="1">
        <f>+'Alabama Life'!D34+'American Chambers'!D34+'American Educators'!D34+'American Integrity'!D34+'Amer Life Asr'!D34+'American Medical'!D34+'Amer Std Life Acc'!D34+AmerWstrn!D34+'AMS Life'!D34+'Andrew Jackson'!D34+'Bankers Commercial'!D34+Benicorp!D34+Centennial!D34+'Coastal States'!D34+'Confed Life (CLIC)'!D34+'Consolidated National'!D34+'Consumers Mutual'!D34+'Consumers United'!D34+'Corporate Life'!D34+'Diamond Benefits'!D34+'EBL Life'!D34+'Family Guaranty'!D34+'Farmers &amp; Ranchers'!D34+'Fidelity Bankers'!D34+'First Natl'!D34+'Franklin American'!D34+'Franklin Protective'!D34+'George Washington'!D34+'Golden State'!D34+'Guarantee Security'!D34+Imerica!D34+'Inter-American'!D34+'International Fin'!D34+'Investment Life of America'!D34+'Investors Equity'!D34+'Kentucky Central'!D34+Legion!D34+'London Pac'!D34+'Medical Savings'!D34+'Midwest Life'!D34+'Mutual Benefit'!D34+'Mutual Security'!D34+'National Affiliated'!D34+'Natl American'!D34+'National Heritage'!D34+'New Jersey Life'!D34+'Old Colony Life'!D34+'Old Faithful'!D34+'Pacific Standard'!D34+SeeChange!D34+'States General'!D34+Statesman!D34+'Summit National'!D34+Supreme!D34+Underwriters!D34+Unison!D34+'United Republic'!D34+Universe!D34+Villanova!D34</f>
        <v>3771687.6209708634</v>
      </c>
      <c r="E34" s="1">
        <f>+'Alabama Life'!E34+'American Chambers'!E34+'American Educators'!E34+'American Integrity'!E34+'Amer Life Asr'!E34+'American Medical'!E34+'Amer Std Life Acc'!E34+AmerWstrn!E34+'AMS Life'!E34+'Andrew Jackson'!E34+'Bankers Commercial'!E34+Benicorp!E34+Centennial!E34+'Coastal States'!E34+'Confed Life (CLIC)'!E34+'Consolidated National'!E34+'Consumers Mutual'!E34+'Consumers United'!E34+'Corporate Life'!E34+'Diamond Benefits'!E34+'EBL Life'!E34+'Family Guaranty'!E34+'Farmers &amp; Ranchers'!E34+'Fidelity Bankers'!E34+'First Natl'!E34+'Franklin American'!E34+'Franklin Protective'!E34+'George Washington'!E34+'Golden State'!E34+'Guarantee Security'!E34+Imerica!E34+'Inter-American'!E34+'International Fin'!E34+'Investment Life of America'!E34+'Investors Equity'!E34+'Kentucky Central'!E34+Legion!E34+'London Pac'!E34+'Medical Savings'!E34+'Midwest Life'!E34+'Mutual Benefit'!E34+'Mutual Security'!E34+'National Affiliated'!E34+'Natl American'!E34+'National Heritage'!E34+'New Jersey Life'!E34+'Old Colony Life'!E34+'Old Faithful'!E34+'Pacific Standard'!E34+SeeChange!E34+'States General'!E34+Statesman!E34+'Summit National'!E34+Supreme!E34+Underwriters!E34+Unison!E34+'United Republic'!E34+Universe!E34+Villanova!E34</f>
        <v>0</v>
      </c>
      <c r="F34" s="1">
        <f>+'Alabama Life'!F34+'American Chambers'!F34+'American Educators'!F34+'American Integrity'!F34+'Amer Life Asr'!F34+'American Medical'!F34+'Amer Std Life Acc'!F34+AmerWstrn!F34+'AMS Life'!F34+'Andrew Jackson'!F34+'Bankers Commercial'!F34+Benicorp!F34+Centennial!F34+'Coastal States'!F34+'Confed Life (CLIC)'!F34+'Consolidated National'!F34+'Consumers Mutual'!F34+'Consumers United'!F34+'Corporate Life'!F34+'Diamond Benefits'!F34+'EBL Life'!F34+'Family Guaranty'!F34+'Farmers &amp; Ranchers'!F34+'Fidelity Bankers'!F34+'First Natl'!F34+'Franklin American'!F34+'Franklin Protective'!F34+'George Washington'!F34+'Golden State'!F34+'Guarantee Security'!F34+Imerica!F34+'Inter-American'!F34+'International Fin'!F34+'Investment Life of America'!F34+'Investors Equity'!F34+'Kentucky Central'!F34+Legion!F34+'London Pac'!F34+'Medical Savings'!F34+'Midwest Life'!F34+'Mutual Benefit'!F34+'Mutual Security'!F34+'National Affiliated'!F34+'Natl American'!F34+'National Heritage'!F34+'New Jersey Life'!F34+'Old Colony Life'!F34+'Old Faithful'!F34+'Pacific Standard'!F34+SeeChange!F34+'States General'!F34+Statesman!F34+'Summit National'!F34+Supreme!F34+Underwriters!F34+Unison!F34+'United Republic'!F34+Universe!F34+Villanova!F34</f>
        <v>0</v>
      </c>
      <c r="G34" s="1">
        <f t="shared" si="0"/>
        <v>5923243.9932078402</v>
      </c>
      <c r="H34" s="1">
        <f>+'Alabama Life'!G34+'American Chambers'!G34+'American Educators'!G34+'American Integrity'!G34+'Amer Life Asr'!G34+'American Medical'!G34+'Amer Std Life Acc'!G34+AmerWstrn!G34+'AMS Life'!G34+'Andrew Jackson'!G34+'Bankers Commercial'!G34+Benicorp!G34+Centennial!G34+'Coastal States'!G34+'Confed Life (CLIC)'!G34+'Consolidated National'!G34+'Consumers Mutual'!G34+'Consumers United'!G34+'Corporate Life'!G34+'Diamond Benefits'!G34+'EBL Life'!G34+'Family Guaranty'!G34+'Farmers &amp; Ranchers'!G34+'Fidelity Bankers'!G34+'First Natl'!G34+'Franklin American'!G34+'Franklin Protective'!G34+'George Washington'!G34+'Golden State'!G34+'Guarantee Security'!G34+Imerica!G34+'Inter-American'!G34+'International Fin'!G34+'Investment Life of America'!G34+'Investors Equity'!G34+'Kentucky Central'!G34+Legion!G34+'London Pac'!G34+'Medical Savings'!G34+'Midwest Life'!G34+'Mutual Benefit'!G34+'Mutual Security'!G34+'National Affiliated'!G34+'Natl American'!G34+'National Heritage'!G34+'New Jersey Life'!G34+'Old Colony Life'!G34+'Old Faithful'!G34+'Pacific Standard'!G34+SeeChange!G34+'States General'!G34+Statesman!G34+'Summit National'!G34+Supreme!G34+Underwriters!G34+Unison!G34+'United Republic'!G34+Universe!G34+Villanova!G34</f>
        <v>5923243.9932078402</v>
      </c>
      <c r="I34" s="1">
        <f t="shared" si="1"/>
        <v>0</v>
      </c>
      <c r="K34" s="1" t="s">
        <v>496</v>
      </c>
      <c r="L34" s="1">
        <f>Summary!TOTAL_63924</f>
        <v>1600680.8539999998</v>
      </c>
    </row>
    <row r="35" spans="1:12">
      <c r="A35" s="1" t="s">
        <v>56</v>
      </c>
      <c r="B35" s="1">
        <f>+'Alabama Life'!B35+'American Chambers'!B35+'American Educators'!B35+'American Integrity'!B35+'Amer Life Asr'!B35+'American Medical'!B35+'Amer Std Life Acc'!B35+AmerWstrn!B35+'AMS Life'!B35+'Andrew Jackson'!B35+'Bankers Commercial'!B35+Benicorp!B35+Centennial!B35+'Coastal States'!B35+'Confed Life (CLIC)'!B35+'Consolidated National'!B35+'Consumers Mutual'!B35+'Consumers United'!B35+'Corporate Life'!B35+'Diamond Benefits'!B35+'EBL Life'!B35+'Family Guaranty'!B35+'Farmers &amp; Ranchers'!B35+'Fidelity Bankers'!B35+'First Natl'!B35+'Franklin American'!B35+'Franklin Protective'!B35+'George Washington'!B35+'Golden State'!B35+'Guarantee Security'!B35+Imerica!B35+'Inter-American'!B35+'International Fin'!B35+'Investment Life of America'!B35+'Investors Equity'!B35+'Kentucky Central'!B35+Legion!B35+'London Pac'!B35+'Medical Savings'!B35+'Midwest Life'!B35+'Mutual Benefit'!B35+'Mutual Security'!B35+'National Affiliated'!B35+'Natl American'!B35+'National Heritage'!B35+'New Jersey Life'!B35+'Old Colony Life'!B35+'Old Faithful'!B35+'Pacific Standard'!B35+SeeChange!B35+'States General'!B35+Statesman!B35+'Summit National'!B35+Supreme!B35+Underwriters!B35+Unison!B35+'United Republic'!B35+Universe!B35+Villanova!B35</f>
        <v>551106.02030964289</v>
      </c>
      <c r="C35" s="1">
        <f>+'Alabama Life'!C35+'American Chambers'!C35+'American Educators'!C35+'American Integrity'!C35+'Amer Life Asr'!C35+'American Medical'!C35+'Amer Std Life Acc'!C35+AmerWstrn!C35+'AMS Life'!C35+'Andrew Jackson'!C35+'Bankers Commercial'!C35+Benicorp!C35+Centennial!C35+'Coastal States'!C35+'Confed Life (CLIC)'!C35+'Consolidated National'!C35+'Consumers Mutual'!C35+'Consumers United'!C35+'Corporate Life'!C35+'Diamond Benefits'!C35+'EBL Life'!C35+'Family Guaranty'!C35+'Farmers &amp; Ranchers'!C35+'Fidelity Bankers'!C35+'First Natl'!C35+'Franklin American'!C35+'Franklin Protective'!C35+'George Washington'!C35+'Golden State'!C35+'Guarantee Security'!C35+Imerica!C35+'Inter-American'!C35+'International Fin'!C35+'Investment Life of America'!C35+'Investors Equity'!C35+'Kentucky Central'!C35+Legion!C35+'London Pac'!C35+'Medical Savings'!C35+'Midwest Life'!C35+'Mutual Benefit'!C35+'Mutual Security'!C35+'National Affiliated'!C35+'Natl American'!C35+'National Heritage'!C35+'New Jersey Life'!C35+'Old Colony Life'!C35+'Old Faithful'!C35+'Pacific Standard'!C35+SeeChange!C35+'States General'!C35+Statesman!C35+'Summit National'!C35+Supreme!C35+Underwriters!C35+Unison!C35+'United Republic'!C35+Universe!C35+Villanova!C35</f>
        <v>435407.27634376386</v>
      </c>
      <c r="D35" s="1">
        <f>+'Alabama Life'!D35+'American Chambers'!D35+'American Educators'!D35+'American Integrity'!D35+'Amer Life Asr'!D35+'American Medical'!D35+'Amer Std Life Acc'!D35+AmerWstrn!D35+'AMS Life'!D35+'Andrew Jackson'!D35+'Bankers Commercial'!D35+Benicorp!D35+Centennial!D35+'Coastal States'!D35+'Confed Life (CLIC)'!D35+'Consolidated National'!D35+'Consumers Mutual'!D35+'Consumers United'!D35+'Corporate Life'!D35+'Diamond Benefits'!D35+'EBL Life'!D35+'Family Guaranty'!D35+'Farmers &amp; Ranchers'!D35+'Fidelity Bankers'!D35+'First Natl'!D35+'Franklin American'!D35+'Franklin Protective'!D35+'George Washington'!D35+'Golden State'!D35+'Guarantee Security'!D35+Imerica!D35+'Inter-American'!D35+'International Fin'!D35+'Investment Life of America'!D35+'Investors Equity'!D35+'Kentucky Central'!D35+Legion!D35+'London Pac'!D35+'Medical Savings'!D35+'Midwest Life'!D35+'Mutual Benefit'!D35+'Mutual Security'!D35+'National Affiliated'!D35+'Natl American'!D35+'National Heritage'!D35+'New Jersey Life'!D35+'Old Colony Life'!D35+'Old Faithful'!D35+'Pacific Standard'!D35+SeeChange!D35+'States General'!D35+Statesman!D35+'Summit National'!D35+Supreme!D35+Underwriters!D35+Unison!D35+'United Republic'!D35+Universe!D35+Villanova!D35</f>
        <v>183545.17952446415</v>
      </c>
      <c r="E35" s="1">
        <f>+'Alabama Life'!E35+'American Chambers'!E35+'American Educators'!E35+'American Integrity'!E35+'Amer Life Asr'!E35+'American Medical'!E35+'Amer Std Life Acc'!E35+AmerWstrn!E35+'AMS Life'!E35+'Andrew Jackson'!E35+'Bankers Commercial'!E35+Benicorp!E35+Centennial!E35+'Coastal States'!E35+'Confed Life (CLIC)'!E35+'Consolidated National'!E35+'Consumers Mutual'!E35+'Consumers United'!E35+'Corporate Life'!E35+'Diamond Benefits'!E35+'EBL Life'!E35+'Family Guaranty'!E35+'Farmers &amp; Ranchers'!E35+'Fidelity Bankers'!E35+'First Natl'!E35+'Franklin American'!E35+'Franklin Protective'!E35+'George Washington'!E35+'Golden State'!E35+'Guarantee Security'!E35+Imerica!E35+'Inter-American'!E35+'International Fin'!E35+'Investment Life of America'!E35+'Investors Equity'!E35+'Kentucky Central'!E35+Legion!E35+'London Pac'!E35+'Medical Savings'!E35+'Midwest Life'!E35+'Mutual Benefit'!E35+'Mutual Security'!E35+'National Affiliated'!E35+'Natl American'!E35+'National Heritage'!E35+'New Jersey Life'!E35+'Old Colony Life'!E35+'Old Faithful'!E35+'Pacific Standard'!E35+SeeChange!E35+'States General'!E35+Statesman!E35+'Summit National'!E35+Supreme!E35+Underwriters!E35+Unison!E35+'United Republic'!E35+Universe!E35+Villanova!E35</f>
        <v>607576.32708864158</v>
      </c>
      <c r="F35" s="1">
        <f>+'Alabama Life'!F35+'American Chambers'!F35+'American Educators'!F35+'American Integrity'!F35+'Amer Life Asr'!F35+'American Medical'!F35+'Amer Std Life Acc'!F35+AmerWstrn!F35+'AMS Life'!F35+'Andrew Jackson'!F35+'Bankers Commercial'!F35+Benicorp!F35+Centennial!F35+'Coastal States'!F35+'Confed Life (CLIC)'!F35+'Consolidated National'!F35+'Consumers Mutual'!F35+'Consumers United'!F35+'Corporate Life'!F35+'Diamond Benefits'!F35+'EBL Life'!F35+'Family Guaranty'!F35+'Farmers &amp; Ranchers'!F35+'Fidelity Bankers'!F35+'First Natl'!F35+'Franklin American'!F35+'Franklin Protective'!F35+'George Washington'!F35+'Golden State'!F35+'Guarantee Security'!F35+Imerica!F35+'Inter-American'!F35+'International Fin'!F35+'Investment Life of America'!F35+'Investors Equity'!F35+'Kentucky Central'!F35+Legion!F35+'London Pac'!F35+'Medical Savings'!F35+'Midwest Life'!F35+'Mutual Benefit'!F35+'Mutual Security'!F35+'National Affiliated'!F35+'Natl American'!F35+'National Heritage'!F35+'New Jersey Life'!F35+'Old Colony Life'!F35+'Old Faithful'!F35+'Pacific Standard'!F35+SeeChange!F35+'States General'!F35+Statesman!F35+'Summit National'!F35+Supreme!F35+Underwriters!F35+Unison!F35+'United Republic'!F35+Universe!F35+Villanova!F35</f>
        <v>0</v>
      </c>
      <c r="G35" s="1">
        <f t="shared" si="0"/>
        <v>1777634.8032665122</v>
      </c>
      <c r="H35" s="1">
        <f>+'Alabama Life'!G35+'American Chambers'!G35+'American Educators'!G35+'American Integrity'!G35+'Amer Life Asr'!G35+'American Medical'!G35+'Amer Std Life Acc'!G35+AmerWstrn!G35+'AMS Life'!G35+'Andrew Jackson'!G35+'Bankers Commercial'!G35+Benicorp!G35+Centennial!G35+'Coastal States'!G35+'Confed Life (CLIC)'!G35+'Consolidated National'!G35+'Consumers Mutual'!G35+'Consumers United'!G35+'Corporate Life'!G35+'Diamond Benefits'!G35+'EBL Life'!G35+'Family Guaranty'!G35+'Farmers &amp; Ranchers'!G35+'Fidelity Bankers'!G35+'First Natl'!G35+'Franklin American'!G35+'Franklin Protective'!G35+'George Washington'!G35+'Golden State'!G35+'Guarantee Security'!G35+Imerica!G35+'Inter-American'!G35+'International Fin'!G35+'Investment Life of America'!G35+'Investors Equity'!G35+'Kentucky Central'!G35+Legion!G35+'London Pac'!G35+'Medical Savings'!G35+'Midwest Life'!G35+'Mutual Benefit'!G35+'Mutual Security'!G35+'National Affiliated'!G35+'Natl American'!G35+'National Heritage'!G35+'New Jersey Life'!G35+'Old Colony Life'!G35+'Old Faithful'!G35+'Pacific Standard'!G35+SeeChange!G35+'States General'!G35+Statesman!G35+'Summit National'!G35+Supreme!G35+Underwriters!G35+Unison!G35+'United Republic'!G35+Universe!G35+Villanova!G35</f>
        <v>1777634.8032665125</v>
      </c>
      <c r="I35" s="1">
        <f t="shared" si="1"/>
        <v>0</v>
      </c>
      <c r="K35" s="1" t="s">
        <v>501</v>
      </c>
      <c r="L35" s="1">
        <f>Summary!TOTAL_84271</f>
        <v>106918498.54317257</v>
      </c>
    </row>
    <row r="36" spans="1:12">
      <c r="A36" s="1" t="s">
        <v>57</v>
      </c>
      <c r="B36" s="1">
        <f>+'Alabama Life'!B36+'American Chambers'!B36+'American Educators'!B36+'American Integrity'!B36+'Amer Life Asr'!B36+'American Medical'!B36+'Amer Std Life Acc'!B36+AmerWstrn!B36+'AMS Life'!B36+'Andrew Jackson'!B36+'Bankers Commercial'!B36+Benicorp!B36+Centennial!B36+'Coastal States'!B36+'Confed Life (CLIC)'!B36+'Consolidated National'!B36+'Consumers Mutual'!B36+'Consumers United'!B36+'Corporate Life'!B36+'Diamond Benefits'!B36+'EBL Life'!B36+'Family Guaranty'!B36+'Farmers &amp; Ranchers'!B36+'Fidelity Bankers'!B36+'First Natl'!B36+'Franklin American'!B36+'Franklin Protective'!B36+'George Washington'!B36+'Golden State'!B36+'Guarantee Security'!B36+Imerica!B36+'Inter-American'!B36+'International Fin'!B36+'Investment Life of America'!B36+'Investors Equity'!B36+'Kentucky Central'!B36+Legion!B36+'London Pac'!B36+'Medical Savings'!B36+'Midwest Life'!B36+'Mutual Benefit'!B36+'Mutual Security'!B36+'National Affiliated'!B36+'Natl American'!B36+'National Heritage'!B36+'New Jersey Life'!B36+'Old Colony Life'!B36+'Old Faithful'!B36+'Pacific Standard'!B36+SeeChange!B36+'States General'!B36+Statesman!B36+'Summit National'!B36+Supreme!B36+Underwriters!B36+Unison!B36+'United Republic'!B36+Universe!B36+Villanova!B36</f>
        <v>18355901.976159204</v>
      </c>
      <c r="C36" s="1">
        <f>+'Alabama Life'!C36+'American Chambers'!C36+'American Educators'!C36+'American Integrity'!C36+'Amer Life Asr'!C36+'American Medical'!C36+'Amer Std Life Acc'!C36+AmerWstrn!C36+'AMS Life'!C36+'Andrew Jackson'!C36+'Bankers Commercial'!C36+Benicorp!C36+Centennial!C36+'Coastal States'!C36+'Confed Life (CLIC)'!C36+'Consolidated National'!C36+'Consumers Mutual'!C36+'Consumers United'!C36+'Corporate Life'!C36+'Diamond Benefits'!C36+'EBL Life'!C36+'Family Guaranty'!C36+'Farmers &amp; Ranchers'!C36+'Fidelity Bankers'!C36+'First Natl'!C36+'Franklin American'!C36+'Franklin Protective'!C36+'George Washington'!C36+'Golden State'!C36+'Guarantee Security'!C36+Imerica!C36+'Inter-American'!C36+'International Fin'!C36+'Investment Life of America'!C36+'Investors Equity'!C36+'Kentucky Central'!C36+Legion!C36+'London Pac'!C36+'Medical Savings'!C36+'Midwest Life'!C36+'Mutual Benefit'!C36+'Mutual Security'!C36+'National Affiliated'!C36+'Natl American'!C36+'National Heritage'!C36+'New Jersey Life'!C36+'Old Colony Life'!C36+'Old Faithful'!C36+'Pacific Standard'!C36+SeeChange!C36+'States General'!C36+Statesman!C36+'Summit National'!C36+Supreme!C36+Underwriters!C36+Unison!C36+'United Republic'!C36+Universe!C36+Villanova!C36</f>
        <v>1452839.8207427303</v>
      </c>
      <c r="D36" s="1">
        <f>+'Alabama Life'!D36+'American Chambers'!D36+'American Educators'!D36+'American Integrity'!D36+'Amer Life Asr'!D36+'American Medical'!D36+'Amer Std Life Acc'!D36+AmerWstrn!D36+'AMS Life'!D36+'Andrew Jackson'!D36+'Bankers Commercial'!D36+Benicorp!D36+Centennial!D36+'Coastal States'!D36+'Confed Life (CLIC)'!D36+'Consolidated National'!D36+'Consumers Mutual'!D36+'Consumers United'!D36+'Corporate Life'!D36+'Diamond Benefits'!D36+'EBL Life'!D36+'Family Guaranty'!D36+'Farmers &amp; Ranchers'!D36+'Fidelity Bankers'!D36+'First Natl'!D36+'Franklin American'!D36+'Franklin Protective'!D36+'George Washington'!D36+'Golden State'!D36+'Guarantee Security'!D36+Imerica!D36+'Inter-American'!D36+'International Fin'!D36+'Investment Life of America'!D36+'Investors Equity'!D36+'Kentucky Central'!D36+Legion!D36+'London Pac'!D36+'Medical Savings'!D36+'Midwest Life'!D36+'Mutual Benefit'!D36+'Mutual Security'!D36+'National Affiliated'!D36+'Natl American'!D36+'National Heritage'!D36+'New Jersey Life'!D36+'Old Colony Life'!D36+'Old Faithful'!D36+'Pacific Standard'!D36+SeeChange!D36+'States General'!D36+Statesman!D36+'Summit National'!D36+Supreme!D36+Underwriters!D36+Unison!D36+'United Republic'!D36+Universe!D36+Villanova!D36</f>
        <v>420264.78042051906</v>
      </c>
      <c r="E36" s="1">
        <f>+'Alabama Life'!E36+'American Chambers'!E36+'American Educators'!E36+'American Integrity'!E36+'Amer Life Asr'!E36+'American Medical'!E36+'Amer Std Life Acc'!E36+AmerWstrn!E36+'AMS Life'!E36+'Andrew Jackson'!E36+'Bankers Commercial'!E36+Benicorp!E36+Centennial!E36+'Coastal States'!E36+'Confed Life (CLIC)'!E36+'Consolidated National'!E36+'Consumers Mutual'!E36+'Consumers United'!E36+'Corporate Life'!E36+'Diamond Benefits'!E36+'EBL Life'!E36+'Family Guaranty'!E36+'Farmers &amp; Ranchers'!E36+'Fidelity Bankers'!E36+'First Natl'!E36+'Franklin American'!E36+'Franklin Protective'!E36+'George Washington'!E36+'Golden State'!E36+'Guarantee Security'!E36+Imerica!E36+'Inter-American'!E36+'International Fin'!E36+'Investment Life of America'!E36+'Investors Equity'!E36+'Kentucky Central'!E36+Legion!E36+'London Pac'!E36+'Medical Savings'!E36+'Midwest Life'!E36+'Mutual Benefit'!E36+'Mutual Security'!E36+'National Affiliated'!E36+'Natl American'!E36+'National Heritage'!E36+'New Jersey Life'!E36+'Old Colony Life'!E36+'Old Faithful'!E36+'Pacific Standard'!E36+SeeChange!E36+'States General'!E36+Statesman!E36+'Summit National'!E36+Supreme!E36+Underwriters!E36+Unison!E36+'United Republic'!E36+Universe!E36+Villanova!E36</f>
        <v>3461099.7262478308</v>
      </c>
      <c r="F36" s="1">
        <f>+'Alabama Life'!F36+'American Chambers'!F36+'American Educators'!F36+'American Integrity'!F36+'Amer Life Asr'!F36+'American Medical'!F36+'Amer Std Life Acc'!F36+AmerWstrn!F36+'AMS Life'!F36+'Andrew Jackson'!F36+'Bankers Commercial'!F36+Benicorp!F36+Centennial!F36+'Coastal States'!F36+'Confed Life (CLIC)'!F36+'Consolidated National'!F36+'Consumers Mutual'!F36+'Consumers United'!F36+'Corporate Life'!F36+'Diamond Benefits'!F36+'EBL Life'!F36+'Family Guaranty'!F36+'Farmers &amp; Ranchers'!F36+'Fidelity Bankers'!F36+'First Natl'!F36+'Franklin American'!F36+'Franklin Protective'!F36+'George Washington'!F36+'Golden State'!F36+'Guarantee Security'!F36+Imerica!F36+'Inter-American'!F36+'International Fin'!F36+'Investment Life of America'!F36+'Investors Equity'!F36+'Kentucky Central'!F36+Legion!F36+'London Pac'!F36+'Medical Savings'!F36+'Midwest Life'!F36+'Mutual Benefit'!F36+'Mutual Security'!F36+'National Affiliated'!F36+'Natl American'!F36+'National Heritage'!F36+'New Jersey Life'!F36+'Old Colony Life'!F36+'Old Faithful'!F36+'Pacific Standard'!F36+SeeChange!F36+'States General'!F36+Statesman!F36+'Summit National'!F36+Supreme!F36+Underwriters!F36+Unison!F36+'United Republic'!F36+Universe!F36+Villanova!F36</f>
        <v>0</v>
      </c>
      <c r="G36" s="1">
        <f t="shared" si="0"/>
        <v>23690106.303570285</v>
      </c>
      <c r="H36" s="1">
        <f>+'Alabama Life'!G36+'American Chambers'!G36+'American Educators'!G36+'American Integrity'!G36+'Amer Life Asr'!G36+'American Medical'!G36+'Amer Std Life Acc'!G36+AmerWstrn!G36+'AMS Life'!G36+'Andrew Jackson'!G36+'Bankers Commercial'!G36+Benicorp!G36+Centennial!G36+'Coastal States'!G36+'Confed Life (CLIC)'!G36+'Consolidated National'!G36+'Consumers Mutual'!G36+'Consumers United'!G36+'Corporate Life'!G36+'Diamond Benefits'!G36+'EBL Life'!G36+'Family Guaranty'!G36+'Farmers &amp; Ranchers'!G36+'Fidelity Bankers'!G36+'First Natl'!G36+'Franklin American'!G36+'Franklin Protective'!G36+'George Washington'!G36+'Golden State'!G36+'Guarantee Security'!G36+Imerica!G36+'Inter-American'!G36+'International Fin'!G36+'Investment Life of America'!G36+'Investors Equity'!G36+'Kentucky Central'!G36+Legion!G36+'London Pac'!G36+'Medical Savings'!G36+'Midwest Life'!G36+'Mutual Benefit'!G36+'Mutual Security'!G36+'National Affiliated'!G36+'Natl American'!G36+'National Heritage'!G36+'New Jersey Life'!G36+'Old Colony Life'!G36+'Old Faithful'!G36+'Pacific Standard'!G36+SeeChange!G36+'States General'!G36+Statesman!G36+'Summit National'!G36+Supreme!G36+Underwriters!G36+Unison!G36+'United Republic'!G36+Universe!G36+Villanova!G36</f>
        <v>23690106.303570285</v>
      </c>
      <c r="I36" s="1">
        <f t="shared" si="1"/>
        <v>0</v>
      </c>
      <c r="K36" s="1" t="s">
        <v>507</v>
      </c>
      <c r="L36" s="1">
        <f>Summary!TOTAL_63533</f>
        <v>11497817.278988643</v>
      </c>
    </row>
    <row r="37" spans="1:12">
      <c r="A37" s="1" t="s">
        <v>58</v>
      </c>
      <c r="B37" s="1">
        <f>+'Alabama Life'!B37+'American Chambers'!B37+'American Educators'!B37+'American Integrity'!B37+'Amer Life Asr'!B37+'American Medical'!B37+'Amer Std Life Acc'!B37+AmerWstrn!B37+'AMS Life'!B37+'Andrew Jackson'!B37+'Bankers Commercial'!B37+Benicorp!B37+Centennial!B37+'Coastal States'!B37+'Confed Life (CLIC)'!B37+'Consolidated National'!B37+'Consumers Mutual'!B37+'Consumers United'!B37+'Corporate Life'!B37+'Diamond Benefits'!B37+'EBL Life'!B37+'Family Guaranty'!B37+'Farmers &amp; Ranchers'!B37+'Fidelity Bankers'!B37+'First Natl'!B37+'Franklin American'!B37+'Franklin Protective'!B37+'George Washington'!B37+'Golden State'!B37+'Guarantee Security'!B37+Imerica!B37+'Inter-American'!B37+'International Fin'!B37+'Investment Life of America'!B37+'Investors Equity'!B37+'Kentucky Central'!B37+Legion!B37+'London Pac'!B37+'Medical Savings'!B37+'Midwest Life'!B37+'Mutual Benefit'!B37+'Mutual Security'!B37+'National Affiliated'!B37+'Natl American'!B37+'National Heritage'!B37+'New Jersey Life'!B37+'Old Colony Life'!B37+'Old Faithful'!B37+'Pacific Standard'!B37+SeeChange!B37+'States General'!B37+Statesman!B37+'Summit National'!B37+Supreme!B37+Underwriters!B37+Unison!B37+'United Republic'!B37+Universe!B37+Villanova!B37</f>
        <v>797039.40663288964</v>
      </c>
      <c r="C37" s="1">
        <f>+'Alabama Life'!C37+'American Chambers'!C37+'American Educators'!C37+'American Integrity'!C37+'Amer Life Asr'!C37+'American Medical'!C37+'Amer Std Life Acc'!C37+AmerWstrn!C37+'AMS Life'!C37+'Andrew Jackson'!C37+'Bankers Commercial'!C37+Benicorp!C37+Centennial!C37+'Coastal States'!C37+'Confed Life (CLIC)'!C37+'Consolidated National'!C37+'Consumers Mutual'!C37+'Consumers United'!C37+'Corporate Life'!C37+'Diamond Benefits'!C37+'EBL Life'!C37+'Family Guaranty'!C37+'Farmers &amp; Ranchers'!C37+'Fidelity Bankers'!C37+'First Natl'!C37+'Franklin American'!C37+'Franklin Protective'!C37+'George Washington'!C37+'Golden State'!C37+'Guarantee Security'!C37+Imerica!C37+'Inter-American'!C37+'International Fin'!C37+'Investment Life of America'!C37+'Investors Equity'!C37+'Kentucky Central'!C37+Legion!C37+'London Pac'!C37+'Medical Savings'!C37+'Midwest Life'!C37+'Mutual Benefit'!C37+'Mutual Security'!C37+'National Affiliated'!C37+'Natl American'!C37+'National Heritage'!C37+'New Jersey Life'!C37+'Old Colony Life'!C37+'Old Faithful'!C37+'Pacific Standard'!C37+SeeChange!C37+'States General'!C37+Statesman!C37+'Summit National'!C37+Supreme!C37+Underwriters!C37+Unison!C37+'United Republic'!C37+Universe!C37+Villanova!C37</f>
        <v>1692204.9719061272</v>
      </c>
      <c r="D37" s="1">
        <f>+'Alabama Life'!D37+'American Chambers'!D37+'American Educators'!D37+'American Integrity'!D37+'Amer Life Asr'!D37+'American Medical'!D37+'Amer Std Life Acc'!D37+AmerWstrn!D37+'AMS Life'!D37+'Andrew Jackson'!D37+'Bankers Commercial'!D37+Benicorp!D37+Centennial!D37+'Coastal States'!D37+'Confed Life (CLIC)'!D37+'Consolidated National'!D37+'Consumers Mutual'!D37+'Consumers United'!D37+'Corporate Life'!D37+'Diamond Benefits'!D37+'EBL Life'!D37+'Family Guaranty'!D37+'Farmers &amp; Ranchers'!D37+'Fidelity Bankers'!D37+'First Natl'!D37+'Franklin American'!D37+'Franklin Protective'!D37+'George Washington'!D37+'Golden State'!D37+'Guarantee Security'!D37+Imerica!D37+'Inter-American'!D37+'International Fin'!D37+'Investment Life of America'!D37+'Investors Equity'!D37+'Kentucky Central'!D37+Legion!D37+'London Pac'!D37+'Medical Savings'!D37+'Midwest Life'!D37+'Mutual Benefit'!D37+'Mutual Security'!D37+'National Affiliated'!D37+'Natl American'!D37+'National Heritage'!D37+'New Jersey Life'!D37+'Old Colony Life'!D37+'Old Faithful'!D37+'Pacific Standard'!D37+SeeChange!D37+'States General'!D37+Statesman!D37+'Summit National'!D37+Supreme!D37+Underwriters!D37+Unison!D37+'United Republic'!D37+Universe!D37+Villanova!D37</f>
        <v>-128488.64890246739</v>
      </c>
      <c r="E37" s="1">
        <f>+'Alabama Life'!E37+'American Chambers'!E37+'American Educators'!E37+'American Integrity'!E37+'Amer Life Asr'!E37+'American Medical'!E37+'Amer Std Life Acc'!E37+AmerWstrn!E37+'AMS Life'!E37+'Andrew Jackson'!E37+'Bankers Commercial'!E37+Benicorp!E37+Centennial!E37+'Coastal States'!E37+'Confed Life (CLIC)'!E37+'Consolidated National'!E37+'Consumers Mutual'!E37+'Consumers United'!E37+'Corporate Life'!E37+'Diamond Benefits'!E37+'EBL Life'!E37+'Family Guaranty'!E37+'Farmers &amp; Ranchers'!E37+'Fidelity Bankers'!E37+'First Natl'!E37+'Franklin American'!E37+'Franklin Protective'!E37+'George Washington'!E37+'Golden State'!E37+'Guarantee Security'!E37+Imerica!E37+'Inter-American'!E37+'International Fin'!E37+'Investment Life of America'!E37+'Investors Equity'!E37+'Kentucky Central'!E37+Legion!E37+'London Pac'!E37+'Medical Savings'!E37+'Midwest Life'!E37+'Mutual Benefit'!E37+'Mutual Security'!E37+'National Affiliated'!E37+'Natl American'!E37+'National Heritage'!E37+'New Jersey Life'!E37+'Old Colony Life'!E37+'Old Faithful'!E37+'Pacific Standard'!E37+SeeChange!E37+'States General'!E37+Statesman!E37+'Summit National'!E37+Supreme!E37+Underwriters!E37+Unison!E37+'United Republic'!E37+Universe!E37+Villanova!E37</f>
        <v>0</v>
      </c>
      <c r="F37" s="1">
        <f>+'Alabama Life'!F37+'American Chambers'!F37+'American Educators'!F37+'American Integrity'!F37+'Amer Life Asr'!F37+'American Medical'!F37+'Amer Std Life Acc'!F37+AmerWstrn!F37+'AMS Life'!F37+'Andrew Jackson'!F37+'Bankers Commercial'!F37+Benicorp!F37+Centennial!F37+'Coastal States'!F37+'Confed Life (CLIC)'!F37+'Consolidated National'!F37+'Consumers Mutual'!F37+'Consumers United'!F37+'Corporate Life'!F37+'Diamond Benefits'!F37+'EBL Life'!F37+'Family Guaranty'!F37+'Farmers &amp; Ranchers'!F37+'Fidelity Bankers'!F37+'First Natl'!F37+'Franklin American'!F37+'Franklin Protective'!F37+'George Washington'!F37+'Golden State'!F37+'Guarantee Security'!F37+Imerica!F37+'Inter-American'!F37+'International Fin'!F37+'Investment Life of America'!F37+'Investors Equity'!F37+'Kentucky Central'!F37+Legion!F37+'London Pac'!F37+'Medical Savings'!F37+'Midwest Life'!F37+'Mutual Benefit'!F37+'Mutual Security'!F37+'National Affiliated'!F37+'Natl American'!F37+'National Heritage'!F37+'New Jersey Life'!F37+'Old Colony Life'!F37+'Old Faithful'!F37+'Pacific Standard'!F37+SeeChange!F37+'States General'!F37+Statesman!F37+'Summit National'!F37+Supreme!F37+Underwriters!F37+Unison!F37+'United Republic'!F37+Universe!F37+Villanova!F37</f>
        <v>0</v>
      </c>
      <c r="G37" s="1">
        <f t="shared" si="0"/>
        <v>2360755.7296365495</v>
      </c>
      <c r="H37" s="1">
        <f>+'Alabama Life'!G37+'American Chambers'!G37+'American Educators'!G37+'American Integrity'!G37+'Amer Life Asr'!G37+'American Medical'!G37+'Amer Std Life Acc'!G37+AmerWstrn!G37+'AMS Life'!G37+'Andrew Jackson'!G37+'Bankers Commercial'!G37+Benicorp!G37+Centennial!G37+'Coastal States'!G37+'Confed Life (CLIC)'!G37+'Consolidated National'!G37+'Consumers Mutual'!G37+'Consumers United'!G37+'Corporate Life'!G37+'Diamond Benefits'!G37+'EBL Life'!G37+'Family Guaranty'!G37+'Farmers &amp; Ranchers'!G37+'Fidelity Bankers'!G37+'First Natl'!G37+'Franklin American'!G37+'Franklin Protective'!G37+'George Washington'!G37+'Golden State'!G37+'Guarantee Security'!G37+Imerica!G37+'Inter-American'!G37+'International Fin'!G37+'Investment Life of America'!G37+'Investors Equity'!G37+'Kentucky Central'!G37+Legion!G37+'London Pac'!G37+'Medical Savings'!G37+'Midwest Life'!G37+'Mutual Benefit'!G37+'Mutual Security'!G37+'National Affiliated'!G37+'Natl American'!G37+'National Heritage'!G37+'New Jersey Life'!G37+'Old Colony Life'!G37+'Old Faithful'!G37+'Pacific Standard'!G37+SeeChange!G37+'States General'!G37+Statesman!G37+'Summit National'!G37+Supreme!G37+Underwriters!G37+Unison!G37+'United Republic'!G37+Universe!G37+Villanova!G37</f>
        <v>2360755.7296365486</v>
      </c>
      <c r="I37" s="1">
        <f t="shared" si="1"/>
        <v>0</v>
      </c>
      <c r="K37" s="1" t="s">
        <v>513</v>
      </c>
      <c r="L37" s="1">
        <f>Summary!TOTAL_67210</f>
        <v>107771804.22937052</v>
      </c>
    </row>
    <row r="38" spans="1:12">
      <c r="A38" s="1" t="s">
        <v>59</v>
      </c>
      <c r="B38" s="1">
        <f>+'Alabama Life'!B38+'American Chambers'!B38+'American Educators'!B38+'American Integrity'!B38+'Amer Life Asr'!B38+'American Medical'!B38+'Amer Std Life Acc'!B38+AmerWstrn!B38+'AMS Life'!B38+'Andrew Jackson'!B38+'Bankers Commercial'!B38+Benicorp!B38+Centennial!B38+'Coastal States'!B38+'Confed Life (CLIC)'!B38+'Consolidated National'!B38+'Consumers Mutual'!B38+'Consumers United'!B38+'Corporate Life'!B38+'Diamond Benefits'!B38+'EBL Life'!B38+'Family Guaranty'!B38+'Farmers &amp; Ranchers'!B38+'Fidelity Bankers'!B38+'First Natl'!B38+'Franklin American'!B38+'Franklin Protective'!B38+'George Washington'!B38+'Golden State'!B38+'Guarantee Security'!B38+Imerica!B38+'Inter-American'!B38+'International Fin'!B38+'Investment Life of America'!B38+'Investors Equity'!B38+'Kentucky Central'!B38+Legion!B38+'London Pac'!B38+'Medical Savings'!B38+'Midwest Life'!B38+'Mutual Benefit'!B38+'Mutual Security'!B38+'National Affiliated'!B38+'Natl American'!B38+'National Heritage'!B38+'New Jersey Life'!B38+'Old Colony Life'!B38+'Old Faithful'!B38+'Pacific Standard'!B38+SeeChange!B38+'States General'!B38+Statesman!B38+'Summit National'!B38+Supreme!B38+Underwriters!B38+Unison!B38+'United Republic'!B38+Universe!B38+Villanova!B38</f>
        <v>-36964.970106366323</v>
      </c>
      <c r="C38" s="1">
        <f>+'Alabama Life'!C38+'American Chambers'!C38+'American Educators'!C38+'American Integrity'!C38+'Amer Life Asr'!C38+'American Medical'!C38+'Amer Std Life Acc'!C38+AmerWstrn!C38+'AMS Life'!C38+'Andrew Jackson'!C38+'Bankers Commercial'!C38+Benicorp!C38+Centennial!C38+'Coastal States'!C38+'Confed Life (CLIC)'!C38+'Consolidated National'!C38+'Consumers Mutual'!C38+'Consumers United'!C38+'Corporate Life'!C38+'Diamond Benefits'!C38+'EBL Life'!C38+'Family Guaranty'!C38+'Farmers &amp; Ranchers'!C38+'Fidelity Bankers'!C38+'First Natl'!C38+'Franklin American'!C38+'Franklin Protective'!C38+'George Washington'!C38+'Golden State'!C38+'Guarantee Security'!C38+Imerica!C38+'Inter-American'!C38+'International Fin'!C38+'Investment Life of America'!C38+'Investors Equity'!C38+'Kentucky Central'!C38+Legion!C38+'London Pac'!C38+'Medical Savings'!C38+'Midwest Life'!C38+'Mutual Benefit'!C38+'Mutual Security'!C38+'National Affiliated'!C38+'Natl American'!C38+'National Heritage'!C38+'New Jersey Life'!C38+'Old Colony Life'!C38+'Old Faithful'!C38+'Pacific Standard'!C38+SeeChange!C38+'States General'!C38+Statesman!C38+'Summit National'!C38+Supreme!C38+Underwriters!C38+Unison!C38+'United Republic'!C38+Universe!C38+Villanova!C38</f>
        <v>-265512.21401918307</v>
      </c>
      <c r="D38" s="1">
        <f>+'Alabama Life'!D38+'American Chambers'!D38+'American Educators'!D38+'American Integrity'!D38+'Amer Life Asr'!D38+'American Medical'!D38+'Amer Std Life Acc'!D38+AmerWstrn!D38+'AMS Life'!D38+'Andrew Jackson'!D38+'Bankers Commercial'!D38+Benicorp!D38+Centennial!D38+'Coastal States'!D38+'Confed Life (CLIC)'!D38+'Consolidated National'!D38+'Consumers Mutual'!D38+'Consumers United'!D38+'Corporate Life'!D38+'Diamond Benefits'!D38+'EBL Life'!D38+'Family Guaranty'!D38+'Farmers &amp; Ranchers'!D38+'Fidelity Bankers'!D38+'First Natl'!D38+'Franklin American'!D38+'Franklin Protective'!D38+'George Washington'!D38+'Golden State'!D38+'Guarantee Security'!D38+Imerica!D38+'Inter-American'!D38+'International Fin'!D38+'Investment Life of America'!D38+'Investors Equity'!D38+'Kentucky Central'!D38+Legion!D38+'London Pac'!D38+'Medical Savings'!D38+'Midwest Life'!D38+'Mutual Benefit'!D38+'Mutual Security'!D38+'National Affiliated'!D38+'Natl American'!D38+'National Heritage'!D38+'New Jersey Life'!D38+'Old Colony Life'!D38+'Old Faithful'!D38+'Pacific Standard'!D38+SeeChange!D38+'States General'!D38+Statesman!D38+'Summit National'!D38+Supreme!D38+Underwriters!D38+Unison!D38+'United Republic'!D38+Universe!D38+Villanova!D38</f>
        <v>-72599.009438001551</v>
      </c>
      <c r="E38" s="1">
        <f>+'Alabama Life'!E38+'American Chambers'!E38+'American Educators'!E38+'American Integrity'!E38+'Amer Life Asr'!E38+'American Medical'!E38+'Amer Std Life Acc'!E38+AmerWstrn!E38+'AMS Life'!E38+'Andrew Jackson'!E38+'Bankers Commercial'!E38+Benicorp!E38+Centennial!E38+'Coastal States'!E38+'Confed Life (CLIC)'!E38+'Consolidated National'!E38+'Consumers Mutual'!E38+'Consumers United'!E38+'Corporate Life'!E38+'Diamond Benefits'!E38+'EBL Life'!E38+'Family Guaranty'!E38+'Farmers &amp; Ranchers'!E38+'Fidelity Bankers'!E38+'First Natl'!E38+'Franklin American'!E38+'Franklin Protective'!E38+'George Washington'!E38+'Golden State'!E38+'Guarantee Security'!E38+Imerica!E38+'Inter-American'!E38+'International Fin'!E38+'Investment Life of America'!E38+'Investors Equity'!E38+'Kentucky Central'!E38+Legion!E38+'London Pac'!E38+'Medical Savings'!E38+'Midwest Life'!E38+'Mutual Benefit'!E38+'Mutual Security'!E38+'National Affiliated'!E38+'Natl American'!E38+'National Heritage'!E38+'New Jersey Life'!E38+'Old Colony Life'!E38+'Old Faithful'!E38+'Pacific Standard'!E38+SeeChange!E38+'States General'!E38+Statesman!E38+'Summit National'!E38+Supreme!E38+Underwriters!E38+Unison!E38+'United Republic'!E38+Universe!E38+Villanova!E38</f>
        <v>-9646.7778394741181</v>
      </c>
      <c r="F38" s="1">
        <f>+'Alabama Life'!F38+'American Chambers'!F38+'American Educators'!F38+'American Integrity'!F38+'Amer Life Asr'!F38+'American Medical'!F38+'Amer Std Life Acc'!F38+AmerWstrn!F38+'AMS Life'!F38+'Andrew Jackson'!F38+'Bankers Commercial'!F38+Benicorp!F38+Centennial!F38+'Coastal States'!F38+'Confed Life (CLIC)'!F38+'Consolidated National'!F38+'Consumers Mutual'!F38+'Consumers United'!F38+'Corporate Life'!F38+'Diamond Benefits'!F38+'EBL Life'!F38+'Family Guaranty'!F38+'Farmers &amp; Ranchers'!F38+'Fidelity Bankers'!F38+'First Natl'!F38+'Franklin American'!F38+'Franklin Protective'!F38+'George Washington'!F38+'Golden State'!F38+'Guarantee Security'!F38+Imerica!F38+'Inter-American'!F38+'International Fin'!F38+'Investment Life of America'!F38+'Investors Equity'!F38+'Kentucky Central'!F38+Legion!F38+'London Pac'!F38+'Medical Savings'!F38+'Midwest Life'!F38+'Mutual Benefit'!F38+'Mutual Security'!F38+'National Affiliated'!F38+'Natl American'!F38+'National Heritage'!F38+'New Jersey Life'!F38+'Old Colony Life'!F38+'Old Faithful'!F38+'Pacific Standard'!F38+SeeChange!F38+'States General'!F38+Statesman!F38+'Summit National'!F38+Supreme!F38+Underwriters!F38+Unison!F38+'United Republic'!F38+Universe!F38+Villanova!F38</f>
        <v>0</v>
      </c>
      <c r="G38" s="1">
        <f t="shared" ref="G38:G58" si="2">SUM(B38:F38)</f>
        <v>-384722.97140302509</v>
      </c>
      <c r="H38" s="1">
        <f>+'Alabama Life'!G38+'American Chambers'!G38+'American Educators'!G38+'American Integrity'!G38+'Amer Life Asr'!G38+'American Medical'!G38+'Amer Std Life Acc'!G38+AmerWstrn!G38+'AMS Life'!G38+'Andrew Jackson'!G38+'Bankers Commercial'!G38+Benicorp!G38+Centennial!G38+'Coastal States'!G38+'Confed Life (CLIC)'!G38+'Consolidated National'!G38+'Consumers Mutual'!G38+'Consumers United'!G38+'Corporate Life'!G38+'Diamond Benefits'!G38+'EBL Life'!G38+'Family Guaranty'!G38+'Farmers &amp; Ranchers'!G38+'Fidelity Bankers'!G38+'First Natl'!G38+'Franklin American'!G38+'Franklin Protective'!G38+'George Washington'!G38+'Golden State'!G38+'Guarantee Security'!G38+Imerica!G38+'Inter-American'!G38+'International Fin'!G38+'Investment Life of America'!G38+'Investors Equity'!G38+'Kentucky Central'!G38+Legion!G38+'London Pac'!G38+'Medical Savings'!G38+'Midwest Life'!G38+'Mutual Benefit'!G38+'Mutual Security'!G38+'National Affiliated'!G38+'Natl American'!G38+'National Heritage'!G38+'New Jersey Life'!G38+'Old Colony Life'!G38+'Old Faithful'!G38+'Pacific Standard'!G38+SeeChange!G38+'States General'!G38+Statesman!G38+'Summit National'!G38+Supreme!G38+Underwriters!G38+Unison!G38+'United Republic'!G38+Universe!G38+Villanova!G38</f>
        <v>-384722.97140302509</v>
      </c>
      <c r="I38" s="1">
        <f t="shared" ref="I38:I58" si="3">G38-H38</f>
        <v>0</v>
      </c>
      <c r="K38" s="1" t="s">
        <v>518</v>
      </c>
      <c r="L38" s="1">
        <f>Summary!TOTAL_64084</f>
        <v>1874315.0259775603</v>
      </c>
    </row>
    <row r="39" spans="1:12">
      <c r="A39" s="1" t="s">
        <v>60</v>
      </c>
      <c r="B39" s="1">
        <f>+'Alabama Life'!B39+'American Chambers'!B39+'American Educators'!B39+'American Integrity'!B39+'Amer Life Asr'!B39+'American Medical'!B39+'Amer Std Life Acc'!B39+AmerWstrn!B39+'AMS Life'!B39+'Andrew Jackson'!B39+'Bankers Commercial'!B39+Benicorp!B39+Centennial!B39+'Coastal States'!B39+'Confed Life (CLIC)'!B39+'Consolidated National'!B39+'Consumers Mutual'!B39+'Consumers United'!B39+'Corporate Life'!B39+'Diamond Benefits'!B39+'EBL Life'!B39+'Family Guaranty'!B39+'Farmers &amp; Ranchers'!B39+'Fidelity Bankers'!B39+'First Natl'!B39+'Franklin American'!B39+'Franklin Protective'!B39+'George Washington'!B39+'Golden State'!B39+'Guarantee Security'!B39+Imerica!B39+'Inter-American'!B39+'International Fin'!B39+'Investment Life of America'!B39+'Investors Equity'!B39+'Kentucky Central'!B39+Legion!B39+'London Pac'!B39+'Medical Savings'!B39+'Midwest Life'!B39+'Mutual Benefit'!B39+'Mutual Security'!B39+'National Affiliated'!B39+'Natl American'!B39+'National Heritage'!B39+'New Jersey Life'!B39+'Old Colony Life'!B39+'Old Faithful'!B39+'Pacific Standard'!B39+SeeChange!B39+'States General'!B39+Statesman!B39+'Summit National'!B39+Supreme!B39+Underwriters!B39+Unison!B39+'United Republic'!B39+Universe!B39+Villanova!B39</f>
        <v>10342327.780830346</v>
      </c>
      <c r="C39" s="1">
        <f>+'Alabama Life'!C39+'American Chambers'!C39+'American Educators'!C39+'American Integrity'!C39+'Amer Life Asr'!C39+'American Medical'!C39+'Amer Std Life Acc'!C39+AmerWstrn!C39+'AMS Life'!C39+'Andrew Jackson'!C39+'Bankers Commercial'!C39+Benicorp!C39+Centennial!C39+'Coastal States'!C39+'Confed Life (CLIC)'!C39+'Consolidated National'!C39+'Consumers Mutual'!C39+'Consumers United'!C39+'Corporate Life'!C39+'Diamond Benefits'!C39+'EBL Life'!C39+'Family Guaranty'!C39+'Farmers &amp; Ranchers'!C39+'Fidelity Bankers'!C39+'First Natl'!C39+'Franklin American'!C39+'Franklin Protective'!C39+'George Washington'!C39+'Golden State'!C39+'Guarantee Security'!C39+Imerica!C39+'Inter-American'!C39+'International Fin'!C39+'Investment Life of America'!C39+'Investors Equity'!C39+'Kentucky Central'!C39+Legion!C39+'London Pac'!C39+'Medical Savings'!C39+'Midwest Life'!C39+'Mutual Benefit'!C39+'Mutual Security'!C39+'National Affiliated'!C39+'Natl American'!C39+'National Heritage'!C39+'New Jersey Life'!C39+'Old Colony Life'!C39+'Old Faithful'!C39+'Pacific Standard'!C39+SeeChange!C39+'States General'!C39+Statesman!C39+'Summit National'!C39+Supreme!C39+Underwriters!C39+Unison!C39+'United Republic'!C39+Universe!C39+Villanova!C39</f>
        <v>13531551.625670722</v>
      </c>
      <c r="D39" s="1">
        <f>+'Alabama Life'!D39+'American Chambers'!D39+'American Educators'!D39+'American Integrity'!D39+'Amer Life Asr'!D39+'American Medical'!D39+'Amer Std Life Acc'!D39+AmerWstrn!D39+'AMS Life'!D39+'Andrew Jackson'!D39+'Bankers Commercial'!D39+Benicorp!D39+Centennial!D39+'Coastal States'!D39+'Confed Life (CLIC)'!D39+'Consolidated National'!D39+'Consumers Mutual'!D39+'Consumers United'!D39+'Corporate Life'!D39+'Diamond Benefits'!D39+'EBL Life'!D39+'Family Guaranty'!D39+'Farmers &amp; Ranchers'!D39+'Fidelity Bankers'!D39+'First Natl'!D39+'Franklin American'!D39+'Franklin Protective'!D39+'George Washington'!D39+'Golden State'!D39+'Guarantee Security'!D39+Imerica!D39+'Inter-American'!D39+'International Fin'!D39+'Investment Life of America'!D39+'Investors Equity'!D39+'Kentucky Central'!D39+Legion!D39+'London Pac'!D39+'Medical Savings'!D39+'Midwest Life'!D39+'Mutual Benefit'!D39+'Mutual Security'!D39+'National Affiliated'!D39+'Natl American'!D39+'National Heritage'!D39+'New Jersey Life'!D39+'Old Colony Life'!D39+'Old Faithful'!D39+'Pacific Standard'!D39+SeeChange!D39+'States General'!D39+Statesman!D39+'Summit National'!D39+Supreme!D39+Underwriters!D39+Unison!D39+'United Republic'!D39+Universe!D39+Villanova!D39</f>
        <v>-272318.91330340144</v>
      </c>
      <c r="E39" s="1">
        <f>+'Alabama Life'!E39+'American Chambers'!E39+'American Educators'!E39+'American Integrity'!E39+'Amer Life Asr'!E39+'American Medical'!E39+'Amer Std Life Acc'!E39+AmerWstrn!E39+'AMS Life'!E39+'Andrew Jackson'!E39+'Bankers Commercial'!E39+Benicorp!E39+Centennial!E39+'Coastal States'!E39+'Confed Life (CLIC)'!E39+'Consolidated National'!E39+'Consumers Mutual'!E39+'Consumers United'!E39+'Corporate Life'!E39+'Diamond Benefits'!E39+'EBL Life'!E39+'Family Guaranty'!E39+'Farmers &amp; Ranchers'!E39+'Fidelity Bankers'!E39+'First Natl'!E39+'Franklin American'!E39+'Franklin Protective'!E39+'George Washington'!E39+'Golden State'!E39+'Guarantee Security'!E39+Imerica!E39+'Inter-American'!E39+'International Fin'!E39+'Investment Life of America'!E39+'Investors Equity'!E39+'Kentucky Central'!E39+Legion!E39+'London Pac'!E39+'Medical Savings'!E39+'Midwest Life'!E39+'Mutual Benefit'!E39+'Mutual Security'!E39+'National Affiliated'!E39+'Natl American'!E39+'National Heritage'!E39+'New Jersey Life'!E39+'Old Colony Life'!E39+'Old Faithful'!E39+'Pacific Standard'!E39+SeeChange!E39+'States General'!E39+Statesman!E39+'Summit National'!E39+Supreme!E39+Underwriters!E39+Unison!E39+'United Republic'!E39+Universe!E39+Villanova!E39</f>
        <v>219176.06225038791</v>
      </c>
      <c r="F39" s="1">
        <f>+'Alabama Life'!F39+'American Chambers'!F39+'American Educators'!F39+'American Integrity'!F39+'Amer Life Asr'!F39+'American Medical'!F39+'Amer Std Life Acc'!F39+AmerWstrn!F39+'AMS Life'!F39+'Andrew Jackson'!F39+'Bankers Commercial'!F39+Benicorp!F39+Centennial!F39+'Coastal States'!F39+'Confed Life (CLIC)'!F39+'Consolidated National'!F39+'Consumers Mutual'!F39+'Consumers United'!F39+'Corporate Life'!F39+'Diamond Benefits'!F39+'EBL Life'!F39+'Family Guaranty'!F39+'Farmers &amp; Ranchers'!F39+'Fidelity Bankers'!F39+'First Natl'!F39+'Franklin American'!F39+'Franklin Protective'!F39+'George Washington'!F39+'Golden State'!F39+'Guarantee Security'!F39+Imerica!F39+'Inter-American'!F39+'International Fin'!F39+'Investment Life of America'!F39+'Investors Equity'!F39+'Kentucky Central'!F39+Legion!F39+'London Pac'!F39+'Medical Savings'!F39+'Midwest Life'!F39+'Mutual Benefit'!F39+'Mutual Security'!F39+'National Affiliated'!F39+'Natl American'!F39+'National Heritage'!F39+'New Jersey Life'!F39+'Old Colony Life'!F39+'Old Faithful'!F39+'Pacific Standard'!F39+SeeChange!F39+'States General'!F39+Statesman!F39+'Summit National'!F39+Supreme!F39+Underwriters!F39+Unison!F39+'United Republic'!F39+Universe!F39+Villanova!F39</f>
        <v>0</v>
      </c>
      <c r="G39" s="1">
        <f t="shared" si="2"/>
        <v>23820736.555448055</v>
      </c>
      <c r="H39" s="1">
        <f>+'Alabama Life'!G39+'American Chambers'!G39+'American Educators'!G39+'American Integrity'!G39+'Amer Life Asr'!G39+'American Medical'!G39+'Amer Std Life Acc'!G39+AmerWstrn!G39+'AMS Life'!G39+'Andrew Jackson'!G39+'Bankers Commercial'!G39+Benicorp!G39+Centennial!G39+'Coastal States'!G39+'Confed Life (CLIC)'!G39+'Consolidated National'!G39+'Consumers Mutual'!G39+'Consumers United'!G39+'Corporate Life'!G39+'Diamond Benefits'!G39+'EBL Life'!G39+'Family Guaranty'!G39+'Farmers &amp; Ranchers'!G39+'Fidelity Bankers'!G39+'First Natl'!G39+'Franklin American'!G39+'Franklin Protective'!G39+'George Washington'!G39+'Golden State'!G39+'Guarantee Security'!G39+Imerica!G39+'Inter-American'!G39+'International Fin'!G39+'Investment Life of America'!G39+'Investors Equity'!G39+'Kentucky Central'!G39+Legion!G39+'London Pac'!G39+'Medical Savings'!G39+'Midwest Life'!G39+'Mutual Benefit'!G39+'Mutual Security'!G39+'National Affiliated'!G39+'Natl American'!G39+'National Heritage'!G39+'New Jersey Life'!G39+'Old Colony Life'!G39+'Old Faithful'!G39+'Pacific Standard'!G39+SeeChange!G39+'States General'!G39+Statesman!G39+'Summit National'!G39+Supreme!G39+Underwriters!G39+Unison!G39+'United Republic'!G39+Universe!G39+Villanova!G39</f>
        <v>23820736.555448052</v>
      </c>
      <c r="I39" s="1">
        <f t="shared" si="3"/>
        <v>0</v>
      </c>
      <c r="K39" s="1" t="s">
        <v>522</v>
      </c>
      <c r="L39" s="1">
        <f>Summary!TOTAL_76015</f>
        <v>15757958.124517085</v>
      </c>
    </row>
    <row r="40" spans="1:12">
      <c r="A40" s="1" t="s">
        <v>61</v>
      </c>
      <c r="B40" s="1">
        <f>+'Alabama Life'!B40+'American Chambers'!B40+'American Educators'!B40+'American Integrity'!B40+'Amer Life Asr'!B40+'American Medical'!B40+'Amer Std Life Acc'!B40+AmerWstrn!B40+'AMS Life'!B40+'Andrew Jackson'!B40+'Bankers Commercial'!B40+Benicorp!B40+Centennial!B40+'Coastal States'!B40+'Confed Life (CLIC)'!B40+'Consolidated National'!B40+'Consumers Mutual'!B40+'Consumers United'!B40+'Corporate Life'!B40+'Diamond Benefits'!B40+'EBL Life'!B40+'Family Guaranty'!B40+'Farmers &amp; Ranchers'!B40+'Fidelity Bankers'!B40+'First Natl'!B40+'Franklin American'!B40+'Franklin Protective'!B40+'George Washington'!B40+'Golden State'!B40+'Guarantee Security'!B40+Imerica!B40+'Inter-American'!B40+'International Fin'!B40+'Investment Life of America'!B40+'Investors Equity'!B40+'Kentucky Central'!B40+Legion!B40+'London Pac'!B40+'Medical Savings'!B40+'Midwest Life'!B40+'Mutual Benefit'!B40+'Mutual Security'!B40+'National Affiliated'!B40+'Natl American'!B40+'National Heritage'!B40+'New Jersey Life'!B40+'Old Colony Life'!B40+'Old Faithful'!B40+'Pacific Standard'!B40+SeeChange!B40+'States General'!B40+Statesman!B40+'Summit National'!B40+Supreme!B40+Underwriters!B40+Unison!B40+'United Republic'!B40+Universe!B40+Villanova!B40</f>
        <v>767887.77543516736</v>
      </c>
      <c r="C40" s="1">
        <f>+'Alabama Life'!C40+'American Chambers'!C40+'American Educators'!C40+'American Integrity'!C40+'Amer Life Asr'!C40+'American Medical'!C40+'Amer Std Life Acc'!C40+AmerWstrn!C40+'AMS Life'!C40+'Andrew Jackson'!C40+'Bankers Commercial'!C40+Benicorp!C40+Centennial!C40+'Coastal States'!C40+'Confed Life (CLIC)'!C40+'Consolidated National'!C40+'Consumers Mutual'!C40+'Consumers United'!C40+'Corporate Life'!C40+'Diamond Benefits'!C40+'EBL Life'!C40+'Family Guaranty'!C40+'Farmers &amp; Ranchers'!C40+'Fidelity Bankers'!C40+'First Natl'!C40+'Franklin American'!C40+'Franklin Protective'!C40+'George Washington'!C40+'Golden State'!C40+'Guarantee Security'!C40+Imerica!C40+'Inter-American'!C40+'International Fin'!C40+'Investment Life of America'!C40+'Investors Equity'!C40+'Kentucky Central'!C40+Legion!C40+'London Pac'!C40+'Medical Savings'!C40+'Midwest Life'!C40+'Mutual Benefit'!C40+'Mutual Security'!C40+'National Affiliated'!C40+'Natl American'!C40+'National Heritage'!C40+'New Jersey Life'!C40+'Old Colony Life'!C40+'Old Faithful'!C40+'Pacific Standard'!C40+SeeChange!C40+'States General'!C40+Statesman!C40+'Summit National'!C40+Supreme!C40+Underwriters!C40+Unison!C40+'United Republic'!C40+Universe!C40+Villanova!C40</f>
        <v>2192367.5779006421</v>
      </c>
      <c r="D40" s="1">
        <f>+'Alabama Life'!D40+'American Chambers'!D40+'American Educators'!D40+'American Integrity'!D40+'Amer Life Asr'!D40+'American Medical'!D40+'Amer Std Life Acc'!D40+AmerWstrn!D40+'AMS Life'!D40+'Andrew Jackson'!D40+'Bankers Commercial'!D40+Benicorp!D40+Centennial!D40+'Coastal States'!D40+'Confed Life (CLIC)'!D40+'Consolidated National'!D40+'Consumers Mutual'!D40+'Consumers United'!D40+'Corporate Life'!D40+'Diamond Benefits'!D40+'EBL Life'!D40+'Family Guaranty'!D40+'Farmers &amp; Ranchers'!D40+'Fidelity Bankers'!D40+'First Natl'!D40+'Franklin American'!D40+'Franklin Protective'!D40+'George Washington'!D40+'Golden State'!D40+'Guarantee Security'!D40+Imerica!D40+'Inter-American'!D40+'International Fin'!D40+'Investment Life of America'!D40+'Investors Equity'!D40+'Kentucky Central'!D40+Legion!D40+'London Pac'!D40+'Medical Savings'!D40+'Midwest Life'!D40+'Mutual Benefit'!D40+'Mutual Security'!D40+'National Affiliated'!D40+'Natl American'!D40+'National Heritage'!D40+'New Jersey Life'!D40+'Old Colony Life'!D40+'Old Faithful'!D40+'Pacific Standard'!D40+SeeChange!D40+'States General'!D40+Statesman!D40+'Summit National'!D40+Supreme!D40+Underwriters!D40+Unison!D40+'United Republic'!D40+Universe!D40+Villanova!D40</f>
        <v>1210558.2201878806</v>
      </c>
      <c r="E40" s="1">
        <f>+'Alabama Life'!E40+'American Chambers'!E40+'American Educators'!E40+'American Integrity'!E40+'Amer Life Asr'!E40+'American Medical'!E40+'Amer Std Life Acc'!E40+AmerWstrn!E40+'AMS Life'!E40+'Andrew Jackson'!E40+'Bankers Commercial'!E40+Benicorp!E40+Centennial!E40+'Coastal States'!E40+'Confed Life (CLIC)'!E40+'Consolidated National'!E40+'Consumers Mutual'!E40+'Consumers United'!E40+'Corporate Life'!E40+'Diamond Benefits'!E40+'EBL Life'!E40+'Family Guaranty'!E40+'Farmers &amp; Ranchers'!E40+'Fidelity Bankers'!E40+'First Natl'!E40+'Franklin American'!E40+'Franklin Protective'!E40+'George Washington'!E40+'Golden State'!E40+'Guarantee Security'!E40+Imerica!E40+'Inter-American'!E40+'International Fin'!E40+'Investment Life of America'!E40+'Investors Equity'!E40+'Kentucky Central'!E40+Legion!E40+'London Pac'!E40+'Medical Savings'!E40+'Midwest Life'!E40+'Mutual Benefit'!E40+'Mutual Security'!E40+'National Affiliated'!E40+'Natl American'!E40+'National Heritage'!E40+'New Jersey Life'!E40+'Old Colony Life'!E40+'Old Faithful'!E40+'Pacific Standard'!E40+SeeChange!E40+'States General'!E40+Statesman!E40+'Summit National'!E40+Supreme!E40+Underwriters!E40+Unison!E40+'United Republic'!E40+Universe!E40+Villanova!E40</f>
        <v>0</v>
      </c>
      <c r="F40" s="1">
        <f>+'Alabama Life'!F40+'American Chambers'!F40+'American Educators'!F40+'American Integrity'!F40+'Amer Life Asr'!F40+'American Medical'!F40+'Amer Std Life Acc'!F40+AmerWstrn!F40+'AMS Life'!F40+'Andrew Jackson'!F40+'Bankers Commercial'!F40+Benicorp!F40+Centennial!F40+'Coastal States'!F40+'Confed Life (CLIC)'!F40+'Consolidated National'!F40+'Consumers Mutual'!F40+'Consumers United'!F40+'Corporate Life'!F40+'Diamond Benefits'!F40+'EBL Life'!F40+'Family Guaranty'!F40+'Farmers &amp; Ranchers'!F40+'Fidelity Bankers'!F40+'First Natl'!F40+'Franklin American'!F40+'Franklin Protective'!F40+'George Washington'!F40+'Golden State'!F40+'Guarantee Security'!F40+Imerica!F40+'Inter-American'!F40+'International Fin'!F40+'Investment Life of America'!F40+'Investors Equity'!F40+'Kentucky Central'!F40+Legion!F40+'London Pac'!F40+'Medical Savings'!F40+'Midwest Life'!F40+'Mutual Benefit'!F40+'Mutual Security'!F40+'National Affiliated'!F40+'Natl American'!F40+'National Heritage'!F40+'New Jersey Life'!F40+'Old Colony Life'!F40+'Old Faithful'!F40+'Pacific Standard'!F40+SeeChange!F40+'States General'!F40+Statesman!F40+'Summit National'!F40+Supreme!F40+Underwriters!F40+Unison!F40+'United Republic'!F40+Universe!F40+Villanova!F40</f>
        <v>0</v>
      </c>
      <c r="G40" s="1">
        <f t="shared" si="2"/>
        <v>4170813.57352369</v>
      </c>
      <c r="H40" s="1">
        <f>+'Alabama Life'!G40+'American Chambers'!G40+'American Educators'!G40+'American Integrity'!G40+'Amer Life Asr'!G40+'American Medical'!G40+'Amer Std Life Acc'!G40+AmerWstrn!G40+'AMS Life'!G40+'Andrew Jackson'!G40+'Bankers Commercial'!G40+Benicorp!G40+Centennial!G40+'Coastal States'!G40+'Confed Life (CLIC)'!G40+'Consolidated National'!G40+'Consumers Mutual'!G40+'Consumers United'!G40+'Corporate Life'!G40+'Diamond Benefits'!G40+'EBL Life'!G40+'Family Guaranty'!G40+'Farmers &amp; Ranchers'!G40+'Fidelity Bankers'!G40+'First Natl'!G40+'Franklin American'!G40+'Franklin Protective'!G40+'George Washington'!G40+'Golden State'!G40+'Guarantee Security'!G40+Imerica!G40+'Inter-American'!G40+'International Fin'!G40+'Investment Life of America'!G40+'Investors Equity'!G40+'Kentucky Central'!G40+Legion!G40+'London Pac'!G40+'Medical Savings'!G40+'Midwest Life'!G40+'Mutual Benefit'!G40+'Mutual Security'!G40+'National Affiliated'!G40+'Natl American'!G40+'National Heritage'!G40+'New Jersey Life'!G40+'Old Colony Life'!G40+'Old Faithful'!G40+'Pacific Standard'!G40+SeeChange!G40+'States General'!G40+Statesman!G40+'Summit National'!G40+Supreme!G40+Underwriters!G40+Unison!G40+'United Republic'!G40+Universe!G40+Villanova!G40</f>
        <v>4170813.57352369</v>
      </c>
      <c r="I40" s="1">
        <f t="shared" si="3"/>
        <v>0</v>
      </c>
      <c r="K40" s="1" t="s">
        <v>528</v>
      </c>
      <c r="L40" s="1">
        <f>Summary!TOTAL_64874</f>
        <v>37078074.870000005</v>
      </c>
    </row>
    <row r="41" spans="1:12">
      <c r="A41" s="1" t="s">
        <v>62</v>
      </c>
      <c r="B41" s="1">
        <f>+'Alabama Life'!B41+'American Chambers'!B41+'American Educators'!B41+'American Integrity'!B41+'Amer Life Asr'!B41+'American Medical'!B41+'Amer Std Life Acc'!B41+AmerWstrn!B41+'AMS Life'!B41+'Andrew Jackson'!B41+'Bankers Commercial'!B41+Benicorp!B41+Centennial!B41+'Coastal States'!B41+'Confed Life (CLIC)'!B41+'Consolidated National'!B41+'Consumers Mutual'!B41+'Consumers United'!B41+'Corporate Life'!B41+'Diamond Benefits'!B41+'EBL Life'!B41+'Family Guaranty'!B41+'Farmers &amp; Ranchers'!B41+'Fidelity Bankers'!B41+'First Natl'!B41+'Franklin American'!B41+'Franklin Protective'!B41+'George Washington'!B41+'Golden State'!B41+'Guarantee Security'!B41+Imerica!B41+'Inter-American'!B41+'International Fin'!B41+'Investment Life of America'!B41+'Investors Equity'!B41+'Kentucky Central'!B41+Legion!B41+'London Pac'!B41+'Medical Savings'!B41+'Midwest Life'!B41+'Mutual Benefit'!B41+'Mutual Security'!B41+'National Affiliated'!B41+'Natl American'!B41+'National Heritage'!B41+'New Jersey Life'!B41+'Old Colony Life'!B41+'Old Faithful'!B41+'Pacific Standard'!B41+SeeChange!B41+'States General'!B41+Statesman!B41+'Summit National'!B41+Supreme!B41+Underwriters!B41+Unison!B41+'United Republic'!B41+Universe!B41+Villanova!B41</f>
        <v>9769635.4872992132</v>
      </c>
      <c r="C41" s="1">
        <f>+'Alabama Life'!C41+'American Chambers'!C41+'American Educators'!C41+'American Integrity'!C41+'Amer Life Asr'!C41+'American Medical'!C41+'Amer Std Life Acc'!C41+AmerWstrn!C41+'AMS Life'!C41+'Andrew Jackson'!C41+'Bankers Commercial'!C41+Benicorp!C41+Centennial!C41+'Coastal States'!C41+'Confed Life (CLIC)'!C41+'Consolidated National'!C41+'Consumers Mutual'!C41+'Consumers United'!C41+'Corporate Life'!C41+'Diamond Benefits'!C41+'EBL Life'!C41+'Family Guaranty'!C41+'Farmers &amp; Ranchers'!C41+'Fidelity Bankers'!C41+'First Natl'!C41+'Franklin American'!C41+'Franklin Protective'!C41+'George Washington'!C41+'Golden State'!C41+'Guarantee Security'!C41+Imerica!C41+'Inter-American'!C41+'International Fin'!C41+'Investment Life of America'!C41+'Investors Equity'!C41+'Kentucky Central'!C41+Legion!C41+'London Pac'!C41+'Medical Savings'!C41+'Midwest Life'!C41+'Mutual Benefit'!C41+'Mutual Security'!C41+'National Affiliated'!C41+'Natl American'!C41+'National Heritage'!C41+'New Jersey Life'!C41+'Old Colony Life'!C41+'Old Faithful'!C41+'Pacific Standard'!C41+SeeChange!C41+'States General'!C41+Statesman!C41+'Summit National'!C41+Supreme!C41+Underwriters!C41+Unison!C41+'United Republic'!C41+Universe!C41+Villanova!C41</f>
        <v>19796892.807808839</v>
      </c>
      <c r="D41" s="1">
        <f>+'Alabama Life'!D41+'American Chambers'!D41+'American Educators'!D41+'American Integrity'!D41+'Amer Life Asr'!D41+'American Medical'!D41+'Amer Std Life Acc'!D41+AmerWstrn!D41+'AMS Life'!D41+'Andrew Jackson'!D41+'Bankers Commercial'!D41+Benicorp!D41+Centennial!D41+'Coastal States'!D41+'Confed Life (CLIC)'!D41+'Consolidated National'!D41+'Consumers Mutual'!D41+'Consumers United'!D41+'Corporate Life'!D41+'Diamond Benefits'!D41+'EBL Life'!D41+'Family Guaranty'!D41+'Farmers &amp; Ranchers'!D41+'Fidelity Bankers'!D41+'First Natl'!D41+'Franklin American'!D41+'Franklin Protective'!D41+'George Washington'!D41+'Golden State'!D41+'Guarantee Security'!D41+Imerica!D41+'Inter-American'!D41+'International Fin'!D41+'Investment Life of America'!D41+'Investors Equity'!D41+'Kentucky Central'!D41+Legion!D41+'London Pac'!D41+'Medical Savings'!D41+'Midwest Life'!D41+'Mutual Benefit'!D41+'Mutual Security'!D41+'National Affiliated'!D41+'Natl American'!D41+'National Heritage'!D41+'New Jersey Life'!D41+'Old Colony Life'!D41+'Old Faithful'!D41+'Pacific Standard'!D41+SeeChange!D41+'States General'!D41+Statesman!D41+'Summit National'!D41+Supreme!D41+Underwriters!D41+Unison!D41+'United Republic'!D41+Universe!D41+Villanova!D41</f>
        <v>8608160.1310358439</v>
      </c>
      <c r="E41" s="1">
        <f>+'Alabama Life'!E41+'American Chambers'!E41+'American Educators'!E41+'American Integrity'!E41+'Amer Life Asr'!E41+'American Medical'!E41+'Amer Std Life Acc'!E41+AmerWstrn!E41+'AMS Life'!E41+'Andrew Jackson'!E41+'Bankers Commercial'!E41+Benicorp!E41+Centennial!E41+'Coastal States'!E41+'Confed Life (CLIC)'!E41+'Consolidated National'!E41+'Consumers Mutual'!E41+'Consumers United'!E41+'Corporate Life'!E41+'Diamond Benefits'!E41+'EBL Life'!E41+'Family Guaranty'!E41+'Farmers &amp; Ranchers'!E41+'Fidelity Bankers'!E41+'First Natl'!E41+'Franklin American'!E41+'Franklin Protective'!E41+'George Washington'!E41+'Golden State'!E41+'Guarantee Security'!E41+Imerica!E41+'Inter-American'!E41+'International Fin'!E41+'Investment Life of America'!E41+'Investors Equity'!E41+'Kentucky Central'!E41+Legion!E41+'London Pac'!E41+'Medical Savings'!E41+'Midwest Life'!E41+'Mutual Benefit'!E41+'Mutual Security'!E41+'National Affiliated'!E41+'Natl American'!E41+'National Heritage'!E41+'New Jersey Life'!E41+'Old Colony Life'!E41+'Old Faithful'!E41+'Pacific Standard'!E41+SeeChange!E41+'States General'!E41+Statesman!E41+'Summit National'!E41+Supreme!E41+Underwriters!E41+Unison!E41+'United Republic'!E41+Universe!E41+Villanova!E41</f>
        <v>486636.95491450676</v>
      </c>
      <c r="F41" s="1">
        <f>+'Alabama Life'!F41+'American Chambers'!F41+'American Educators'!F41+'American Integrity'!F41+'Amer Life Asr'!F41+'American Medical'!F41+'Amer Std Life Acc'!F41+AmerWstrn!F41+'AMS Life'!F41+'Andrew Jackson'!F41+'Bankers Commercial'!F41+Benicorp!F41+Centennial!F41+'Coastal States'!F41+'Confed Life (CLIC)'!F41+'Consolidated National'!F41+'Consumers Mutual'!F41+'Consumers United'!F41+'Corporate Life'!F41+'Diamond Benefits'!F41+'EBL Life'!F41+'Family Guaranty'!F41+'Farmers &amp; Ranchers'!F41+'Fidelity Bankers'!F41+'First Natl'!F41+'Franklin American'!F41+'Franklin Protective'!F41+'George Washington'!F41+'Golden State'!F41+'Guarantee Security'!F41+Imerica!F41+'Inter-American'!F41+'International Fin'!F41+'Investment Life of America'!F41+'Investors Equity'!F41+'Kentucky Central'!F41+Legion!F41+'London Pac'!F41+'Medical Savings'!F41+'Midwest Life'!F41+'Mutual Benefit'!F41+'Mutual Security'!F41+'National Affiliated'!F41+'Natl American'!F41+'National Heritage'!F41+'New Jersey Life'!F41+'Old Colony Life'!F41+'Old Faithful'!F41+'Pacific Standard'!F41+SeeChange!F41+'States General'!F41+Statesman!F41+'Summit National'!F41+Supreme!F41+Underwriters!F41+Unison!F41+'United Republic'!F41+Universe!F41+Villanova!F41</f>
        <v>0</v>
      </c>
      <c r="G41" s="1">
        <f t="shared" si="2"/>
        <v>38661325.381058402</v>
      </c>
      <c r="H41" s="1">
        <f>+'Alabama Life'!G41+'American Chambers'!G41+'American Educators'!G41+'American Integrity'!G41+'Amer Life Asr'!G41+'American Medical'!G41+'Amer Std Life Acc'!G41+AmerWstrn!G41+'AMS Life'!G41+'Andrew Jackson'!G41+'Bankers Commercial'!G41+Benicorp!G41+Centennial!G41+'Coastal States'!G41+'Confed Life (CLIC)'!G41+'Consolidated National'!G41+'Consumers Mutual'!G41+'Consumers United'!G41+'Corporate Life'!G41+'Diamond Benefits'!G41+'EBL Life'!G41+'Family Guaranty'!G41+'Farmers &amp; Ranchers'!G41+'Fidelity Bankers'!G41+'First Natl'!G41+'Franklin American'!G41+'Franklin Protective'!G41+'George Washington'!G41+'Golden State'!G41+'Guarantee Security'!G41+Imerica!G41+'Inter-American'!G41+'International Fin'!G41+'Investment Life of America'!G41+'Investors Equity'!G41+'Kentucky Central'!G41+Legion!G41+'London Pac'!G41+'Medical Savings'!G41+'Midwest Life'!G41+'Mutual Benefit'!G41+'Mutual Security'!G41+'National Affiliated'!G41+'Natl American'!G41+'National Heritage'!G41+'New Jersey Life'!G41+'Old Colony Life'!G41+'Old Faithful'!G41+'Pacific Standard'!G41+SeeChange!G41+'States General'!G41+Statesman!G41+'Summit National'!G41+Supreme!G41+Underwriters!G41+Unison!G41+'United Republic'!G41+Universe!G41+Villanova!G41</f>
        <v>38661325.381058402</v>
      </c>
      <c r="I41" s="1">
        <f t="shared" si="3"/>
        <v>0</v>
      </c>
      <c r="K41" s="1" t="s">
        <v>535</v>
      </c>
      <c r="L41" s="1">
        <f>Summary!TOTAL_65188</f>
        <v>-12501289.675266903</v>
      </c>
    </row>
    <row r="42" spans="1:12">
      <c r="A42" s="1" t="s">
        <v>63</v>
      </c>
      <c r="B42" s="1">
        <f>+'Alabama Life'!B42+'American Chambers'!B42+'American Educators'!B42+'American Integrity'!B42+'Amer Life Asr'!B42+'American Medical'!B42+'Amer Std Life Acc'!B42+AmerWstrn!B42+'AMS Life'!B42+'Andrew Jackson'!B42+'Bankers Commercial'!B42+Benicorp!B42+Centennial!B42+'Coastal States'!B42+'Confed Life (CLIC)'!B42+'Consolidated National'!B42+'Consumers Mutual'!B42+'Consumers United'!B42+'Corporate Life'!B42+'Diamond Benefits'!B42+'EBL Life'!B42+'Family Guaranty'!B42+'Farmers &amp; Ranchers'!B42+'Fidelity Bankers'!B42+'First Natl'!B42+'Franklin American'!B42+'Franklin Protective'!B42+'George Washington'!B42+'Golden State'!B42+'Guarantee Security'!B42+Imerica!B42+'Inter-American'!B42+'International Fin'!B42+'Investment Life of America'!B42+'Investors Equity'!B42+'Kentucky Central'!B42+Legion!B42+'London Pac'!B42+'Medical Savings'!B42+'Midwest Life'!B42+'Mutual Benefit'!B42+'Mutual Security'!B42+'National Affiliated'!B42+'Natl American'!B42+'National Heritage'!B42+'New Jersey Life'!B42+'Old Colony Life'!B42+'Old Faithful'!B42+'Pacific Standard'!B42+SeeChange!B42+'States General'!B42+Statesman!B42+'Summit National'!B42+Supreme!B42+Underwriters!B42+Unison!B42+'United Republic'!B42+Universe!B42+Villanova!B42</f>
        <v>10233701.772431884</v>
      </c>
      <c r="C42" s="1">
        <f>+'Alabama Life'!C42+'American Chambers'!C42+'American Educators'!C42+'American Integrity'!C42+'Amer Life Asr'!C42+'American Medical'!C42+'Amer Std Life Acc'!C42+AmerWstrn!C42+'AMS Life'!C42+'Andrew Jackson'!C42+'Bankers Commercial'!C42+Benicorp!C42+Centennial!C42+'Coastal States'!C42+'Confed Life (CLIC)'!C42+'Consolidated National'!C42+'Consumers Mutual'!C42+'Consumers United'!C42+'Corporate Life'!C42+'Diamond Benefits'!C42+'EBL Life'!C42+'Family Guaranty'!C42+'Farmers &amp; Ranchers'!C42+'Fidelity Bankers'!C42+'First Natl'!C42+'Franklin American'!C42+'Franklin Protective'!C42+'George Washington'!C42+'Golden State'!C42+'Guarantee Security'!C42+Imerica!C42+'Inter-American'!C42+'International Fin'!C42+'Investment Life of America'!C42+'Investors Equity'!C42+'Kentucky Central'!C42+Legion!C42+'London Pac'!C42+'Medical Savings'!C42+'Midwest Life'!C42+'Mutual Benefit'!C42+'Mutual Security'!C42+'National Affiliated'!C42+'Natl American'!C42+'National Heritage'!C42+'New Jersey Life'!C42+'Old Colony Life'!C42+'Old Faithful'!C42+'Pacific Standard'!C42+SeeChange!C42+'States General'!C42+Statesman!C42+'Summit National'!C42+Supreme!C42+Underwriters!C42+Unison!C42+'United Republic'!C42+Universe!C42+Villanova!C42</f>
        <v>15578750.57782609</v>
      </c>
      <c r="D42" s="1">
        <f>+'Alabama Life'!D42+'American Chambers'!D42+'American Educators'!D42+'American Integrity'!D42+'Amer Life Asr'!D42+'American Medical'!D42+'Amer Std Life Acc'!D42+AmerWstrn!D42+'AMS Life'!D42+'Andrew Jackson'!D42+'Bankers Commercial'!D42+Benicorp!D42+Centennial!D42+'Coastal States'!D42+'Confed Life (CLIC)'!D42+'Consolidated National'!D42+'Consumers Mutual'!D42+'Consumers United'!D42+'Corporate Life'!D42+'Diamond Benefits'!D42+'EBL Life'!D42+'Family Guaranty'!D42+'Farmers &amp; Ranchers'!D42+'Fidelity Bankers'!D42+'First Natl'!D42+'Franklin American'!D42+'Franklin Protective'!D42+'George Washington'!D42+'Golden State'!D42+'Guarantee Security'!D42+Imerica!D42+'Inter-American'!D42+'International Fin'!D42+'Investment Life of America'!D42+'Investors Equity'!D42+'Kentucky Central'!D42+Legion!D42+'London Pac'!D42+'Medical Savings'!D42+'Midwest Life'!D42+'Mutual Benefit'!D42+'Mutual Security'!D42+'National Affiliated'!D42+'Natl American'!D42+'National Heritage'!D42+'New Jersey Life'!D42+'Old Colony Life'!D42+'Old Faithful'!D42+'Pacific Standard'!D42+SeeChange!D42+'States General'!D42+Statesman!D42+'Summit National'!D42+Supreme!D42+Underwriters!D42+Unison!D42+'United Republic'!D42+Universe!D42+Villanova!D42</f>
        <v>3297976.3982247543</v>
      </c>
      <c r="E42" s="1">
        <f>+'Alabama Life'!E42+'American Chambers'!E42+'American Educators'!E42+'American Integrity'!E42+'Amer Life Asr'!E42+'American Medical'!E42+'Amer Std Life Acc'!E42+AmerWstrn!E42+'AMS Life'!E42+'Andrew Jackson'!E42+'Bankers Commercial'!E42+Benicorp!E42+Centennial!E42+'Coastal States'!E42+'Confed Life (CLIC)'!E42+'Consolidated National'!E42+'Consumers Mutual'!E42+'Consumers United'!E42+'Corporate Life'!E42+'Diamond Benefits'!E42+'EBL Life'!E42+'Family Guaranty'!E42+'Farmers &amp; Ranchers'!E42+'Fidelity Bankers'!E42+'First Natl'!E42+'Franklin American'!E42+'Franklin Protective'!E42+'George Washington'!E42+'Golden State'!E42+'Guarantee Security'!E42+Imerica!E42+'Inter-American'!E42+'International Fin'!E42+'Investment Life of America'!E42+'Investors Equity'!E42+'Kentucky Central'!E42+Legion!E42+'London Pac'!E42+'Medical Savings'!E42+'Midwest Life'!E42+'Mutual Benefit'!E42+'Mutual Security'!E42+'National Affiliated'!E42+'Natl American'!E42+'National Heritage'!E42+'New Jersey Life'!E42+'Old Colony Life'!E42+'Old Faithful'!E42+'Pacific Standard'!E42+SeeChange!E42+'States General'!E42+Statesman!E42+'Summit National'!E42+Supreme!E42+Underwriters!E42+Unison!E42+'United Republic'!E42+Universe!E42+Villanova!E42</f>
        <v>0</v>
      </c>
      <c r="F42" s="1">
        <f>+'Alabama Life'!F42+'American Chambers'!F42+'American Educators'!F42+'American Integrity'!F42+'Amer Life Asr'!F42+'American Medical'!F42+'Amer Std Life Acc'!F42+AmerWstrn!F42+'AMS Life'!F42+'Andrew Jackson'!F42+'Bankers Commercial'!F42+Benicorp!F42+Centennial!F42+'Coastal States'!F42+'Confed Life (CLIC)'!F42+'Consolidated National'!F42+'Consumers Mutual'!F42+'Consumers United'!F42+'Corporate Life'!F42+'Diamond Benefits'!F42+'EBL Life'!F42+'Family Guaranty'!F42+'Farmers &amp; Ranchers'!F42+'Fidelity Bankers'!F42+'First Natl'!F42+'Franklin American'!F42+'Franklin Protective'!F42+'George Washington'!F42+'Golden State'!F42+'Guarantee Security'!F42+Imerica!F42+'Inter-American'!F42+'International Fin'!F42+'Investment Life of America'!F42+'Investors Equity'!F42+'Kentucky Central'!F42+Legion!F42+'London Pac'!F42+'Medical Savings'!F42+'Midwest Life'!F42+'Mutual Benefit'!F42+'Mutual Security'!F42+'National Affiliated'!F42+'Natl American'!F42+'National Heritage'!F42+'New Jersey Life'!F42+'Old Colony Life'!F42+'Old Faithful'!F42+'Pacific Standard'!F42+SeeChange!F42+'States General'!F42+Statesman!F42+'Summit National'!F42+Supreme!F42+Underwriters!F42+Unison!F42+'United Republic'!F42+Universe!F42+Villanova!F42</f>
        <v>0</v>
      </c>
      <c r="G42" s="1">
        <f t="shared" si="2"/>
        <v>29110428.748482727</v>
      </c>
      <c r="H42" s="1">
        <f>+'Alabama Life'!G42+'American Chambers'!G42+'American Educators'!G42+'American Integrity'!G42+'Amer Life Asr'!G42+'American Medical'!G42+'Amer Std Life Acc'!G42+AmerWstrn!G42+'AMS Life'!G42+'Andrew Jackson'!G42+'Bankers Commercial'!G42+Benicorp!G42+Centennial!G42+'Coastal States'!G42+'Confed Life (CLIC)'!G42+'Consolidated National'!G42+'Consumers Mutual'!G42+'Consumers United'!G42+'Corporate Life'!G42+'Diamond Benefits'!G42+'EBL Life'!G42+'Family Guaranty'!G42+'Farmers &amp; Ranchers'!G42+'Fidelity Bankers'!G42+'First Natl'!G42+'Franklin American'!G42+'Franklin Protective'!G42+'George Washington'!G42+'Golden State'!G42+'Guarantee Security'!G42+Imerica!G42+'Inter-American'!G42+'International Fin'!G42+'Investment Life of America'!G42+'Investors Equity'!G42+'Kentucky Central'!G42+Legion!G42+'London Pac'!G42+'Medical Savings'!G42+'Midwest Life'!G42+'Mutual Benefit'!G42+'Mutual Security'!G42+'National Affiliated'!G42+'Natl American'!G42+'National Heritage'!G42+'New Jersey Life'!G42+'Old Colony Life'!G42+'Old Faithful'!G42+'Pacific Standard'!G42+SeeChange!G42+'States General'!G42+Statesman!G42+'Summit National'!G42+Supreme!G42+Underwriters!G42+Unison!G42+'United Republic'!G42+Universe!G42+Villanova!G42</f>
        <v>29110428.748482734</v>
      </c>
      <c r="I42" s="1">
        <f t="shared" si="3"/>
        <v>0</v>
      </c>
      <c r="K42" s="1" t="s">
        <v>542</v>
      </c>
      <c r="L42" s="1">
        <f>Summary!TOTAL_24422</f>
        <v>410967.5164547048</v>
      </c>
    </row>
    <row r="43" spans="1:12">
      <c r="A43" s="1" t="s">
        <v>64</v>
      </c>
      <c r="B43" s="1">
        <f>+'Alabama Life'!B43+'American Chambers'!B43+'American Educators'!B43+'American Integrity'!B43+'Amer Life Asr'!B43+'American Medical'!B43+'Amer Std Life Acc'!B43+AmerWstrn!B43+'AMS Life'!B43+'Andrew Jackson'!B43+'Bankers Commercial'!B43+Benicorp!B43+Centennial!B43+'Coastal States'!B43+'Confed Life (CLIC)'!B43+'Consolidated National'!B43+'Consumers Mutual'!B43+'Consumers United'!B43+'Corporate Life'!B43+'Diamond Benefits'!B43+'EBL Life'!B43+'Family Guaranty'!B43+'Farmers &amp; Ranchers'!B43+'Fidelity Bankers'!B43+'First Natl'!B43+'Franklin American'!B43+'Franklin Protective'!B43+'George Washington'!B43+'Golden State'!B43+'Guarantee Security'!B43+Imerica!B43+'Inter-American'!B43+'International Fin'!B43+'Investment Life of America'!B43+'Investors Equity'!B43+'Kentucky Central'!B43+Legion!B43+'London Pac'!B43+'Medical Savings'!B43+'Midwest Life'!B43+'Mutual Benefit'!B43+'Mutual Security'!B43+'National Affiliated'!B43+'Natl American'!B43+'National Heritage'!B43+'New Jersey Life'!B43+'Old Colony Life'!B43+'Old Faithful'!B43+'Pacific Standard'!B43+SeeChange!B43+'States General'!B43+Statesman!B43+'Summit National'!B43+Supreme!B43+Underwriters!B43+Unison!B43+'United Republic'!B43+Universe!B43+Villanova!B43</f>
        <v>2013229.4570076186</v>
      </c>
      <c r="C43" s="1">
        <f>+'Alabama Life'!C43+'American Chambers'!C43+'American Educators'!C43+'American Integrity'!C43+'Amer Life Asr'!C43+'American Medical'!C43+'Amer Std Life Acc'!C43+AmerWstrn!C43+'AMS Life'!C43+'Andrew Jackson'!C43+'Bankers Commercial'!C43+Benicorp!C43+Centennial!C43+'Coastal States'!C43+'Confed Life (CLIC)'!C43+'Consolidated National'!C43+'Consumers Mutual'!C43+'Consumers United'!C43+'Corporate Life'!C43+'Diamond Benefits'!C43+'EBL Life'!C43+'Family Guaranty'!C43+'Farmers &amp; Ranchers'!C43+'Fidelity Bankers'!C43+'First Natl'!C43+'Franklin American'!C43+'Franklin Protective'!C43+'George Washington'!C43+'Golden State'!C43+'Guarantee Security'!C43+Imerica!C43+'Inter-American'!C43+'International Fin'!C43+'Investment Life of America'!C43+'Investors Equity'!C43+'Kentucky Central'!C43+Legion!C43+'London Pac'!C43+'Medical Savings'!C43+'Midwest Life'!C43+'Mutual Benefit'!C43+'Mutual Security'!C43+'National Affiliated'!C43+'Natl American'!C43+'National Heritage'!C43+'New Jersey Life'!C43+'Old Colony Life'!C43+'Old Faithful'!C43+'Pacific Standard'!C43+SeeChange!C43+'States General'!C43+Statesman!C43+'Summit National'!C43+Supreme!C43+Underwriters!C43+Unison!C43+'United Republic'!C43+Universe!C43+Villanova!C43</f>
        <v>2563492.5500622415</v>
      </c>
      <c r="D43" s="1">
        <f>+'Alabama Life'!D43+'American Chambers'!D43+'American Educators'!D43+'American Integrity'!D43+'Amer Life Asr'!D43+'American Medical'!D43+'Amer Std Life Acc'!D43+AmerWstrn!D43+'AMS Life'!D43+'Andrew Jackson'!D43+'Bankers Commercial'!D43+Benicorp!D43+Centennial!D43+'Coastal States'!D43+'Confed Life (CLIC)'!D43+'Consolidated National'!D43+'Consumers Mutual'!D43+'Consumers United'!D43+'Corporate Life'!D43+'Diamond Benefits'!D43+'EBL Life'!D43+'Family Guaranty'!D43+'Farmers &amp; Ranchers'!D43+'Fidelity Bankers'!D43+'First Natl'!D43+'Franklin American'!D43+'Franklin Protective'!D43+'George Washington'!D43+'Golden State'!D43+'Guarantee Security'!D43+Imerica!D43+'Inter-American'!D43+'International Fin'!D43+'Investment Life of America'!D43+'Investors Equity'!D43+'Kentucky Central'!D43+Legion!D43+'London Pac'!D43+'Medical Savings'!D43+'Midwest Life'!D43+'Mutual Benefit'!D43+'Mutual Security'!D43+'National Affiliated'!D43+'Natl American'!D43+'National Heritage'!D43+'New Jersey Life'!D43+'Old Colony Life'!D43+'Old Faithful'!D43+'Pacific Standard'!D43+SeeChange!D43+'States General'!D43+Statesman!D43+'Summit National'!D43+Supreme!D43+Underwriters!D43+Unison!D43+'United Republic'!D43+Universe!D43+Villanova!D43</f>
        <v>1124824.7124595037</v>
      </c>
      <c r="E43" s="1">
        <f>+'Alabama Life'!E43+'American Chambers'!E43+'American Educators'!E43+'American Integrity'!E43+'Amer Life Asr'!E43+'American Medical'!E43+'Amer Std Life Acc'!E43+AmerWstrn!E43+'AMS Life'!E43+'Andrew Jackson'!E43+'Bankers Commercial'!E43+Benicorp!E43+Centennial!E43+'Coastal States'!E43+'Confed Life (CLIC)'!E43+'Consolidated National'!E43+'Consumers Mutual'!E43+'Consumers United'!E43+'Corporate Life'!E43+'Diamond Benefits'!E43+'EBL Life'!E43+'Family Guaranty'!E43+'Farmers &amp; Ranchers'!E43+'Fidelity Bankers'!E43+'First Natl'!E43+'Franklin American'!E43+'Franklin Protective'!E43+'George Washington'!E43+'Golden State'!E43+'Guarantee Security'!E43+Imerica!E43+'Inter-American'!E43+'International Fin'!E43+'Investment Life of America'!E43+'Investors Equity'!E43+'Kentucky Central'!E43+Legion!E43+'London Pac'!E43+'Medical Savings'!E43+'Midwest Life'!E43+'Mutual Benefit'!E43+'Mutual Security'!E43+'National Affiliated'!E43+'Natl American'!E43+'National Heritage'!E43+'New Jersey Life'!E43+'Old Colony Life'!E43+'Old Faithful'!E43+'Pacific Standard'!E43+SeeChange!E43+'States General'!E43+Statesman!E43+'Summit National'!E43+Supreme!E43+Underwriters!E43+Unison!E43+'United Republic'!E43+Universe!E43+Villanova!E43</f>
        <v>0</v>
      </c>
      <c r="F43" s="1">
        <f>+'Alabama Life'!F43+'American Chambers'!F43+'American Educators'!F43+'American Integrity'!F43+'Amer Life Asr'!F43+'American Medical'!F43+'Amer Std Life Acc'!F43+AmerWstrn!F43+'AMS Life'!F43+'Andrew Jackson'!F43+'Bankers Commercial'!F43+Benicorp!F43+Centennial!F43+'Coastal States'!F43+'Confed Life (CLIC)'!F43+'Consolidated National'!F43+'Consumers Mutual'!F43+'Consumers United'!F43+'Corporate Life'!F43+'Diamond Benefits'!F43+'EBL Life'!F43+'Family Guaranty'!F43+'Farmers &amp; Ranchers'!F43+'Fidelity Bankers'!F43+'First Natl'!F43+'Franklin American'!F43+'Franklin Protective'!F43+'George Washington'!F43+'Golden State'!F43+'Guarantee Security'!F43+Imerica!F43+'Inter-American'!F43+'International Fin'!F43+'Investment Life of America'!F43+'Investors Equity'!F43+'Kentucky Central'!F43+Legion!F43+'London Pac'!F43+'Medical Savings'!F43+'Midwest Life'!F43+'Mutual Benefit'!F43+'Mutual Security'!F43+'National Affiliated'!F43+'Natl American'!F43+'National Heritage'!F43+'New Jersey Life'!F43+'Old Colony Life'!F43+'Old Faithful'!F43+'Pacific Standard'!F43+SeeChange!F43+'States General'!F43+Statesman!F43+'Summit National'!F43+Supreme!F43+Underwriters!F43+Unison!F43+'United Republic'!F43+Universe!F43+Villanova!F43</f>
        <v>0</v>
      </c>
      <c r="G43" s="1">
        <f t="shared" si="2"/>
        <v>5701546.7195293633</v>
      </c>
      <c r="H43" s="1">
        <f>+'Alabama Life'!G43+'American Chambers'!G43+'American Educators'!G43+'American Integrity'!G43+'Amer Life Asr'!G43+'American Medical'!G43+'Amer Std Life Acc'!G43+AmerWstrn!G43+'AMS Life'!G43+'Andrew Jackson'!G43+'Bankers Commercial'!G43+Benicorp!G43+Centennial!G43+'Coastal States'!G43+'Confed Life (CLIC)'!G43+'Consolidated National'!G43+'Consumers Mutual'!G43+'Consumers United'!G43+'Corporate Life'!G43+'Diamond Benefits'!G43+'EBL Life'!G43+'Family Guaranty'!G43+'Farmers &amp; Ranchers'!G43+'Fidelity Bankers'!G43+'First Natl'!G43+'Franklin American'!G43+'Franklin Protective'!G43+'George Washington'!G43+'Golden State'!G43+'Guarantee Security'!G43+Imerica!G43+'Inter-American'!G43+'International Fin'!G43+'Investment Life of America'!G43+'Investors Equity'!G43+'Kentucky Central'!G43+Legion!G43+'London Pac'!G43+'Medical Savings'!G43+'Midwest Life'!G43+'Mutual Benefit'!G43+'Mutual Security'!G43+'National Affiliated'!G43+'Natl American'!G43+'National Heritage'!G43+'New Jersey Life'!G43+'Old Colony Life'!G43+'Old Faithful'!G43+'Pacific Standard'!G43+SeeChange!G43+'States General'!G43+Statesman!G43+'Summit National'!G43+Supreme!G43+Underwriters!G43+Unison!G43+'United Republic'!G43+Universe!G43+Villanova!G43</f>
        <v>5701546.7195293643</v>
      </c>
      <c r="I43" s="1">
        <f t="shared" si="3"/>
        <v>0</v>
      </c>
      <c r="K43" s="1" t="s">
        <v>547</v>
      </c>
      <c r="L43" s="1">
        <f>Summary!TOTAL_68934</f>
        <v>96324078.240000188</v>
      </c>
    </row>
    <row r="44" spans="1:12">
      <c r="A44" s="1" t="s">
        <v>65</v>
      </c>
      <c r="B44" s="1">
        <f>+'Alabama Life'!B44+'American Chambers'!B44+'American Educators'!B44+'American Integrity'!B44+'Amer Life Asr'!B44+'American Medical'!B44+'Amer Std Life Acc'!B44+AmerWstrn!B44+'AMS Life'!B44+'Andrew Jackson'!B44+'Bankers Commercial'!B44+Benicorp!B44+Centennial!B44+'Coastal States'!B44+'Confed Life (CLIC)'!B44+'Consolidated National'!B44+'Consumers Mutual'!B44+'Consumers United'!B44+'Corporate Life'!B44+'Diamond Benefits'!B44+'EBL Life'!B44+'Family Guaranty'!B44+'Farmers &amp; Ranchers'!B44+'Fidelity Bankers'!B44+'First Natl'!B44+'Franklin American'!B44+'Franklin Protective'!B44+'George Washington'!B44+'Golden State'!B44+'Guarantee Security'!B44+Imerica!B44+'Inter-American'!B44+'International Fin'!B44+'Investment Life of America'!B44+'Investors Equity'!B44+'Kentucky Central'!B44+Legion!B44+'London Pac'!B44+'Medical Savings'!B44+'Midwest Life'!B44+'Mutual Benefit'!B44+'Mutual Security'!B44+'National Affiliated'!B44+'Natl American'!B44+'National Heritage'!B44+'New Jersey Life'!B44+'Old Colony Life'!B44+'Old Faithful'!B44+'Pacific Standard'!B44+SeeChange!B44+'States General'!B44+Statesman!B44+'Summit National'!B44+Supreme!B44+Underwriters!B44+Unison!B44+'United Republic'!B44+Universe!B44+Villanova!B44</f>
        <v>23596243.107326627</v>
      </c>
      <c r="C44" s="1">
        <f>+'Alabama Life'!C44+'American Chambers'!C44+'American Educators'!C44+'American Integrity'!C44+'Amer Life Asr'!C44+'American Medical'!C44+'Amer Std Life Acc'!C44+AmerWstrn!C44+'AMS Life'!C44+'Andrew Jackson'!C44+'Bankers Commercial'!C44+Benicorp!C44+Centennial!C44+'Coastal States'!C44+'Confed Life (CLIC)'!C44+'Consolidated National'!C44+'Consumers Mutual'!C44+'Consumers United'!C44+'Corporate Life'!C44+'Diamond Benefits'!C44+'EBL Life'!C44+'Family Guaranty'!C44+'Farmers &amp; Ranchers'!C44+'Fidelity Bankers'!C44+'First Natl'!C44+'Franklin American'!C44+'Franklin Protective'!C44+'George Washington'!C44+'Golden State'!C44+'Guarantee Security'!C44+Imerica!C44+'Inter-American'!C44+'International Fin'!C44+'Investment Life of America'!C44+'Investors Equity'!C44+'Kentucky Central'!C44+Legion!C44+'London Pac'!C44+'Medical Savings'!C44+'Midwest Life'!C44+'Mutual Benefit'!C44+'Mutual Security'!C44+'National Affiliated'!C44+'Natl American'!C44+'National Heritage'!C44+'New Jersey Life'!C44+'Old Colony Life'!C44+'Old Faithful'!C44+'Pacific Standard'!C44+SeeChange!C44+'States General'!C44+Statesman!C44+'Summit National'!C44+Supreme!C44+Underwriters!C44+Unison!C44+'United Republic'!C44+Universe!C44+Villanova!C44</f>
        <v>181115526.44782668</v>
      </c>
      <c r="D44" s="1">
        <f>+'Alabama Life'!D44+'American Chambers'!D44+'American Educators'!D44+'American Integrity'!D44+'Amer Life Asr'!D44+'American Medical'!D44+'Amer Std Life Acc'!D44+AmerWstrn!D44+'AMS Life'!D44+'Andrew Jackson'!D44+'Bankers Commercial'!D44+Benicorp!D44+Centennial!D44+'Coastal States'!D44+'Confed Life (CLIC)'!D44+'Consolidated National'!D44+'Consumers Mutual'!D44+'Consumers United'!D44+'Corporate Life'!D44+'Diamond Benefits'!D44+'EBL Life'!D44+'Family Guaranty'!D44+'Farmers &amp; Ranchers'!D44+'Fidelity Bankers'!D44+'First Natl'!D44+'Franklin American'!D44+'Franklin Protective'!D44+'George Washington'!D44+'Golden State'!D44+'Guarantee Security'!D44+Imerica!D44+'Inter-American'!D44+'International Fin'!D44+'Investment Life of America'!D44+'Investors Equity'!D44+'Kentucky Central'!D44+Legion!D44+'London Pac'!D44+'Medical Savings'!D44+'Midwest Life'!D44+'Mutual Benefit'!D44+'Mutual Security'!D44+'National Affiliated'!D44+'Natl American'!D44+'National Heritage'!D44+'New Jersey Life'!D44+'Old Colony Life'!D44+'Old Faithful'!D44+'Pacific Standard'!D44+SeeChange!D44+'States General'!D44+Statesman!D44+'Summit National'!D44+Supreme!D44+Underwriters!D44+Unison!D44+'United Republic'!D44+Universe!D44+Villanova!D44</f>
        <v>622072.76478119451</v>
      </c>
      <c r="E44" s="1">
        <f>+'Alabama Life'!E44+'American Chambers'!E44+'American Educators'!E44+'American Integrity'!E44+'Amer Life Asr'!E44+'American Medical'!E44+'Amer Std Life Acc'!E44+AmerWstrn!E44+'AMS Life'!E44+'Andrew Jackson'!E44+'Bankers Commercial'!E44+Benicorp!E44+Centennial!E44+'Coastal States'!E44+'Confed Life (CLIC)'!E44+'Consolidated National'!E44+'Consumers Mutual'!E44+'Consumers United'!E44+'Corporate Life'!E44+'Diamond Benefits'!E44+'EBL Life'!E44+'Family Guaranty'!E44+'Farmers &amp; Ranchers'!E44+'Fidelity Bankers'!E44+'First Natl'!E44+'Franklin American'!E44+'Franklin Protective'!E44+'George Washington'!E44+'Golden State'!E44+'Guarantee Security'!E44+Imerica!E44+'Inter-American'!E44+'International Fin'!E44+'Investment Life of America'!E44+'Investors Equity'!E44+'Kentucky Central'!E44+Legion!E44+'London Pac'!E44+'Medical Savings'!E44+'Midwest Life'!E44+'Mutual Benefit'!E44+'Mutual Security'!E44+'National Affiliated'!E44+'Natl American'!E44+'National Heritage'!E44+'New Jersey Life'!E44+'Old Colony Life'!E44+'Old Faithful'!E44+'Pacific Standard'!E44+SeeChange!E44+'States General'!E44+Statesman!E44+'Summit National'!E44+Supreme!E44+Underwriters!E44+Unison!E44+'United Republic'!E44+Universe!E44+Villanova!E44</f>
        <v>1528919.5140483719</v>
      </c>
      <c r="F44" s="1">
        <f>+'Alabama Life'!F44+'American Chambers'!F44+'American Educators'!F44+'American Integrity'!F44+'Amer Life Asr'!F44+'American Medical'!F44+'Amer Std Life Acc'!F44+AmerWstrn!F44+'AMS Life'!F44+'Andrew Jackson'!F44+'Bankers Commercial'!F44+Benicorp!F44+Centennial!F44+'Coastal States'!F44+'Confed Life (CLIC)'!F44+'Consolidated National'!F44+'Consumers Mutual'!F44+'Consumers United'!F44+'Corporate Life'!F44+'Diamond Benefits'!F44+'EBL Life'!F44+'Family Guaranty'!F44+'Farmers &amp; Ranchers'!F44+'Fidelity Bankers'!F44+'First Natl'!F44+'Franklin American'!F44+'Franklin Protective'!F44+'George Washington'!F44+'Golden State'!F44+'Guarantee Security'!F44+Imerica!F44+'Inter-American'!F44+'International Fin'!F44+'Investment Life of America'!F44+'Investors Equity'!F44+'Kentucky Central'!F44+Legion!F44+'London Pac'!F44+'Medical Savings'!F44+'Midwest Life'!F44+'Mutual Benefit'!F44+'Mutual Security'!F44+'National Affiliated'!F44+'Natl American'!F44+'National Heritage'!F44+'New Jersey Life'!F44+'Old Colony Life'!F44+'Old Faithful'!F44+'Pacific Standard'!F44+SeeChange!F44+'States General'!F44+Statesman!F44+'Summit National'!F44+Supreme!F44+Underwriters!F44+Unison!F44+'United Republic'!F44+Universe!F44+Villanova!F44</f>
        <v>0</v>
      </c>
      <c r="G44" s="1">
        <f t="shared" si="2"/>
        <v>206862761.83398288</v>
      </c>
      <c r="H44" s="1">
        <f>+'Alabama Life'!G44+'American Chambers'!G44+'American Educators'!G44+'American Integrity'!G44+'Amer Life Asr'!G44+'American Medical'!G44+'Amer Std Life Acc'!G44+AmerWstrn!G44+'AMS Life'!G44+'Andrew Jackson'!G44+'Bankers Commercial'!G44+Benicorp!G44+Centennial!G44+'Coastal States'!G44+'Confed Life (CLIC)'!G44+'Consolidated National'!G44+'Consumers Mutual'!G44+'Consumers United'!G44+'Corporate Life'!G44+'Diamond Benefits'!G44+'EBL Life'!G44+'Family Guaranty'!G44+'Farmers &amp; Ranchers'!G44+'Fidelity Bankers'!G44+'First Natl'!G44+'Franklin American'!G44+'Franklin Protective'!G44+'George Washington'!G44+'Golden State'!G44+'Guarantee Security'!G44+Imerica!G44+'Inter-American'!G44+'International Fin'!G44+'Investment Life of America'!G44+'Investors Equity'!G44+'Kentucky Central'!G44+Legion!G44+'London Pac'!G44+'Medical Savings'!G44+'Midwest Life'!G44+'Mutual Benefit'!G44+'Mutual Security'!G44+'National Affiliated'!G44+'Natl American'!G44+'National Heritage'!G44+'New Jersey Life'!G44+'Old Colony Life'!G44+'Old Faithful'!G44+'Pacific Standard'!G44+SeeChange!G44+'States General'!G44+Statesman!G44+'Summit National'!G44+Supreme!G44+Underwriters!G44+Unison!G44+'United Republic'!G44+Universe!G44+Villanova!G44</f>
        <v>206862761.83398291</v>
      </c>
      <c r="I44" s="1">
        <f t="shared" si="3"/>
        <v>0</v>
      </c>
      <c r="K44" s="1" t="s">
        <v>553</v>
      </c>
      <c r="L44" s="1">
        <f>Summary!TOTAL_74217A</f>
        <v>25705698.670000002</v>
      </c>
    </row>
    <row r="45" spans="1:12">
      <c r="A45" s="1" t="s">
        <v>66</v>
      </c>
      <c r="B45" s="1">
        <f>+'Alabama Life'!B45+'American Chambers'!B45+'American Educators'!B45+'American Integrity'!B45+'Amer Life Asr'!B45+'American Medical'!B45+'Amer Std Life Acc'!B45+AmerWstrn!B45+'AMS Life'!B45+'Andrew Jackson'!B45+'Bankers Commercial'!B45+Benicorp!B45+Centennial!B45+'Coastal States'!B45+'Confed Life (CLIC)'!B45+'Consolidated National'!B45+'Consumers Mutual'!B45+'Consumers United'!B45+'Corporate Life'!B45+'Diamond Benefits'!B45+'EBL Life'!B45+'Family Guaranty'!B45+'Farmers &amp; Ranchers'!B45+'Fidelity Bankers'!B45+'First Natl'!B45+'Franklin American'!B45+'Franklin Protective'!B45+'George Washington'!B45+'Golden State'!B45+'Guarantee Security'!B45+Imerica!B45+'Inter-American'!B45+'International Fin'!B45+'Investment Life of America'!B45+'Investors Equity'!B45+'Kentucky Central'!B45+Legion!B45+'London Pac'!B45+'Medical Savings'!B45+'Midwest Life'!B45+'Mutual Benefit'!B45+'Mutual Security'!B45+'National Affiliated'!B45+'Natl American'!B45+'National Heritage'!B45+'New Jersey Life'!B45+'Old Colony Life'!B45+'Old Faithful'!B45+'Pacific Standard'!B45+SeeChange!B45+'States General'!B45+Statesman!B45+'Summit National'!B45+Supreme!B45+Underwriters!B45+Unison!B45+'United Republic'!B45+Universe!B45+Villanova!B45</f>
        <v>48209.837063656196</v>
      </c>
      <c r="C45" s="1">
        <f>+'Alabama Life'!C45+'American Chambers'!C45+'American Educators'!C45+'American Integrity'!C45+'Amer Life Asr'!C45+'American Medical'!C45+'Amer Std Life Acc'!C45+AmerWstrn!C45+'AMS Life'!C45+'Andrew Jackson'!C45+'Bankers Commercial'!C45+Benicorp!C45+Centennial!C45+'Coastal States'!C45+'Confed Life (CLIC)'!C45+'Consolidated National'!C45+'Consumers Mutual'!C45+'Consumers United'!C45+'Corporate Life'!C45+'Diamond Benefits'!C45+'EBL Life'!C45+'Family Guaranty'!C45+'Farmers &amp; Ranchers'!C45+'Fidelity Bankers'!C45+'First Natl'!C45+'Franklin American'!C45+'Franklin Protective'!C45+'George Washington'!C45+'Golden State'!C45+'Guarantee Security'!C45+Imerica!C45+'Inter-American'!C45+'International Fin'!C45+'Investment Life of America'!C45+'Investors Equity'!C45+'Kentucky Central'!C45+Legion!C45+'London Pac'!C45+'Medical Savings'!C45+'Midwest Life'!C45+'Mutual Benefit'!C45+'Mutual Security'!C45+'National Affiliated'!C45+'Natl American'!C45+'National Heritage'!C45+'New Jersey Life'!C45+'Old Colony Life'!C45+'Old Faithful'!C45+'Pacific Standard'!C45+SeeChange!C45+'States General'!C45+Statesman!C45+'Summit National'!C45+Supreme!C45+Underwriters!C45+Unison!C45+'United Republic'!C45+Universe!C45+Villanova!C45</f>
        <v>-29.597756015416877</v>
      </c>
      <c r="D45" s="1">
        <f>+'Alabama Life'!D45+'American Chambers'!D45+'American Educators'!D45+'American Integrity'!D45+'Amer Life Asr'!D45+'American Medical'!D45+'Amer Std Life Acc'!D45+AmerWstrn!D45+'AMS Life'!D45+'Andrew Jackson'!D45+'Bankers Commercial'!D45+Benicorp!D45+Centennial!D45+'Coastal States'!D45+'Confed Life (CLIC)'!D45+'Consolidated National'!D45+'Consumers Mutual'!D45+'Consumers United'!D45+'Corporate Life'!D45+'Diamond Benefits'!D45+'EBL Life'!D45+'Family Guaranty'!D45+'Farmers &amp; Ranchers'!D45+'Fidelity Bankers'!D45+'First Natl'!D45+'Franklin American'!D45+'Franklin Protective'!D45+'George Washington'!D45+'Golden State'!D45+'Guarantee Security'!D45+Imerica!D45+'Inter-American'!D45+'International Fin'!D45+'Investment Life of America'!D45+'Investors Equity'!D45+'Kentucky Central'!D45+Legion!D45+'London Pac'!D45+'Medical Savings'!D45+'Midwest Life'!D45+'Mutual Benefit'!D45+'Mutual Security'!D45+'National Affiliated'!D45+'Natl American'!D45+'National Heritage'!D45+'New Jersey Life'!D45+'Old Colony Life'!D45+'Old Faithful'!D45+'Pacific Standard'!D45+SeeChange!D45+'States General'!D45+Statesman!D45+'Summit National'!D45+Supreme!D45+Underwriters!D45+Unison!D45+'United Republic'!D45+Universe!D45+Villanova!D45</f>
        <v>-7567.2698410309822</v>
      </c>
      <c r="E45" s="1">
        <f>+'Alabama Life'!E45+'American Chambers'!E45+'American Educators'!E45+'American Integrity'!E45+'Amer Life Asr'!E45+'American Medical'!E45+'Amer Std Life Acc'!E45+AmerWstrn!E45+'AMS Life'!E45+'Andrew Jackson'!E45+'Bankers Commercial'!E45+Benicorp!E45+Centennial!E45+'Coastal States'!E45+'Confed Life (CLIC)'!E45+'Consolidated National'!E45+'Consumers Mutual'!E45+'Consumers United'!E45+'Corporate Life'!E45+'Diamond Benefits'!E45+'EBL Life'!E45+'Family Guaranty'!E45+'Farmers &amp; Ranchers'!E45+'Fidelity Bankers'!E45+'First Natl'!E45+'Franklin American'!E45+'Franklin Protective'!E45+'George Washington'!E45+'Golden State'!E45+'Guarantee Security'!E45+Imerica!E45+'Inter-American'!E45+'International Fin'!E45+'Investment Life of America'!E45+'Investors Equity'!E45+'Kentucky Central'!E45+Legion!E45+'London Pac'!E45+'Medical Savings'!E45+'Midwest Life'!E45+'Mutual Benefit'!E45+'Mutual Security'!E45+'National Affiliated'!E45+'Natl American'!E45+'National Heritage'!E45+'New Jersey Life'!E45+'Old Colony Life'!E45+'Old Faithful'!E45+'Pacific Standard'!E45+SeeChange!E45+'States General'!E45+Statesman!E45+'Summit National'!E45+Supreme!E45+Underwriters!E45+Unison!E45+'United Republic'!E45+Universe!E45+Villanova!E45</f>
        <v>0</v>
      </c>
      <c r="F45" s="1">
        <f>+'Alabama Life'!F45+'American Chambers'!F45+'American Educators'!F45+'American Integrity'!F45+'Amer Life Asr'!F45+'American Medical'!F45+'Amer Std Life Acc'!F45+AmerWstrn!F45+'AMS Life'!F45+'Andrew Jackson'!F45+'Bankers Commercial'!F45+Benicorp!F45+Centennial!F45+'Coastal States'!F45+'Confed Life (CLIC)'!F45+'Consolidated National'!F45+'Consumers Mutual'!F45+'Consumers United'!F45+'Corporate Life'!F45+'Diamond Benefits'!F45+'EBL Life'!F45+'Family Guaranty'!F45+'Farmers &amp; Ranchers'!F45+'Fidelity Bankers'!F45+'First Natl'!F45+'Franklin American'!F45+'Franklin Protective'!F45+'George Washington'!F45+'Golden State'!F45+'Guarantee Security'!F45+Imerica!F45+'Inter-American'!F45+'International Fin'!F45+'Investment Life of America'!F45+'Investors Equity'!F45+'Kentucky Central'!F45+Legion!F45+'London Pac'!F45+'Medical Savings'!F45+'Midwest Life'!F45+'Mutual Benefit'!F45+'Mutual Security'!F45+'National Affiliated'!F45+'Natl American'!F45+'National Heritage'!F45+'New Jersey Life'!F45+'Old Colony Life'!F45+'Old Faithful'!F45+'Pacific Standard'!F45+SeeChange!F45+'States General'!F45+Statesman!F45+'Summit National'!F45+Supreme!F45+Underwriters!F45+Unison!F45+'United Republic'!F45+Universe!F45+Villanova!F45</f>
        <v>0</v>
      </c>
      <c r="G45" s="1">
        <f t="shared" si="2"/>
        <v>40612.9694666098</v>
      </c>
      <c r="H45" s="1">
        <f>+'Alabama Life'!G45+'American Chambers'!G45+'American Educators'!G45+'American Integrity'!G45+'Amer Life Asr'!G45+'American Medical'!G45+'Amer Std Life Acc'!G45+AmerWstrn!G45+'AMS Life'!G45+'Andrew Jackson'!G45+'Bankers Commercial'!G45+Benicorp!G45+Centennial!G45+'Coastal States'!G45+'Confed Life (CLIC)'!G45+'Consolidated National'!G45+'Consumers Mutual'!G45+'Consumers United'!G45+'Corporate Life'!G45+'Diamond Benefits'!G45+'EBL Life'!G45+'Family Guaranty'!G45+'Farmers &amp; Ranchers'!G45+'Fidelity Bankers'!G45+'First Natl'!G45+'Franklin American'!G45+'Franklin Protective'!G45+'George Washington'!G45+'Golden State'!G45+'Guarantee Security'!G45+Imerica!G45+'Inter-American'!G45+'International Fin'!G45+'Investment Life of America'!G45+'Investors Equity'!G45+'Kentucky Central'!G45+Legion!G45+'London Pac'!G45+'Medical Savings'!G45+'Midwest Life'!G45+'Mutual Benefit'!G45+'Mutual Security'!G45+'National Affiliated'!G45+'Natl American'!G45+'National Heritage'!G45+'New Jersey Life'!G45+'Old Colony Life'!G45+'Old Faithful'!G45+'Pacific Standard'!G45+SeeChange!G45+'States General'!G45+Statesman!G45+'Summit National'!G45+Supreme!G45+Underwriters!G45+Unison!G45+'United Republic'!G45+Universe!G45+Villanova!G45</f>
        <v>40612.969466609793</v>
      </c>
      <c r="I45" s="1">
        <f t="shared" si="3"/>
        <v>0</v>
      </c>
      <c r="K45" s="1" t="s">
        <v>558</v>
      </c>
      <c r="L45" s="1">
        <f>Summary!TOTAL_66060</f>
        <v>33016710.040000003</v>
      </c>
    </row>
    <row r="46" spans="1:12">
      <c r="A46" s="1" t="s">
        <v>67</v>
      </c>
      <c r="B46" s="1">
        <f>+'Alabama Life'!B46+'American Chambers'!B46+'American Educators'!B46+'American Integrity'!B46+'Amer Life Asr'!B46+'American Medical'!B46+'Amer Std Life Acc'!B46+AmerWstrn!B46+'AMS Life'!B46+'Andrew Jackson'!B46+'Bankers Commercial'!B46+Benicorp!B46+Centennial!B46+'Coastal States'!B46+'Confed Life (CLIC)'!B46+'Consolidated National'!B46+'Consumers Mutual'!B46+'Consumers United'!B46+'Corporate Life'!B46+'Diamond Benefits'!B46+'EBL Life'!B46+'Family Guaranty'!B46+'Farmers &amp; Ranchers'!B46+'Fidelity Bankers'!B46+'First Natl'!B46+'Franklin American'!B46+'Franklin Protective'!B46+'George Washington'!B46+'Golden State'!B46+'Guarantee Security'!B46+Imerica!B46+'Inter-American'!B46+'International Fin'!B46+'Investment Life of America'!B46+'Investors Equity'!B46+'Kentucky Central'!B46+Legion!B46+'London Pac'!B46+'Medical Savings'!B46+'Midwest Life'!B46+'Mutual Benefit'!B46+'Mutual Security'!B46+'National Affiliated'!B46+'Natl American'!B46+'National Heritage'!B46+'New Jersey Life'!B46+'Old Colony Life'!B46+'Old Faithful'!B46+'Pacific Standard'!B46+SeeChange!B46+'States General'!B46+Statesman!B46+'Summit National'!B46+Supreme!B46+Underwriters!B46+Unison!B46+'United Republic'!B46+Universe!B46+Villanova!B46</f>
        <v>332284.23211555998</v>
      </c>
      <c r="C46" s="1">
        <f>+'Alabama Life'!C46+'American Chambers'!C46+'American Educators'!C46+'American Integrity'!C46+'Amer Life Asr'!C46+'American Medical'!C46+'Amer Std Life Acc'!C46+AmerWstrn!C46+'AMS Life'!C46+'Andrew Jackson'!C46+'Bankers Commercial'!C46+Benicorp!C46+Centennial!C46+'Coastal States'!C46+'Confed Life (CLIC)'!C46+'Consolidated National'!C46+'Consumers Mutual'!C46+'Consumers United'!C46+'Corporate Life'!C46+'Diamond Benefits'!C46+'EBL Life'!C46+'Family Guaranty'!C46+'Farmers &amp; Ranchers'!C46+'Fidelity Bankers'!C46+'First Natl'!C46+'Franklin American'!C46+'Franklin Protective'!C46+'George Washington'!C46+'Golden State'!C46+'Guarantee Security'!C46+Imerica!C46+'Inter-American'!C46+'International Fin'!C46+'Investment Life of America'!C46+'Investors Equity'!C46+'Kentucky Central'!C46+Legion!C46+'London Pac'!C46+'Medical Savings'!C46+'Midwest Life'!C46+'Mutual Benefit'!C46+'Mutual Security'!C46+'National Affiliated'!C46+'Natl American'!C46+'National Heritage'!C46+'New Jersey Life'!C46+'Old Colony Life'!C46+'Old Faithful'!C46+'Pacific Standard'!C46+SeeChange!C46+'States General'!C46+Statesman!C46+'Summit National'!C46+Supreme!C46+Underwriters!C46+Unison!C46+'United Republic'!C46+Universe!C46+Villanova!C46</f>
        <v>250679.95421308753</v>
      </c>
      <c r="D46" s="1">
        <f>+'Alabama Life'!D46+'American Chambers'!D46+'American Educators'!D46+'American Integrity'!D46+'Amer Life Asr'!D46+'American Medical'!D46+'Amer Std Life Acc'!D46+AmerWstrn!D46+'AMS Life'!D46+'Andrew Jackson'!D46+'Bankers Commercial'!D46+Benicorp!D46+Centennial!D46+'Coastal States'!D46+'Confed Life (CLIC)'!D46+'Consolidated National'!D46+'Consumers Mutual'!D46+'Consumers United'!D46+'Corporate Life'!D46+'Diamond Benefits'!D46+'EBL Life'!D46+'Family Guaranty'!D46+'Farmers &amp; Ranchers'!D46+'Fidelity Bankers'!D46+'First Natl'!D46+'Franklin American'!D46+'Franklin Protective'!D46+'George Washington'!D46+'Golden State'!D46+'Guarantee Security'!D46+Imerica!D46+'Inter-American'!D46+'International Fin'!D46+'Investment Life of America'!D46+'Investors Equity'!D46+'Kentucky Central'!D46+Legion!D46+'London Pac'!D46+'Medical Savings'!D46+'Midwest Life'!D46+'Mutual Benefit'!D46+'Mutual Security'!D46+'National Affiliated'!D46+'Natl American'!D46+'National Heritage'!D46+'New Jersey Life'!D46+'Old Colony Life'!D46+'Old Faithful'!D46+'Pacific Standard'!D46+SeeChange!D46+'States General'!D46+Statesman!D46+'Summit National'!D46+Supreme!D46+Underwriters!D46+Unison!D46+'United Republic'!D46+Universe!D46+Villanova!D46</f>
        <v>3297.6550781680871</v>
      </c>
      <c r="E46" s="1">
        <f>+'Alabama Life'!E46+'American Chambers'!E46+'American Educators'!E46+'American Integrity'!E46+'Amer Life Asr'!E46+'American Medical'!E46+'Amer Std Life Acc'!E46+AmerWstrn!E46+'AMS Life'!E46+'Andrew Jackson'!E46+'Bankers Commercial'!E46+Benicorp!E46+Centennial!E46+'Coastal States'!E46+'Confed Life (CLIC)'!E46+'Consolidated National'!E46+'Consumers Mutual'!E46+'Consumers United'!E46+'Corporate Life'!E46+'Diamond Benefits'!E46+'EBL Life'!E46+'Family Guaranty'!E46+'Farmers &amp; Ranchers'!E46+'Fidelity Bankers'!E46+'First Natl'!E46+'Franklin American'!E46+'Franklin Protective'!E46+'George Washington'!E46+'Golden State'!E46+'Guarantee Security'!E46+Imerica!E46+'Inter-American'!E46+'International Fin'!E46+'Investment Life of America'!E46+'Investors Equity'!E46+'Kentucky Central'!E46+Legion!E46+'London Pac'!E46+'Medical Savings'!E46+'Midwest Life'!E46+'Mutual Benefit'!E46+'Mutual Security'!E46+'National Affiliated'!E46+'Natl American'!E46+'National Heritage'!E46+'New Jersey Life'!E46+'Old Colony Life'!E46+'Old Faithful'!E46+'Pacific Standard'!E46+SeeChange!E46+'States General'!E46+Statesman!E46+'Summit National'!E46+Supreme!E46+Underwriters!E46+Unison!E46+'United Republic'!E46+Universe!E46+Villanova!E46</f>
        <v>0</v>
      </c>
      <c r="F46" s="1">
        <f>+'Alabama Life'!F46+'American Chambers'!F46+'American Educators'!F46+'American Integrity'!F46+'Amer Life Asr'!F46+'American Medical'!F46+'Amer Std Life Acc'!F46+AmerWstrn!F46+'AMS Life'!F46+'Andrew Jackson'!F46+'Bankers Commercial'!F46+Benicorp!F46+Centennial!F46+'Coastal States'!F46+'Confed Life (CLIC)'!F46+'Consolidated National'!F46+'Consumers Mutual'!F46+'Consumers United'!F46+'Corporate Life'!F46+'Diamond Benefits'!F46+'EBL Life'!F46+'Family Guaranty'!F46+'Farmers &amp; Ranchers'!F46+'Fidelity Bankers'!F46+'First Natl'!F46+'Franklin American'!F46+'Franklin Protective'!F46+'George Washington'!F46+'Golden State'!F46+'Guarantee Security'!F46+Imerica!F46+'Inter-American'!F46+'International Fin'!F46+'Investment Life of America'!F46+'Investors Equity'!F46+'Kentucky Central'!F46+Legion!F46+'London Pac'!F46+'Medical Savings'!F46+'Midwest Life'!F46+'Mutual Benefit'!F46+'Mutual Security'!F46+'National Affiliated'!F46+'Natl American'!F46+'National Heritage'!F46+'New Jersey Life'!F46+'Old Colony Life'!F46+'Old Faithful'!F46+'Pacific Standard'!F46+SeeChange!F46+'States General'!F46+Statesman!F46+'Summit National'!F46+Supreme!F46+Underwriters!F46+Unison!F46+'United Republic'!F46+Universe!F46+Villanova!F46</f>
        <v>0</v>
      </c>
      <c r="G46" s="1">
        <f t="shared" si="2"/>
        <v>586261.84140681569</v>
      </c>
      <c r="H46" s="1">
        <f>+'Alabama Life'!G46+'American Chambers'!G46+'American Educators'!G46+'American Integrity'!G46+'Amer Life Asr'!G46+'American Medical'!G46+'Amer Std Life Acc'!G46+AmerWstrn!G46+'AMS Life'!G46+'Andrew Jackson'!G46+'Bankers Commercial'!G46+Benicorp!G46+Centennial!G46+'Coastal States'!G46+'Confed Life (CLIC)'!G46+'Consolidated National'!G46+'Consumers Mutual'!G46+'Consumers United'!G46+'Corporate Life'!G46+'Diamond Benefits'!G46+'EBL Life'!G46+'Family Guaranty'!G46+'Farmers &amp; Ranchers'!G46+'Fidelity Bankers'!G46+'First Natl'!G46+'Franklin American'!G46+'Franklin Protective'!G46+'George Washington'!G46+'Golden State'!G46+'Guarantee Security'!G46+Imerica!G46+'Inter-American'!G46+'International Fin'!G46+'Investment Life of America'!G46+'Investors Equity'!G46+'Kentucky Central'!G46+Legion!G46+'London Pac'!G46+'Medical Savings'!G46+'Midwest Life'!G46+'Mutual Benefit'!G46+'Mutual Security'!G46+'National Affiliated'!G46+'Natl American'!G46+'National Heritage'!G46+'New Jersey Life'!G46+'Old Colony Life'!G46+'Old Faithful'!G46+'Pacific Standard'!G46+SeeChange!G46+'States General'!G46+Statesman!G46+'Summit National'!G46+Supreme!G46+Underwriters!G46+Unison!G46+'United Republic'!G46+Universe!G46+Villanova!G46</f>
        <v>586261.84140681557</v>
      </c>
      <c r="I46" s="1">
        <f t="shared" si="3"/>
        <v>0</v>
      </c>
      <c r="K46" s="1" t="s">
        <v>565</v>
      </c>
      <c r="L46" s="1">
        <f>Summary!TOTAL_66362</f>
        <v>-1665408.4499997206</v>
      </c>
    </row>
    <row r="47" spans="1:12">
      <c r="A47" s="1" t="s">
        <v>68</v>
      </c>
      <c r="B47" s="1">
        <f>+'Alabama Life'!B47+'American Chambers'!B47+'American Educators'!B47+'American Integrity'!B47+'Amer Life Asr'!B47+'American Medical'!B47+'Amer Std Life Acc'!B47+AmerWstrn!B47+'AMS Life'!B47+'Andrew Jackson'!B47+'Bankers Commercial'!B47+Benicorp!B47+Centennial!B47+'Coastal States'!B47+'Confed Life (CLIC)'!B47+'Consolidated National'!B47+'Consumers Mutual'!B47+'Consumers United'!B47+'Corporate Life'!B47+'Diamond Benefits'!B47+'EBL Life'!B47+'Family Guaranty'!B47+'Farmers &amp; Ranchers'!B47+'Fidelity Bankers'!B47+'First Natl'!B47+'Franklin American'!B47+'Franklin Protective'!B47+'George Washington'!B47+'Golden State'!B47+'Guarantee Security'!B47+Imerica!B47+'Inter-American'!B47+'International Fin'!B47+'Investment Life of America'!B47+'Investors Equity'!B47+'Kentucky Central'!B47+Legion!B47+'London Pac'!B47+'Medical Savings'!B47+'Midwest Life'!B47+'Mutual Benefit'!B47+'Mutual Security'!B47+'National Affiliated'!B47+'Natl American'!B47+'National Heritage'!B47+'New Jersey Life'!B47+'Old Colony Life'!B47+'Old Faithful'!B47+'Pacific Standard'!B47+SeeChange!B47+'States General'!B47+Statesman!B47+'Summit National'!B47+Supreme!B47+Underwriters!B47+Unison!B47+'United Republic'!B47+Universe!B47+Villanova!B47</f>
        <v>4983991.0949983075</v>
      </c>
      <c r="C47" s="1">
        <f>+'Alabama Life'!C47+'American Chambers'!C47+'American Educators'!C47+'American Integrity'!C47+'Amer Life Asr'!C47+'American Medical'!C47+'Amer Std Life Acc'!C47+AmerWstrn!C47+'AMS Life'!C47+'Andrew Jackson'!C47+'Bankers Commercial'!C47+Benicorp!C47+Centennial!C47+'Coastal States'!C47+'Confed Life (CLIC)'!C47+'Consolidated National'!C47+'Consumers Mutual'!C47+'Consumers United'!C47+'Corporate Life'!C47+'Diamond Benefits'!C47+'EBL Life'!C47+'Family Guaranty'!C47+'Farmers &amp; Ranchers'!C47+'Fidelity Bankers'!C47+'First Natl'!C47+'Franklin American'!C47+'Franklin Protective'!C47+'George Washington'!C47+'Golden State'!C47+'Guarantee Security'!C47+Imerica!C47+'Inter-American'!C47+'International Fin'!C47+'Investment Life of America'!C47+'Investors Equity'!C47+'Kentucky Central'!C47+Legion!C47+'London Pac'!C47+'Medical Savings'!C47+'Midwest Life'!C47+'Mutual Benefit'!C47+'Mutual Security'!C47+'National Affiliated'!C47+'Natl American'!C47+'National Heritage'!C47+'New Jersey Life'!C47+'Old Colony Life'!C47+'Old Faithful'!C47+'Pacific Standard'!C47+SeeChange!C47+'States General'!C47+Statesman!C47+'Summit National'!C47+Supreme!C47+Underwriters!C47+Unison!C47+'United Republic'!C47+Universe!C47+Villanova!C47</f>
        <v>7188939.9392758785</v>
      </c>
      <c r="D47" s="1">
        <f>+'Alabama Life'!D47+'American Chambers'!D47+'American Educators'!D47+'American Integrity'!D47+'Amer Life Asr'!D47+'American Medical'!D47+'Amer Std Life Acc'!D47+AmerWstrn!D47+'AMS Life'!D47+'Andrew Jackson'!D47+'Bankers Commercial'!D47+Benicorp!D47+Centennial!D47+'Coastal States'!D47+'Confed Life (CLIC)'!D47+'Consolidated National'!D47+'Consumers Mutual'!D47+'Consumers United'!D47+'Corporate Life'!D47+'Diamond Benefits'!D47+'EBL Life'!D47+'Family Guaranty'!D47+'Farmers &amp; Ranchers'!D47+'Fidelity Bankers'!D47+'First Natl'!D47+'Franklin American'!D47+'Franklin Protective'!D47+'George Washington'!D47+'Golden State'!D47+'Guarantee Security'!D47+Imerica!D47+'Inter-American'!D47+'International Fin'!D47+'Investment Life of America'!D47+'Investors Equity'!D47+'Kentucky Central'!D47+Legion!D47+'London Pac'!D47+'Medical Savings'!D47+'Midwest Life'!D47+'Mutual Benefit'!D47+'Mutual Security'!D47+'National Affiliated'!D47+'Natl American'!D47+'National Heritage'!D47+'New Jersey Life'!D47+'Old Colony Life'!D47+'Old Faithful'!D47+'Pacific Standard'!D47+SeeChange!D47+'States General'!D47+Statesman!D47+'Summit National'!D47+Supreme!D47+Underwriters!D47+Unison!D47+'United Republic'!D47+Universe!D47+Villanova!D47</f>
        <v>2686270.6671713111</v>
      </c>
      <c r="E47" s="1">
        <f>+'Alabama Life'!E47+'American Chambers'!E47+'American Educators'!E47+'American Integrity'!E47+'Amer Life Asr'!E47+'American Medical'!E47+'Amer Std Life Acc'!E47+AmerWstrn!E47+'AMS Life'!E47+'Andrew Jackson'!E47+'Bankers Commercial'!E47+Benicorp!E47+Centennial!E47+'Coastal States'!E47+'Confed Life (CLIC)'!E47+'Consolidated National'!E47+'Consumers Mutual'!E47+'Consumers United'!E47+'Corporate Life'!E47+'Diamond Benefits'!E47+'EBL Life'!E47+'Family Guaranty'!E47+'Farmers &amp; Ranchers'!E47+'Fidelity Bankers'!E47+'First Natl'!E47+'Franklin American'!E47+'Franklin Protective'!E47+'George Washington'!E47+'Golden State'!E47+'Guarantee Security'!E47+Imerica!E47+'Inter-American'!E47+'International Fin'!E47+'Investment Life of America'!E47+'Investors Equity'!E47+'Kentucky Central'!E47+Legion!E47+'London Pac'!E47+'Medical Savings'!E47+'Midwest Life'!E47+'Mutual Benefit'!E47+'Mutual Security'!E47+'National Affiliated'!E47+'Natl American'!E47+'National Heritage'!E47+'New Jersey Life'!E47+'Old Colony Life'!E47+'Old Faithful'!E47+'Pacific Standard'!E47+SeeChange!E47+'States General'!E47+Statesman!E47+'Summit National'!E47+Supreme!E47+Underwriters!E47+Unison!E47+'United Republic'!E47+Universe!E47+Villanova!E47</f>
        <v>0</v>
      </c>
      <c r="F47" s="1">
        <f>+'Alabama Life'!F47+'American Chambers'!F47+'American Educators'!F47+'American Integrity'!F47+'Amer Life Asr'!F47+'American Medical'!F47+'Amer Std Life Acc'!F47+AmerWstrn!F47+'AMS Life'!F47+'Andrew Jackson'!F47+'Bankers Commercial'!F47+Benicorp!F47+Centennial!F47+'Coastal States'!F47+'Confed Life (CLIC)'!F47+'Consolidated National'!F47+'Consumers Mutual'!F47+'Consumers United'!F47+'Corporate Life'!F47+'Diamond Benefits'!F47+'EBL Life'!F47+'Family Guaranty'!F47+'Farmers &amp; Ranchers'!F47+'Fidelity Bankers'!F47+'First Natl'!F47+'Franklin American'!F47+'Franklin Protective'!F47+'George Washington'!F47+'Golden State'!F47+'Guarantee Security'!F47+Imerica!F47+'Inter-American'!F47+'International Fin'!F47+'Investment Life of America'!F47+'Investors Equity'!F47+'Kentucky Central'!F47+Legion!F47+'London Pac'!F47+'Medical Savings'!F47+'Midwest Life'!F47+'Mutual Benefit'!F47+'Mutual Security'!F47+'National Affiliated'!F47+'Natl American'!F47+'National Heritage'!F47+'New Jersey Life'!F47+'Old Colony Life'!F47+'Old Faithful'!F47+'Pacific Standard'!F47+SeeChange!F47+'States General'!F47+Statesman!F47+'Summit National'!F47+Supreme!F47+Underwriters!F47+Unison!F47+'United Republic'!F47+Universe!F47+Villanova!F47</f>
        <v>0</v>
      </c>
      <c r="G47" s="1">
        <f t="shared" si="2"/>
        <v>14859201.701445498</v>
      </c>
      <c r="H47" s="1">
        <f>+'Alabama Life'!G47+'American Chambers'!G47+'American Educators'!G47+'American Integrity'!G47+'Amer Life Asr'!G47+'American Medical'!G47+'Amer Std Life Acc'!G47+AmerWstrn!G47+'AMS Life'!G47+'Andrew Jackson'!G47+'Bankers Commercial'!G47+Benicorp!G47+Centennial!G47+'Coastal States'!G47+'Confed Life (CLIC)'!G47+'Consolidated National'!G47+'Consumers Mutual'!G47+'Consumers United'!G47+'Corporate Life'!G47+'Diamond Benefits'!G47+'EBL Life'!G47+'Family Guaranty'!G47+'Farmers &amp; Ranchers'!G47+'Fidelity Bankers'!G47+'First Natl'!G47+'Franklin American'!G47+'Franklin Protective'!G47+'George Washington'!G47+'Golden State'!G47+'Guarantee Security'!G47+Imerica!G47+'Inter-American'!G47+'International Fin'!G47+'Investment Life of America'!G47+'Investors Equity'!G47+'Kentucky Central'!G47+Legion!G47+'London Pac'!G47+'Medical Savings'!G47+'Midwest Life'!G47+'Mutual Benefit'!G47+'Mutual Security'!G47+'National Affiliated'!G47+'Natl American'!G47+'National Heritage'!G47+'New Jersey Life'!G47+'Old Colony Life'!G47+'Old Faithful'!G47+'Pacific Standard'!G47+SeeChange!G47+'States General'!G47+Statesman!G47+'Summit National'!G47+Supreme!G47+Underwriters!G47+Unison!G47+'United Republic'!G47+Universe!G47+Villanova!G47</f>
        <v>14859201.701445494</v>
      </c>
      <c r="I47" s="1">
        <f t="shared" si="3"/>
        <v>0</v>
      </c>
      <c r="K47" s="1" t="s">
        <v>571</v>
      </c>
      <c r="L47" s="1">
        <f>Summary!TOTAL_66400</f>
        <v>12760003.5</v>
      </c>
    </row>
    <row r="48" spans="1:12">
      <c r="A48" s="1" t="s">
        <v>69</v>
      </c>
      <c r="B48" s="1">
        <f>+'Alabama Life'!B48+'American Chambers'!B48+'American Educators'!B48+'American Integrity'!B48+'Amer Life Asr'!B48+'American Medical'!B48+'Amer Std Life Acc'!B48+AmerWstrn!B48+'AMS Life'!B48+'Andrew Jackson'!B48+'Bankers Commercial'!B48+Benicorp!B48+Centennial!B48+'Coastal States'!B48+'Confed Life (CLIC)'!B48+'Consolidated National'!B48+'Consumers Mutual'!B48+'Consumers United'!B48+'Corporate Life'!B48+'Diamond Benefits'!B48+'EBL Life'!B48+'Family Guaranty'!B48+'Farmers &amp; Ranchers'!B48+'Fidelity Bankers'!B48+'First Natl'!B48+'Franklin American'!B48+'Franklin Protective'!B48+'George Washington'!B48+'Golden State'!B48+'Guarantee Security'!B48+Imerica!B48+'Inter-American'!B48+'International Fin'!B48+'Investment Life of America'!B48+'Investors Equity'!B48+'Kentucky Central'!B48+Legion!B48+'London Pac'!B48+'Medical Savings'!B48+'Midwest Life'!B48+'Mutual Benefit'!B48+'Mutual Security'!B48+'National Affiliated'!B48+'Natl American'!B48+'National Heritage'!B48+'New Jersey Life'!B48+'Old Colony Life'!B48+'Old Faithful'!B48+'Pacific Standard'!B48+SeeChange!B48+'States General'!B48+Statesman!B48+'Summit National'!B48+Supreme!B48+Underwriters!B48+Unison!B48+'United Republic'!B48+Universe!B48+Villanova!B48</f>
        <v>747039.55130003532</v>
      </c>
      <c r="C48" s="1">
        <f>+'Alabama Life'!C48+'American Chambers'!C48+'American Educators'!C48+'American Integrity'!C48+'Amer Life Asr'!C48+'American Medical'!C48+'Amer Std Life Acc'!C48+AmerWstrn!C48+'AMS Life'!C48+'Andrew Jackson'!C48+'Bankers Commercial'!C48+Benicorp!C48+Centennial!C48+'Coastal States'!C48+'Confed Life (CLIC)'!C48+'Consolidated National'!C48+'Consumers Mutual'!C48+'Consumers United'!C48+'Corporate Life'!C48+'Diamond Benefits'!C48+'EBL Life'!C48+'Family Guaranty'!C48+'Farmers &amp; Ranchers'!C48+'Fidelity Bankers'!C48+'First Natl'!C48+'Franklin American'!C48+'Franklin Protective'!C48+'George Washington'!C48+'Golden State'!C48+'Guarantee Security'!C48+Imerica!C48+'Inter-American'!C48+'International Fin'!C48+'Investment Life of America'!C48+'Investors Equity'!C48+'Kentucky Central'!C48+Legion!C48+'London Pac'!C48+'Medical Savings'!C48+'Midwest Life'!C48+'Mutual Benefit'!C48+'Mutual Security'!C48+'National Affiliated'!C48+'Natl American'!C48+'National Heritage'!C48+'New Jersey Life'!C48+'Old Colony Life'!C48+'Old Faithful'!C48+'Pacific Standard'!C48+SeeChange!C48+'States General'!C48+Statesman!C48+'Summit National'!C48+Supreme!C48+Underwriters!C48+Unison!C48+'United Republic'!C48+Universe!C48+Villanova!C48</f>
        <v>2014679.3311224941</v>
      </c>
      <c r="D48" s="1">
        <f>+'Alabama Life'!D48+'American Chambers'!D48+'American Educators'!D48+'American Integrity'!D48+'Amer Life Asr'!D48+'American Medical'!D48+'Amer Std Life Acc'!D48+AmerWstrn!D48+'AMS Life'!D48+'Andrew Jackson'!D48+'Bankers Commercial'!D48+Benicorp!D48+Centennial!D48+'Coastal States'!D48+'Confed Life (CLIC)'!D48+'Consolidated National'!D48+'Consumers Mutual'!D48+'Consumers United'!D48+'Corporate Life'!D48+'Diamond Benefits'!D48+'EBL Life'!D48+'Family Guaranty'!D48+'Farmers &amp; Ranchers'!D48+'Fidelity Bankers'!D48+'First Natl'!D48+'Franklin American'!D48+'Franklin Protective'!D48+'George Washington'!D48+'Golden State'!D48+'Guarantee Security'!D48+Imerica!D48+'Inter-American'!D48+'International Fin'!D48+'Investment Life of America'!D48+'Investors Equity'!D48+'Kentucky Central'!D48+Legion!D48+'London Pac'!D48+'Medical Savings'!D48+'Midwest Life'!D48+'Mutual Benefit'!D48+'Mutual Security'!D48+'National Affiliated'!D48+'Natl American'!D48+'National Heritage'!D48+'New Jersey Life'!D48+'Old Colony Life'!D48+'Old Faithful'!D48+'Pacific Standard'!D48+SeeChange!D48+'States General'!D48+Statesman!D48+'Summit National'!D48+Supreme!D48+Underwriters!D48+Unison!D48+'United Republic'!D48+Universe!D48+Villanova!D48</f>
        <v>1474760.7769775661</v>
      </c>
      <c r="E48" s="1">
        <f>+'Alabama Life'!E48+'American Chambers'!E48+'American Educators'!E48+'American Integrity'!E48+'Amer Life Asr'!E48+'American Medical'!E48+'Amer Std Life Acc'!E48+AmerWstrn!E48+'AMS Life'!E48+'Andrew Jackson'!E48+'Bankers Commercial'!E48+Benicorp!E48+Centennial!E48+'Coastal States'!E48+'Confed Life (CLIC)'!E48+'Consolidated National'!E48+'Consumers Mutual'!E48+'Consumers United'!E48+'Corporate Life'!E48+'Diamond Benefits'!E48+'EBL Life'!E48+'Family Guaranty'!E48+'Farmers &amp; Ranchers'!E48+'Fidelity Bankers'!E48+'First Natl'!E48+'Franklin American'!E48+'Franklin Protective'!E48+'George Washington'!E48+'Golden State'!E48+'Guarantee Security'!E48+Imerica!E48+'Inter-American'!E48+'International Fin'!E48+'Investment Life of America'!E48+'Investors Equity'!E48+'Kentucky Central'!E48+Legion!E48+'London Pac'!E48+'Medical Savings'!E48+'Midwest Life'!E48+'Mutual Benefit'!E48+'Mutual Security'!E48+'National Affiliated'!E48+'Natl American'!E48+'National Heritage'!E48+'New Jersey Life'!E48+'Old Colony Life'!E48+'Old Faithful'!E48+'Pacific Standard'!E48+SeeChange!E48+'States General'!E48+Statesman!E48+'Summit National'!E48+Supreme!E48+Underwriters!E48+Unison!E48+'United Republic'!E48+Universe!E48+Villanova!E48</f>
        <v>0</v>
      </c>
      <c r="F48" s="1">
        <f>+'Alabama Life'!F48+'American Chambers'!F48+'American Educators'!F48+'American Integrity'!F48+'Amer Life Asr'!F48+'American Medical'!F48+'Amer Std Life Acc'!F48+AmerWstrn!F48+'AMS Life'!F48+'Andrew Jackson'!F48+'Bankers Commercial'!F48+Benicorp!F48+Centennial!F48+'Coastal States'!F48+'Confed Life (CLIC)'!F48+'Consolidated National'!F48+'Consumers Mutual'!F48+'Consumers United'!F48+'Corporate Life'!F48+'Diamond Benefits'!F48+'EBL Life'!F48+'Family Guaranty'!F48+'Farmers &amp; Ranchers'!F48+'Fidelity Bankers'!F48+'First Natl'!F48+'Franklin American'!F48+'Franklin Protective'!F48+'George Washington'!F48+'Golden State'!F48+'Guarantee Security'!F48+Imerica!F48+'Inter-American'!F48+'International Fin'!F48+'Investment Life of America'!F48+'Investors Equity'!F48+'Kentucky Central'!F48+Legion!F48+'London Pac'!F48+'Medical Savings'!F48+'Midwest Life'!F48+'Mutual Benefit'!F48+'Mutual Security'!F48+'National Affiliated'!F48+'Natl American'!F48+'National Heritage'!F48+'New Jersey Life'!F48+'Old Colony Life'!F48+'Old Faithful'!F48+'Pacific Standard'!F48+SeeChange!F48+'States General'!F48+Statesman!F48+'Summit National'!F48+Supreme!F48+Underwriters!F48+Unison!F48+'United Republic'!F48+Universe!F48+Villanova!F48</f>
        <v>0</v>
      </c>
      <c r="G48" s="1">
        <f t="shared" si="2"/>
        <v>4236479.6594000952</v>
      </c>
      <c r="H48" s="1">
        <f>+'Alabama Life'!G48+'American Chambers'!G48+'American Educators'!G48+'American Integrity'!G48+'Amer Life Asr'!G48+'American Medical'!G48+'Amer Std Life Acc'!G48+AmerWstrn!G48+'AMS Life'!G48+'Andrew Jackson'!G48+'Bankers Commercial'!G48+Benicorp!G48+Centennial!G48+'Coastal States'!G48+'Confed Life (CLIC)'!G48+'Consolidated National'!G48+'Consumers Mutual'!G48+'Consumers United'!G48+'Corporate Life'!G48+'Diamond Benefits'!G48+'EBL Life'!G48+'Family Guaranty'!G48+'Farmers &amp; Ranchers'!G48+'Fidelity Bankers'!G48+'First Natl'!G48+'Franklin American'!G48+'Franklin Protective'!G48+'George Washington'!G48+'Golden State'!G48+'Guarantee Security'!G48+Imerica!G48+'Inter-American'!G48+'International Fin'!G48+'Investment Life of America'!G48+'Investors Equity'!G48+'Kentucky Central'!G48+Legion!G48+'London Pac'!G48+'Medical Savings'!G48+'Midwest Life'!G48+'Mutual Benefit'!G48+'Mutual Security'!G48+'National Affiliated'!G48+'Natl American'!G48+'National Heritage'!G48+'New Jersey Life'!G48+'Old Colony Life'!G48+'Old Faithful'!G48+'Pacific Standard'!G48+SeeChange!G48+'States General'!G48+Statesman!G48+'Summit National'!G48+Supreme!G48+Underwriters!G48+Unison!G48+'United Republic'!G48+Universe!G48+Villanova!G48</f>
        <v>4236479.6594000943</v>
      </c>
      <c r="I48" s="1">
        <f t="shared" si="3"/>
        <v>0</v>
      </c>
      <c r="K48" s="1" t="s">
        <v>574</v>
      </c>
      <c r="L48" s="1">
        <f>Summary!TOTAL_69370</f>
        <v>1309088.152858512</v>
      </c>
    </row>
    <row r="49" spans="1:12">
      <c r="A49" s="1" t="s">
        <v>70</v>
      </c>
      <c r="B49" s="1">
        <f>+'Alabama Life'!B49+'American Chambers'!B49+'American Educators'!B49+'American Integrity'!B49+'Amer Life Asr'!B49+'American Medical'!B49+'Amer Std Life Acc'!B49+AmerWstrn!B49+'AMS Life'!B49+'Andrew Jackson'!B49+'Bankers Commercial'!B49+Benicorp!B49+Centennial!B49+'Coastal States'!B49+'Confed Life (CLIC)'!B49+'Consolidated National'!B49+'Consumers Mutual'!B49+'Consumers United'!B49+'Corporate Life'!B49+'Diamond Benefits'!B49+'EBL Life'!B49+'Family Guaranty'!B49+'Farmers &amp; Ranchers'!B49+'Fidelity Bankers'!B49+'First Natl'!B49+'Franklin American'!B49+'Franklin Protective'!B49+'George Washington'!B49+'Golden State'!B49+'Guarantee Security'!B49+Imerica!B49+'Inter-American'!B49+'International Fin'!B49+'Investment Life of America'!B49+'Investors Equity'!B49+'Kentucky Central'!B49+Legion!B49+'London Pac'!B49+'Medical Savings'!B49+'Midwest Life'!B49+'Mutual Benefit'!B49+'Mutual Security'!B49+'National Affiliated'!B49+'Natl American'!B49+'National Heritage'!B49+'New Jersey Life'!B49+'Old Colony Life'!B49+'Old Faithful'!B49+'Pacific Standard'!B49+SeeChange!B49+'States General'!B49+Statesman!B49+'Summit National'!B49+Supreme!B49+Underwriters!B49+Unison!B49+'United Republic'!B49+Universe!B49+Villanova!B49</f>
        <v>6214681.7160174567</v>
      </c>
      <c r="C49" s="1">
        <f>+'Alabama Life'!C49+'American Chambers'!C49+'American Educators'!C49+'American Integrity'!C49+'Amer Life Asr'!C49+'American Medical'!C49+'Amer Std Life Acc'!C49+AmerWstrn!C49+'AMS Life'!C49+'Andrew Jackson'!C49+'Bankers Commercial'!C49+Benicorp!C49+Centennial!C49+'Coastal States'!C49+'Confed Life (CLIC)'!C49+'Consolidated National'!C49+'Consumers Mutual'!C49+'Consumers United'!C49+'Corporate Life'!C49+'Diamond Benefits'!C49+'EBL Life'!C49+'Family Guaranty'!C49+'Farmers &amp; Ranchers'!C49+'Fidelity Bankers'!C49+'First Natl'!C49+'Franklin American'!C49+'Franklin Protective'!C49+'George Washington'!C49+'Golden State'!C49+'Guarantee Security'!C49+Imerica!C49+'Inter-American'!C49+'International Fin'!C49+'Investment Life of America'!C49+'Investors Equity'!C49+'Kentucky Central'!C49+Legion!C49+'London Pac'!C49+'Medical Savings'!C49+'Midwest Life'!C49+'Mutual Benefit'!C49+'Mutual Security'!C49+'National Affiliated'!C49+'Natl American'!C49+'National Heritage'!C49+'New Jersey Life'!C49+'Old Colony Life'!C49+'Old Faithful'!C49+'Pacific Standard'!C49+SeeChange!C49+'States General'!C49+Statesman!C49+'Summit National'!C49+Supreme!C49+Underwriters!C49+Unison!C49+'United Republic'!C49+Universe!C49+Villanova!C49</f>
        <v>12451342.512001289</v>
      </c>
      <c r="D49" s="1">
        <f>+'Alabama Life'!D49+'American Chambers'!D49+'American Educators'!D49+'American Integrity'!D49+'Amer Life Asr'!D49+'American Medical'!D49+'Amer Std Life Acc'!D49+AmerWstrn!D49+'AMS Life'!D49+'Andrew Jackson'!D49+'Bankers Commercial'!D49+Benicorp!D49+Centennial!D49+'Coastal States'!D49+'Confed Life (CLIC)'!D49+'Consolidated National'!D49+'Consumers Mutual'!D49+'Consumers United'!D49+'Corporate Life'!D49+'Diamond Benefits'!D49+'EBL Life'!D49+'Family Guaranty'!D49+'Farmers &amp; Ranchers'!D49+'Fidelity Bankers'!D49+'First Natl'!D49+'Franklin American'!D49+'Franklin Protective'!D49+'George Washington'!D49+'Golden State'!D49+'Guarantee Security'!D49+Imerica!D49+'Inter-American'!D49+'International Fin'!D49+'Investment Life of America'!D49+'Investors Equity'!D49+'Kentucky Central'!D49+Legion!D49+'London Pac'!D49+'Medical Savings'!D49+'Midwest Life'!D49+'Mutual Benefit'!D49+'Mutual Security'!D49+'National Affiliated'!D49+'Natl American'!D49+'National Heritage'!D49+'New Jersey Life'!D49+'Old Colony Life'!D49+'Old Faithful'!D49+'Pacific Standard'!D49+SeeChange!D49+'States General'!D49+Statesman!D49+'Summit National'!D49+Supreme!D49+Underwriters!D49+Unison!D49+'United Republic'!D49+Universe!D49+Villanova!D49</f>
        <v>3870688.5139462762</v>
      </c>
      <c r="E49" s="1">
        <f>+'Alabama Life'!E49+'American Chambers'!E49+'American Educators'!E49+'American Integrity'!E49+'Amer Life Asr'!E49+'American Medical'!E49+'Amer Std Life Acc'!E49+AmerWstrn!E49+'AMS Life'!E49+'Andrew Jackson'!E49+'Bankers Commercial'!E49+Benicorp!E49+Centennial!E49+'Coastal States'!E49+'Confed Life (CLIC)'!E49+'Consolidated National'!E49+'Consumers Mutual'!E49+'Consumers United'!E49+'Corporate Life'!E49+'Diamond Benefits'!E49+'EBL Life'!E49+'Family Guaranty'!E49+'Farmers &amp; Ranchers'!E49+'Fidelity Bankers'!E49+'First Natl'!E49+'Franklin American'!E49+'Franklin Protective'!E49+'George Washington'!E49+'Golden State'!E49+'Guarantee Security'!E49+Imerica!E49+'Inter-American'!E49+'International Fin'!E49+'Investment Life of America'!E49+'Investors Equity'!E49+'Kentucky Central'!E49+Legion!E49+'London Pac'!E49+'Medical Savings'!E49+'Midwest Life'!E49+'Mutual Benefit'!E49+'Mutual Security'!E49+'National Affiliated'!E49+'Natl American'!E49+'National Heritage'!E49+'New Jersey Life'!E49+'Old Colony Life'!E49+'Old Faithful'!E49+'Pacific Standard'!E49+SeeChange!E49+'States General'!E49+Statesman!E49+'Summit National'!E49+Supreme!E49+Underwriters!E49+Unison!E49+'United Republic'!E49+Universe!E49+Villanova!E49</f>
        <v>0</v>
      </c>
      <c r="F49" s="1">
        <f>+'Alabama Life'!F49+'American Chambers'!F49+'American Educators'!F49+'American Integrity'!F49+'Amer Life Asr'!F49+'American Medical'!F49+'Amer Std Life Acc'!F49+AmerWstrn!F49+'AMS Life'!F49+'Andrew Jackson'!F49+'Bankers Commercial'!F49+Benicorp!F49+Centennial!F49+'Coastal States'!F49+'Confed Life (CLIC)'!F49+'Consolidated National'!F49+'Consumers Mutual'!F49+'Consumers United'!F49+'Corporate Life'!F49+'Diamond Benefits'!F49+'EBL Life'!F49+'Family Guaranty'!F49+'Farmers &amp; Ranchers'!F49+'Fidelity Bankers'!F49+'First Natl'!F49+'Franklin American'!F49+'Franklin Protective'!F49+'George Washington'!F49+'Golden State'!F49+'Guarantee Security'!F49+Imerica!F49+'Inter-American'!F49+'International Fin'!F49+'Investment Life of America'!F49+'Investors Equity'!F49+'Kentucky Central'!F49+Legion!F49+'London Pac'!F49+'Medical Savings'!F49+'Midwest Life'!F49+'Mutual Benefit'!F49+'Mutual Security'!F49+'National Affiliated'!F49+'Natl American'!F49+'National Heritage'!F49+'New Jersey Life'!F49+'Old Colony Life'!F49+'Old Faithful'!F49+'Pacific Standard'!F49+SeeChange!F49+'States General'!F49+Statesman!F49+'Summit National'!F49+Supreme!F49+Underwriters!F49+Unison!F49+'United Republic'!F49+Universe!F49+Villanova!F49</f>
        <v>0</v>
      </c>
      <c r="G49" s="1">
        <f t="shared" si="2"/>
        <v>22536712.741965022</v>
      </c>
      <c r="H49" s="1">
        <f>+'Alabama Life'!G49+'American Chambers'!G49+'American Educators'!G49+'American Integrity'!G49+'Amer Life Asr'!G49+'American Medical'!G49+'Amer Std Life Acc'!G49+AmerWstrn!G49+'AMS Life'!G49+'Andrew Jackson'!G49+'Bankers Commercial'!G49+Benicorp!G49+Centennial!G49+'Coastal States'!G49+'Confed Life (CLIC)'!G49+'Consolidated National'!G49+'Consumers Mutual'!G49+'Consumers United'!G49+'Corporate Life'!G49+'Diamond Benefits'!G49+'EBL Life'!G49+'Family Guaranty'!G49+'Farmers &amp; Ranchers'!G49+'Fidelity Bankers'!G49+'First Natl'!G49+'Franklin American'!G49+'Franklin Protective'!G49+'George Washington'!G49+'Golden State'!G49+'Guarantee Security'!G49+Imerica!G49+'Inter-American'!G49+'International Fin'!G49+'Investment Life of America'!G49+'Investors Equity'!G49+'Kentucky Central'!G49+Legion!G49+'London Pac'!G49+'Medical Savings'!G49+'Midwest Life'!G49+'Mutual Benefit'!G49+'Mutual Security'!G49+'National Affiliated'!G49+'Natl American'!G49+'National Heritage'!G49+'New Jersey Life'!G49+'Old Colony Life'!G49+'Old Faithful'!G49+'Pacific Standard'!G49+SeeChange!G49+'States General'!G49+Statesman!G49+'Summit National'!G49+Supreme!G49+Underwriters!G49+Unison!G49+'United Republic'!G49+Universe!G49+Villanova!G49</f>
        <v>22536712.741965018</v>
      </c>
      <c r="I49" s="1">
        <f t="shared" si="3"/>
        <v>0</v>
      </c>
      <c r="K49" s="1" t="s">
        <v>580</v>
      </c>
      <c r="L49" s="1">
        <f>Summary!TOTAL_69221</f>
        <v>13133444.315430962</v>
      </c>
    </row>
    <row r="50" spans="1:12">
      <c r="A50" s="1" t="s">
        <v>71</v>
      </c>
      <c r="B50" s="1">
        <f>+'Alabama Life'!B50+'American Chambers'!B50+'American Educators'!B50+'American Integrity'!B50+'Amer Life Asr'!B50+'American Medical'!B50+'Amer Std Life Acc'!B50+AmerWstrn!B50+'AMS Life'!B50+'Andrew Jackson'!B50+'Bankers Commercial'!B50+Benicorp!B50+Centennial!B50+'Coastal States'!B50+'Confed Life (CLIC)'!B50+'Consolidated National'!B50+'Consumers Mutual'!B50+'Consumers United'!B50+'Corporate Life'!B50+'Diamond Benefits'!B50+'EBL Life'!B50+'Family Guaranty'!B50+'Farmers &amp; Ranchers'!B50+'Fidelity Bankers'!B50+'First Natl'!B50+'Franklin American'!B50+'Franklin Protective'!B50+'George Washington'!B50+'Golden State'!B50+'Guarantee Security'!B50+Imerica!B50+'Inter-American'!B50+'International Fin'!B50+'Investment Life of America'!B50+'Investors Equity'!B50+'Kentucky Central'!B50+Legion!B50+'London Pac'!B50+'Medical Savings'!B50+'Midwest Life'!B50+'Mutual Benefit'!B50+'Mutual Security'!B50+'National Affiliated'!B50+'Natl American'!B50+'National Heritage'!B50+'New Jersey Life'!B50+'Old Colony Life'!B50+'Old Faithful'!B50+'Pacific Standard'!B50+SeeChange!B50+'States General'!B50+Statesman!B50+'Summit National'!B50+Supreme!B50+Underwriters!B50+Unison!B50+'United Republic'!B50+Universe!B50+Villanova!B50</f>
        <v>10302047.009908374</v>
      </c>
      <c r="C50" s="1">
        <f>+'Alabama Life'!C50+'American Chambers'!C50+'American Educators'!C50+'American Integrity'!C50+'Amer Life Asr'!C50+'American Medical'!C50+'Amer Std Life Acc'!C50+AmerWstrn!C50+'AMS Life'!C50+'Andrew Jackson'!C50+'Bankers Commercial'!C50+Benicorp!C50+Centennial!C50+'Coastal States'!C50+'Confed Life (CLIC)'!C50+'Consolidated National'!C50+'Consumers Mutual'!C50+'Consumers United'!C50+'Corporate Life'!C50+'Diamond Benefits'!C50+'EBL Life'!C50+'Family Guaranty'!C50+'Farmers &amp; Ranchers'!C50+'Fidelity Bankers'!C50+'First Natl'!C50+'Franklin American'!C50+'Franklin Protective'!C50+'George Washington'!C50+'Golden State'!C50+'Guarantee Security'!C50+Imerica!C50+'Inter-American'!C50+'International Fin'!C50+'Investment Life of America'!C50+'Investors Equity'!C50+'Kentucky Central'!C50+Legion!C50+'London Pac'!C50+'Medical Savings'!C50+'Midwest Life'!C50+'Mutual Benefit'!C50+'Mutual Security'!C50+'National Affiliated'!C50+'Natl American'!C50+'National Heritage'!C50+'New Jersey Life'!C50+'Old Colony Life'!C50+'Old Faithful'!C50+'Pacific Standard'!C50+SeeChange!C50+'States General'!C50+Statesman!C50+'Summit National'!C50+Supreme!C50+Underwriters!C50+Unison!C50+'United Republic'!C50+Universe!C50+Villanova!C50</f>
        <v>54225364.622853562</v>
      </c>
      <c r="D50" s="1">
        <f>+'Alabama Life'!D50+'American Chambers'!D50+'American Educators'!D50+'American Integrity'!D50+'Amer Life Asr'!D50+'American Medical'!D50+'Amer Std Life Acc'!D50+AmerWstrn!D50+'AMS Life'!D50+'Andrew Jackson'!D50+'Bankers Commercial'!D50+Benicorp!D50+Centennial!D50+'Coastal States'!D50+'Confed Life (CLIC)'!D50+'Consolidated National'!D50+'Consumers Mutual'!D50+'Consumers United'!D50+'Corporate Life'!D50+'Diamond Benefits'!D50+'EBL Life'!D50+'Family Guaranty'!D50+'Farmers &amp; Ranchers'!D50+'Fidelity Bankers'!D50+'First Natl'!D50+'Franklin American'!D50+'Franklin Protective'!D50+'George Washington'!D50+'Golden State'!D50+'Guarantee Security'!D50+Imerica!D50+'Inter-American'!D50+'International Fin'!D50+'Investment Life of America'!D50+'Investors Equity'!D50+'Kentucky Central'!D50+Legion!D50+'London Pac'!D50+'Medical Savings'!D50+'Midwest Life'!D50+'Mutual Benefit'!D50+'Mutual Security'!D50+'National Affiliated'!D50+'Natl American'!D50+'National Heritage'!D50+'New Jersey Life'!D50+'Old Colony Life'!D50+'Old Faithful'!D50+'Pacific Standard'!D50+SeeChange!D50+'States General'!D50+Statesman!D50+'Summit National'!D50+Supreme!D50+Underwriters!D50+Unison!D50+'United Republic'!D50+Universe!D50+Villanova!D50</f>
        <v>23333492.871691599</v>
      </c>
      <c r="E50" s="1">
        <f>+'Alabama Life'!E50+'American Chambers'!E50+'American Educators'!E50+'American Integrity'!E50+'Amer Life Asr'!E50+'American Medical'!E50+'Amer Std Life Acc'!E50+AmerWstrn!E50+'AMS Life'!E50+'Andrew Jackson'!E50+'Bankers Commercial'!E50+Benicorp!E50+Centennial!E50+'Coastal States'!E50+'Confed Life (CLIC)'!E50+'Consolidated National'!E50+'Consumers Mutual'!E50+'Consumers United'!E50+'Corporate Life'!E50+'Diamond Benefits'!E50+'EBL Life'!E50+'Family Guaranty'!E50+'Farmers &amp; Ranchers'!E50+'Fidelity Bankers'!E50+'First Natl'!E50+'Franklin American'!E50+'Franklin Protective'!E50+'George Washington'!E50+'Golden State'!E50+'Guarantee Security'!E50+Imerica!E50+'Inter-American'!E50+'International Fin'!E50+'Investment Life of America'!E50+'Investors Equity'!E50+'Kentucky Central'!E50+Legion!E50+'London Pac'!E50+'Medical Savings'!E50+'Midwest Life'!E50+'Mutual Benefit'!E50+'Mutual Security'!E50+'National Affiliated'!E50+'Natl American'!E50+'National Heritage'!E50+'New Jersey Life'!E50+'Old Colony Life'!E50+'Old Faithful'!E50+'Pacific Standard'!E50+SeeChange!E50+'States General'!E50+Statesman!E50+'Summit National'!E50+Supreme!E50+Underwriters!E50+Unison!E50+'United Republic'!E50+Universe!E50+Villanova!E50</f>
        <v>2837602.8037223225</v>
      </c>
      <c r="F50" s="1">
        <f>+'Alabama Life'!F50+'American Chambers'!F50+'American Educators'!F50+'American Integrity'!F50+'Amer Life Asr'!F50+'American Medical'!F50+'Amer Std Life Acc'!F50+AmerWstrn!F50+'AMS Life'!F50+'Andrew Jackson'!F50+'Bankers Commercial'!F50+Benicorp!F50+Centennial!F50+'Coastal States'!F50+'Confed Life (CLIC)'!F50+'Consolidated National'!F50+'Consumers Mutual'!F50+'Consumers United'!F50+'Corporate Life'!F50+'Diamond Benefits'!F50+'EBL Life'!F50+'Family Guaranty'!F50+'Farmers &amp; Ranchers'!F50+'Fidelity Bankers'!F50+'First Natl'!F50+'Franklin American'!F50+'Franklin Protective'!F50+'George Washington'!F50+'Golden State'!F50+'Guarantee Security'!F50+Imerica!F50+'Inter-American'!F50+'International Fin'!F50+'Investment Life of America'!F50+'Investors Equity'!F50+'Kentucky Central'!F50+Legion!F50+'London Pac'!F50+'Medical Savings'!F50+'Midwest Life'!F50+'Mutual Benefit'!F50+'Mutual Security'!F50+'National Affiliated'!F50+'Natl American'!F50+'National Heritage'!F50+'New Jersey Life'!F50+'Old Colony Life'!F50+'Old Faithful'!F50+'Pacific Standard'!F50+SeeChange!F50+'States General'!F50+Statesman!F50+'Summit National'!F50+Supreme!F50+Underwriters!F50+Unison!F50+'United Republic'!F50+Universe!F50+Villanova!F50</f>
        <v>0</v>
      </c>
      <c r="G50" s="1">
        <f t="shared" si="2"/>
        <v>90698507.308175862</v>
      </c>
      <c r="H50" s="1">
        <f>+'Alabama Life'!G50+'American Chambers'!G50+'American Educators'!G50+'American Integrity'!G50+'Amer Life Asr'!G50+'American Medical'!G50+'Amer Std Life Acc'!G50+AmerWstrn!G50+'AMS Life'!G50+'Andrew Jackson'!G50+'Bankers Commercial'!G50+Benicorp!G50+Centennial!G50+'Coastal States'!G50+'Confed Life (CLIC)'!G50+'Consolidated National'!G50+'Consumers Mutual'!G50+'Consumers United'!G50+'Corporate Life'!G50+'Diamond Benefits'!G50+'EBL Life'!G50+'Family Guaranty'!G50+'Farmers &amp; Ranchers'!G50+'Fidelity Bankers'!G50+'First Natl'!G50+'Franklin American'!G50+'Franklin Protective'!G50+'George Washington'!G50+'Golden State'!G50+'Guarantee Security'!G50+Imerica!G50+'Inter-American'!G50+'International Fin'!G50+'Investment Life of America'!G50+'Investors Equity'!G50+'Kentucky Central'!G50+Legion!G50+'London Pac'!G50+'Medical Savings'!G50+'Midwest Life'!G50+'Mutual Benefit'!G50+'Mutual Security'!G50+'National Affiliated'!G50+'Natl American'!G50+'National Heritage'!G50+'New Jersey Life'!G50+'Old Colony Life'!G50+'Old Faithful'!G50+'Pacific Standard'!G50+SeeChange!G50+'States General'!G50+Statesman!G50+'Summit National'!G50+Supreme!G50+Underwriters!G50+Unison!G50+'United Republic'!G50+Universe!G50+Villanova!G50</f>
        <v>90698507.308175832</v>
      </c>
      <c r="I50" s="1">
        <f t="shared" si="3"/>
        <v>0</v>
      </c>
      <c r="K50" s="1" t="s">
        <v>586</v>
      </c>
      <c r="L50" s="1">
        <f>Summary!TOTAL_97284</f>
        <v>151822778.84532994</v>
      </c>
    </row>
    <row r="51" spans="1:12">
      <c r="A51" s="1" t="s">
        <v>72</v>
      </c>
      <c r="B51" s="1">
        <f>+'Alabama Life'!B51+'American Chambers'!B51+'American Educators'!B51+'American Integrity'!B51+'Amer Life Asr'!B51+'American Medical'!B51+'Amer Std Life Acc'!B51+AmerWstrn!B51+'AMS Life'!B51+'Andrew Jackson'!B51+'Bankers Commercial'!B51+Benicorp!B51+Centennial!B51+'Coastal States'!B51+'Confed Life (CLIC)'!B51+'Consolidated National'!B51+'Consumers Mutual'!B51+'Consumers United'!B51+'Corporate Life'!B51+'Diamond Benefits'!B51+'EBL Life'!B51+'Family Guaranty'!B51+'Farmers &amp; Ranchers'!B51+'Fidelity Bankers'!B51+'First Natl'!B51+'Franklin American'!B51+'Franklin Protective'!B51+'George Washington'!B51+'Golden State'!B51+'Guarantee Security'!B51+Imerica!B51+'Inter-American'!B51+'International Fin'!B51+'Investment Life of America'!B51+'Investors Equity'!B51+'Kentucky Central'!B51+Legion!B51+'London Pac'!B51+'Medical Savings'!B51+'Midwest Life'!B51+'Mutual Benefit'!B51+'Mutual Security'!B51+'National Affiliated'!B51+'Natl American'!B51+'National Heritage'!B51+'New Jersey Life'!B51+'Old Colony Life'!B51+'Old Faithful'!B51+'Pacific Standard'!B51+SeeChange!B51+'States General'!B51+Statesman!B51+'Summit National'!B51+Supreme!B51+Underwriters!B51+Unison!B51+'United Republic'!B51+Universe!B51+Villanova!B51</f>
        <v>699348.63040982501</v>
      </c>
      <c r="C51" s="1">
        <f>+'Alabama Life'!C51+'American Chambers'!C51+'American Educators'!C51+'American Integrity'!C51+'Amer Life Asr'!C51+'American Medical'!C51+'Amer Std Life Acc'!C51+AmerWstrn!C51+'AMS Life'!C51+'Andrew Jackson'!C51+'Bankers Commercial'!C51+Benicorp!C51+Centennial!C51+'Coastal States'!C51+'Confed Life (CLIC)'!C51+'Consolidated National'!C51+'Consumers Mutual'!C51+'Consumers United'!C51+'Corporate Life'!C51+'Diamond Benefits'!C51+'EBL Life'!C51+'Family Guaranty'!C51+'Farmers &amp; Ranchers'!C51+'Fidelity Bankers'!C51+'First Natl'!C51+'Franklin American'!C51+'Franklin Protective'!C51+'George Washington'!C51+'Golden State'!C51+'Guarantee Security'!C51+Imerica!C51+'Inter-American'!C51+'International Fin'!C51+'Investment Life of America'!C51+'Investors Equity'!C51+'Kentucky Central'!C51+Legion!C51+'London Pac'!C51+'Medical Savings'!C51+'Midwest Life'!C51+'Mutual Benefit'!C51+'Mutual Security'!C51+'National Affiliated'!C51+'Natl American'!C51+'National Heritage'!C51+'New Jersey Life'!C51+'Old Colony Life'!C51+'Old Faithful'!C51+'Pacific Standard'!C51+SeeChange!C51+'States General'!C51+Statesman!C51+'Summit National'!C51+Supreme!C51+Underwriters!C51+Unison!C51+'United Republic'!C51+Universe!C51+Villanova!C51</f>
        <v>1354917.8701477721</v>
      </c>
      <c r="D51" s="1">
        <f>+'Alabama Life'!D51+'American Chambers'!D51+'American Educators'!D51+'American Integrity'!D51+'Amer Life Asr'!D51+'American Medical'!D51+'Amer Std Life Acc'!D51+AmerWstrn!D51+'AMS Life'!D51+'Andrew Jackson'!D51+'Bankers Commercial'!D51+Benicorp!D51+Centennial!D51+'Coastal States'!D51+'Confed Life (CLIC)'!D51+'Consolidated National'!D51+'Consumers Mutual'!D51+'Consumers United'!D51+'Corporate Life'!D51+'Diamond Benefits'!D51+'EBL Life'!D51+'Family Guaranty'!D51+'Farmers &amp; Ranchers'!D51+'Fidelity Bankers'!D51+'First Natl'!D51+'Franklin American'!D51+'Franklin Protective'!D51+'George Washington'!D51+'Golden State'!D51+'Guarantee Security'!D51+Imerica!D51+'Inter-American'!D51+'International Fin'!D51+'Investment Life of America'!D51+'Investors Equity'!D51+'Kentucky Central'!D51+Legion!D51+'London Pac'!D51+'Medical Savings'!D51+'Midwest Life'!D51+'Mutual Benefit'!D51+'Mutual Security'!D51+'National Affiliated'!D51+'Natl American'!D51+'National Heritage'!D51+'New Jersey Life'!D51+'Old Colony Life'!D51+'Old Faithful'!D51+'Pacific Standard'!D51+SeeChange!D51+'States General'!D51+Statesman!D51+'Summit National'!D51+Supreme!D51+Underwriters!D51+Unison!D51+'United Republic'!D51+Universe!D51+Villanova!D51</f>
        <v>188333.20250077778</v>
      </c>
      <c r="E51" s="1">
        <f>+'Alabama Life'!E51+'American Chambers'!E51+'American Educators'!E51+'American Integrity'!E51+'Amer Life Asr'!E51+'American Medical'!E51+'Amer Std Life Acc'!E51+AmerWstrn!E51+'AMS Life'!E51+'Andrew Jackson'!E51+'Bankers Commercial'!E51+Benicorp!E51+Centennial!E51+'Coastal States'!E51+'Confed Life (CLIC)'!E51+'Consolidated National'!E51+'Consumers Mutual'!E51+'Consumers United'!E51+'Corporate Life'!E51+'Diamond Benefits'!E51+'EBL Life'!E51+'Family Guaranty'!E51+'Farmers &amp; Ranchers'!E51+'Fidelity Bankers'!E51+'First Natl'!E51+'Franklin American'!E51+'Franklin Protective'!E51+'George Washington'!E51+'Golden State'!E51+'Guarantee Security'!E51+Imerica!E51+'Inter-American'!E51+'International Fin'!E51+'Investment Life of America'!E51+'Investors Equity'!E51+'Kentucky Central'!E51+Legion!E51+'London Pac'!E51+'Medical Savings'!E51+'Midwest Life'!E51+'Mutual Benefit'!E51+'Mutual Security'!E51+'National Affiliated'!E51+'Natl American'!E51+'National Heritage'!E51+'New Jersey Life'!E51+'Old Colony Life'!E51+'Old Faithful'!E51+'Pacific Standard'!E51+SeeChange!E51+'States General'!E51+Statesman!E51+'Summit National'!E51+Supreme!E51+Underwriters!E51+Unison!E51+'United Republic'!E51+Universe!E51+Villanova!E51</f>
        <v>2840.6186254541731</v>
      </c>
      <c r="F51" s="1">
        <f>+'Alabama Life'!F51+'American Chambers'!F51+'American Educators'!F51+'American Integrity'!F51+'Amer Life Asr'!F51+'American Medical'!F51+'Amer Std Life Acc'!F51+AmerWstrn!F51+'AMS Life'!F51+'Andrew Jackson'!F51+'Bankers Commercial'!F51+Benicorp!F51+Centennial!F51+'Coastal States'!F51+'Confed Life (CLIC)'!F51+'Consolidated National'!F51+'Consumers Mutual'!F51+'Consumers United'!F51+'Corporate Life'!F51+'Diamond Benefits'!F51+'EBL Life'!F51+'Family Guaranty'!F51+'Farmers &amp; Ranchers'!F51+'Fidelity Bankers'!F51+'First Natl'!F51+'Franklin American'!F51+'Franklin Protective'!F51+'George Washington'!F51+'Golden State'!F51+'Guarantee Security'!F51+Imerica!F51+'Inter-American'!F51+'International Fin'!F51+'Investment Life of America'!F51+'Investors Equity'!F51+'Kentucky Central'!F51+Legion!F51+'London Pac'!F51+'Medical Savings'!F51+'Midwest Life'!F51+'Mutual Benefit'!F51+'Mutual Security'!F51+'National Affiliated'!F51+'Natl American'!F51+'National Heritage'!F51+'New Jersey Life'!F51+'Old Colony Life'!F51+'Old Faithful'!F51+'Pacific Standard'!F51+SeeChange!F51+'States General'!F51+Statesman!F51+'Summit National'!F51+Supreme!F51+Underwriters!F51+Unison!F51+'United Republic'!F51+Universe!F51+Villanova!F51</f>
        <v>0</v>
      </c>
      <c r="G51" s="1">
        <f t="shared" si="2"/>
        <v>2245440.3216838292</v>
      </c>
      <c r="H51" s="1">
        <f>+'Alabama Life'!G51+'American Chambers'!G51+'American Educators'!G51+'American Integrity'!G51+'Amer Life Asr'!G51+'American Medical'!G51+'Amer Std Life Acc'!G51+AmerWstrn!G51+'AMS Life'!G51+'Andrew Jackson'!G51+'Bankers Commercial'!G51+Benicorp!G51+Centennial!G51+'Coastal States'!G51+'Confed Life (CLIC)'!G51+'Consolidated National'!G51+'Consumers Mutual'!G51+'Consumers United'!G51+'Corporate Life'!G51+'Diamond Benefits'!G51+'EBL Life'!G51+'Family Guaranty'!G51+'Farmers &amp; Ranchers'!G51+'Fidelity Bankers'!G51+'First Natl'!G51+'Franklin American'!G51+'Franklin Protective'!G51+'George Washington'!G51+'Golden State'!G51+'Guarantee Security'!G51+Imerica!G51+'Inter-American'!G51+'International Fin'!G51+'Investment Life of America'!G51+'Investors Equity'!G51+'Kentucky Central'!G51+Legion!G51+'London Pac'!G51+'Medical Savings'!G51+'Midwest Life'!G51+'Mutual Benefit'!G51+'Mutual Security'!G51+'National Affiliated'!G51+'Natl American'!G51+'National Heritage'!G51+'New Jersey Life'!G51+'Old Colony Life'!G51+'Old Faithful'!G51+'Pacific Standard'!G51+SeeChange!G51+'States General'!G51+Statesman!G51+'Summit National'!G51+Supreme!G51+Underwriters!G51+Unison!G51+'United Republic'!G51+Universe!G51+Villanova!G51</f>
        <v>2245440.3216838292</v>
      </c>
      <c r="I51" s="1">
        <f t="shared" si="3"/>
        <v>0</v>
      </c>
      <c r="K51" s="1" t="s">
        <v>591</v>
      </c>
      <c r="L51" s="1">
        <f>Summary!TOTAL_66907</f>
        <v>81903024.650000021</v>
      </c>
    </row>
    <row r="52" spans="1:12">
      <c r="A52" s="1" t="s">
        <v>73</v>
      </c>
      <c r="B52" s="1">
        <f>+'Alabama Life'!B52+'American Chambers'!B52+'American Educators'!B52+'American Integrity'!B52+'Amer Life Asr'!B52+'American Medical'!B52+'Amer Std Life Acc'!B52+AmerWstrn!B52+'AMS Life'!B52+'Andrew Jackson'!B52+'Bankers Commercial'!B52+Benicorp!B52+Centennial!B52+'Coastal States'!B52+'Confed Life (CLIC)'!B52+'Consolidated National'!B52+'Consumers Mutual'!B52+'Consumers United'!B52+'Corporate Life'!B52+'Diamond Benefits'!B52+'EBL Life'!B52+'Family Guaranty'!B52+'Farmers &amp; Ranchers'!B52+'Fidelity Bankers'!B52+'First Natl'!B52+'Franklin American'!B52+'Franklin Protective'!B52+'George Washington'!B52+'Golden State'!B52+'Guarantee Security'!B52+Imerica!B52+'Inter-American'!B52+'International Fin'!B52+'Investment Life of America'!B52+'Investors Equity'!B52+'Kentucky Central'!B52+Legion!B52+'London Pac'!B52+'Medical Savings'!B52+'Midwest Life'!B52+'Mutual Benefit'!B52+'Mutual Security'!B52+'National Affiliated'!B52+'Natl American'!B52+'National Heritage'!B52+'New Jersey Life'!B52+'Old Colony Life'!B52+'Old Faithful'!B52+'Pacific Standard'!B52+SeeChange!B52+'States General'!B52+Statesman!B52+'Summit National'!B52+Supreme!B52+Underwriters!B52+Unison!B52+'United Republic'!B52+Universe!B52+Villanova!B52</f>
        <v>177644.18630712651</v>
      </c>
      <c r="C52" s="1">
        <f>+'Alabama Life'!C52+'American Chambers'!C52+'American Educators'!C52+'American Integrity'!C52+'Amer Life Asr'!C52+'American Medical'!C52+'Amer Std Life Acc'!C52+AmerWstrn!C52+'AMS Life'!C52+'Andrew Jackson'!C52+'Bankers Commercial'!C52+Benicorp!C52+Centennial!C52+'Coastal States'!C52+'Confed Life (CLIC)'!C52+'Consolidated National'!C52+'Consumers Mutual'!C52+'Consumers United'!C52+'Corporate Life'!C52+'Diamond Benefits'!C52+'EBL Life'!C52+'Family Guaranty'!C52+'Farmers &amp; Ranchers'!C52+'Fidelity Bankers'!C52+'First Natl'!C52+'Franklin American'!C52+'Franklin Protective'!C52+'George Washington'!C52+'Golden State'!C52+'Guarantee Security'!C52+Imerica!C52+'Inter-American'!C52+'International Fin'!C52+'Investment Life of America'!C52+'Investors Equity'!C52+'Kentucky Central'!C52+Legion!C52+'London Pac'!C52+'Medical Savings'!C52+'Midwest Life'!C52+'Mutual Benefit'!C52+'Mutual Security'!C52+'National Affiliated'!C52+'Natl American'!C52+'National Heritage'!C52+'New Jersey Life'!C52+'Old Colony Life'!C52+'Old Faithful'!C52+'Pacific Standard'!C52+SeeChange!C52+'States General'!C52+Statesman!C52+'Summit National'!C52+Supreme!C52+Underwriters!C52+Unison!C52+'United Republic'!C52+Universe!C52+Villanova!C52</f>
        <v>180158.10236115963</v>
      </c>
      <c r="D52" s="1">
        <f>+'Alabama Life'!D52+'American Chambers'!D52+'American Educators'!D52+'American Integrity'!D52+'Amer Life Asr'!D52+'American Medical'!D52+'Amer Std Life Acc'!D52+AmerWstrn!D52+'AMS Life'!D52+'Andrew Jackson'!D52+'Bankers Commercial'!D52+Benicorp!D52+Centennial!D52+'Coastal States'!D52+'Confed Life (CLIC)'!D52+'Consolidated National'!D52+'Consumers Mutual'!D52+'Consumers United'!D52+'Corporate Life'!D52+'Diamond Benefits'!D52+'EBL Life'!D52+'Family Guaranty'!D52+'Farmers &amp; Ranchers'!D52+'Fidelity Bankers'!D52+'First Natl'!D52+'Franklin American'!D52+'Franklin Protective'!D52+'George Washington'!D52+'Golden State'!D52+'Guarantee Security'!D52+Imerica!D52+'Inter-American'!D52+'International Fin'!D52+'Investment Life of America'!D52+'Investors Equity'!D52+'Kentucky Central'!D52+Legion!D52+'London Pac'!D52+'Medical Savings'!D52+'Midwest Life'!D52+'Mutual Benefit'!D52+'Mutual Security'!D52+'National Affiliated'!D52+'Natl American'!D52+'National Heritage'!D52+'New Jersey Life'!D52+'Old Colony Life'!D52+'Old Faithful'!D52+'Pacific Standard'!D52+SeeChange!D52+'States General'!D52+Statesman!D52+'Summit National'!D52+Supreme!D52+Underwriters!D52+Unison!D52+'United Republic'!D52+Universe!D52+Villanova!D52</f>
        <v>11414.505659821458</v>
      </c>
      <c r="E52" s="1">
        <f>+'Alabama Life'!E52+'American Chambers'!E52+'American Educators'!E52+'American Integrity'!E52+'Amer Life Asr'!E52+'American Medical'!E52+'Amer Std Life Acc'!E52+AmerWstrn!E52+'AMS Life'!E52+'Andrew Jackson'!E52+'Bankers Commercial'!E52+Benicorp!E52+Centennial!E52+'Coastal States'!E52+'Confed Life (CLIC)'!E52+'Consolidated National'!E52+'Consumers Mutual'!E52+'Consumers United'!E52+'Corporate Life'!E52+'Diamond Benefits'!E52+'EBL Life'!E52+'Family Guaranty'!E52+'Farmers &amp; Ranchers'!E52+'Fidelity Bankers'!E52+'First Natl'!E52+'Franklin American'!E52+'Franklin Protective'!E52+'George Washington'!E52+'Golden State'!E52+'Guarantee Security'!E52+Imerica!E52+'Inter-American'!E52+'International Fin'!E52+'Investment Life of America'!E52+'Investors Equity'!E52+'Kentucky Central'!E52+Legion!E52+'London Pac'!E52+'Medical Savings'!E52+'Midwest Life'!E52+'Mutual Benefit'!E52+'Mutual Security'!E52+'National Affiliated'!E52+'Natl American'!E52+'National Heritage'!E52+'New Jersey Life'!E52+'Old Colony Life'!E52+'Old Faithful'!E52+'Pacific Standard'!E52+SeeChange!E52+'States General'!E52+Statesman!E52+'Summit National'!E52+Supreme!E52+Underwriters!E52+Unison!E52+'United Republic'!E52+Universe!E52+Villanova!E52</f>
        <v>-3903.7641015315021</v>
      </c>
      <c r="F52" s="1">
        <f>+'Alabama Life'!F52+'American Chambers'!F52+'American Educators'!F52+'American Integrity'!F52+'Amer Life Asr'!F52+'American Medical'!F52+'Amer Std Life Acc'!F52+AmerWstrn!F52+'AMS Life'!F52+'Andrew Jackson'!F52+'Bankers Commercial'!F52+Benicorp!F52+Centennial!F52+'Coastal States'!F52+'Confed Life (CLIC)'!F52+'Consolidated National'!F52+'Consumers Mutual'!F52+'Consumers United'!F52+'Corporate Life'!F52+'Diamond Benefits'!F52+'EBL Life'!F52+'Family Guaranty'!F52+'Farmers &amp; Ranchers'!F52+'Fidelity Bankers'!F52+'First Natl'!F52+'Franklin American'!F52+'Franklin Protective'!F52+'George Washington'!F52+'Golden State'!F52+'Guarantee Security'!F52+Imerica!F52+'Inter-American'!F52+'International Fin'!F52+'Investment Life of America'!F52+'Investors Equity'!F52+'Kentucky Central'!F52+Legion!F52+'London Pac'!F52+'Medical Savings'!F52+'Midwest Life'!F52+'Mutual Benefit'!F52+'Mutual Security'!F52+'National Affiliated'!F52+'Natl American'!F52+'National Heritage'!F52+'New Jersey Life'!F52+'Old Colony Life'!F52+'Old Faithful'!F52+'Pacific Standard'!F52+SeeChange!F52+'States General'!F52+Statesman!F52+'Summit National'!F52+Supreme!F52+Underwriters!F52+Unison!F52+'United Republic'!F52+Universe!F52+Villanova!F52</f>
        <v>0</v>
      </c>
      <c r="G52" s="1">
        <f t="shared" si="2"/>
        <v>365313.03022657614</v>
      </c>
      <c r="H52" s="1">
        <f>+'Alabama Life'!G52+'American Chambers'!G52+'American Educators'!G52+'American Integrity'!G52+'Amer Life Asr'!G52+'American Medical'!G52+'Amer Std Life Acc'!G52+AmerWstrn!G52+'AMS Life'!G52+'Andrew Jackson'!G52+'Bankers Commercial'!G52+Benicorp!G52+Centennial!G52+'Coastal States'!G52+'Confed Life (CLIC)'!G52+'Consolidated National'!G52+'Consumers Mutual'!G52+'Consumers United'!G52+'Corporate Life'!G52+'Diamond Benefits'!G52+'EBL Life'!G52+'Family Guaranty'!G52+'Farmers &amp; Ranchers'!G52+'Fidelity Bankers'!G52+'First Natl'!G52+'Franklin American'!G52+'Franklin Protective'!G52+'George Washington'!G52+'Golden State'!G52+'Guarantee Security'!G52+Imerica!G52+'Inter-American'!G52+'International Fin'!G52+'Investment Life of America'!G52+'Investors Equity'!G52+'Kentucky Central'!G52+Legion!G52+'London Pac'!G52+'Medical Savings'!G52+'Midwest Life'!G52+'Mutual Benefit'!G52+'Mutual Security'!G52+'National Affiliated'!G52+'Natl American'!G52+'National Heritage'!G52+'New Jersey Life'!G52+'Old Colony Life'!G52+'Old Faithful'!G52+'Pacific Standard'!G52+SeeChange!G52+'States General'!G52+Statesman!G52+'Summit National'!G52+Supreme!G52+Underwriters!G52+Unison!G52+'United Republic'!G52+Universe!G52+Villanova!G52</f>
        <v>365313.03022657608</v>
      </c>
      <c r="I52" s="1">
        <f t="shared" si="3"/>
        <v>0</v>
      </c>
      <c r="K52" s="1" t="s">
        <v>597</v>
      </c>
      <c r="L52" s="1">
        <f>Summary!TOTAL_65161</f>
        <v>11176635.619999927</v>
      </c>
    </row>
    <row r="53" spans="1:12">
      <c r="A53" s="1" t="s">
        <v>74</v>
      </c>
      <c r="B53" s="1">
        <f>+'Alabama Life'!B53+'American Chambers'!B53+'American Educators'!B53+'American Integrity'!B53+'Amer Life Asr'!B53+'American Medical'!B53+'Amer Std Life Acc'!B53+AmerWstrn!B53+'AMS Life'!B53+'Andrew Jackson'!B53+'Bankers Commercial'!B53+Benicorp!B53+Centennial!B53+'Coastal States'!B53+'Confed Life (CLIC)'!B53+'Consolidated National'!B53+'Consumers Mutual'!B53+'Consumers United'!B53+'Corporate Life'!B53+'Diamond Benefits'!B53+'EBL Life'!B53+'Family Guaranty'!B53+'Farmers &amp; Ranchers'!B53+'Fidelity Bankers'!B53+'First Natl'!B53+'Franklin American'!B53+'Franklin Protective'!B53+'George Washington'!B53+'Golden State'!B53+'Guarantee Security'!B53+Imerica!B53+'Inter-American'!B53+'International Fin'!B53+'Investment Life of America'!B53+'Investors Equity'!B53+'Kentucky Central'!B53+Legion!B53+'London Pac'!B53+'Medical Savings'!B53+'Midwest Life'!B53+'Mutual Benefit'!B53+'Mutual Security'!B53+'National Affiliated'!B53+'Natl American'!B53+'National Heritage'!B53+'New Jersey Life'!B53+'Old Colony Life'!B53+'Old Faithful'!B53+'Pacific Standard'!B53+SeeChange!B53+'States General'!B53+Statesman!B53+'Summit National'!B53+Supreme!B53+Underwriters!B53+Unison!B53+'United Republic'!B53+Universe!B53+Villanova!B53</f>
        <v>3019498.3044782863</v>
      </c>
      <c r="C53" s="1">
        <f>+'Alabama Life'!C53+'American Chambers'!C53+'American Educators'!C53+'American Integrity'!C53+'Amer Life Asr'!C53+'American Medical'!C53+'Amer Std Life Acc'!C53+AmerWstrn!C53+'AMS Life'!C53+'Andrew Jackson'!C53+'Bankers Commercial'!C53+Benicorp!C53+Centennial!C53+'Coastal States'!C53+'Confed Life (CLIC)'!C53+'Consolidated National'!C53+'Consumers Mutual'!C53+'Consumers United'!C53+'Corporate Life'!C53+'Diamond Benefits'!C53+'EBL Life'!C53+'Family Guaranty'!C53+'Farmers &amp; Ranchers'!C53+'Fidelity Bankers'!C53+'First Natl'!C53+'Franklin American'!C53+'Franklin Protective'!C53+'George Washington'!C53+'Golden State'!C53+'Guarantee Security'!C53+Imerica!C53+'Inter-American'!C53+'International Fin'!C53+'Investment Life of America'!C53+'Investors Equity'!C53+'Kentucky Central'!C53+Legion!C53+'London Pac'!C53+'Medical Savings'!C53+'Midwest Life'!C53+'Mutual Benefit'!C53+'Mutual Security'!C53+'National Affiliated'!C53+'Natl American'!C53+'National Heritage'!C53+'New Jersey Life'!C53+'Old Colony Life'!C53+'Old Faithful'!C53+'Pacific Standard'!C53+SeeChange!C53+'States General'!C53+Statesman!C53+'Summit National'!C53+Supreme!C53+Underwriters!C53+Unison!C53+'United Republic'!C53+Universe!C53+Villanova!C53</f>
        <v>10322691.787375977</v>
      </c>
      <c r="D53" s="1">
        <f>+'Alabama Life'!D53+'American Chambers'!D53+'American Educators'!D53+'American Integrity'!D53+'Amer Life Asr'!D53+'American Medical'!D53+'Amer Std Life Acc'!D53+AmerWstrn!D53+'AMS Life'!D53+'Andrew Jackson'!D53+'Bankers Commercial'!D53+Benicorp!D53+Centennial!D53+'Coastal States'!D53+'Confed Life (CLIC)'!D53+'Consolidated National'!D53+'Consumers Mutual'!D53+'Consumers United'!D53+'Corporate Life'!D53+'Diamond Benefits'!D53+'EBL Life'!D53+'Family Guaranty'!D53+'Farmers &amp; Ranchers'!D53+'Fidelity Bankers'!D53+'First Natl'!D53+'Franklin American'!D53+'Franklin Protective'!D53+'George Washington'!D53+'Golden State'!D53+'Guarantee Security'!D53+Imerica!D53+'Inter-American'!D53+'International Fin'!D53+'Investment Life of America'!D53+'Investors Equity'!D53+'Kentucky Central'!D53+Legion!D53+'London Pac'!D53+'Medical Savings'!D53+'Midwest Life'!D53+'Mutual Benefit'!D53+'Mutual Security'!D53+'National Affiliated'!D53+'Natl American'!D53+'National Heritage'!D53+'New Jersey Life'!D53+'Old Colony Life'!D53+'Old Faithful'!D53+'Pacific Standard'!D53+SeeChange!D53+'States General'!D53+Statesman!D53+'Summit National'!D53+Supreme!D53+Underwriters!D53+Unison!D53+'United Republic'!D53+Universe!D53+Villanova!D53</f>
        <v>1623789.6391280717</v>
      </c>
      <c r="E53" s="1">
        <f>+'Alabama Life'!E53+'American Chambers'!E53+'American Educators'!E53+'American Integrity'!E53+'Amer Life Asr'!E53+'American Medical'!E53+'Amer Std Life Acc'!E53+AmerWstrn!E53+'AMS Life'!E53+'Andrew Jackson'!E53+'Bankers Commercial'!E53+Benicorp!E53+Centennial!E53+'Coastal States'!E53+'Confed Life (CLIC)'!E53+'Consolidated National'!E53+'Consumers Mutual'!E53+'Consumers United'!E53+'Corporate Life'!E53+'Diamond Benefits'!E53+'EBL Life'!E53+'Family Guaranty'!E53+'Farmers &amp; Ranchers'!E53+'Fidelity Bankers'!E53+'First Natl'!E53+'Franklin American'!E53+'Franklin Protective'!E53+'George Washington'!E53+'Golden State'!E53+'Guarantee Security'!E53+Imerica!E53+'Inter-American'!E53+'International Fin'!E53+'Investment Life of America'!E53+'Investors Equity'!E53+'Kentucky Central'!E53+Legion!E53+'London Pac'!E53+'Medical Savings'!E53+'Midwest Life'!E53+'Mutual Benefit'!E53+'Mutual Security'!E53+'National Affiliated'!E53+'Natl American'!E53+'National Heritage'!E53+'New Jersey Life'!E53+'Old Colony Life'!E53+'Old Faithful'!E53+'Pacific Standard'!E53+SeeChange!E53+'States General'!E53+Statesman!E53+'Summit National'!E53+Supreme!E53+Underwriters!E53+Unison!E53+'United Republic'!E53+Universe!E53+Villanova!E53</f>
        <v>0</v>
      </c>
      <c r="F53" s="1">
        <f>+'Alabama Life'!F53+'American Chambers'!F53+'American Educators'!F53+'American Integrity'!F53+'Amer Life Asr'!F53+'American Medical'!F53+'Amer Std Life Acc'!F53+AmerWstrn!F53+'AMS Life'!F53+'Andrew Jackson'!F53+'Bankers Commercial'!F53+Benicorp!F53+Centennial!F53+'Coastal States'!F53+'Confed Life (CLIC)'!F53+'Consolidated National'!F53+'Consumers Mutual'!F53+'Consumers United'!F53+'Corporate Life'!F53+'Diamond Benefits'!F53+'EBL Life'!F53+'Family Guaranty'!F53+'Farmers &amp; Ranchers'!F53+'Fidelity Bankers'!F53+'First Natl'!F53+'Franklin American'!F53+'Franklin Protective'!F53+'George Washington'!F53+'Golden State'!F53+'Guarantee Security'!F53+Imerica!F53+'Inter-American'!F53+'International Fin'!F53+'Investment Life of America'!F53+'Investors Equity'!F53+'Kentucky Central'!F53+Legion!F53+'London Pac'!F53+'Medical Savings'!F53+'Midwest Life'!F53+'Mutual Benefit'!F53+'Mutual Security'!F53+'National Affiliated'!F53+'Natl American'!F53+'National Heritage'!F53+'New Jersey Life'!F53+'Old Colony Life'!F53+'Old Faithful'!F53+'Pacific Standard'!F53+SeeChange!F53+'States General'!F53+Statesman!F53+'Summit National'!F53+Supreme!F53+Underwriters!F53+Unison!F53+'United Republic'!F53+Universe!F53+Villanova!F53</f>
        <v>0</v>
      </c>
      <c r="G53" s="1">
        <f t="shared" si="2"/>
        <v>14965979.730982335</v>
      </c>
      <c r="H53" s="1">
        <f>+'Alabama Life'!G53+'American Chambers'!G53+'American Educators'!G53+'American Integrity'!G53+'Amer Life Asr'!G53+'American Medical'!G53+'Amer Std Life Acc'!G53+AmerWstrn!G53+'AMS Life'!G53+'Andrew Jackson'!G53+'Bankers Commercial'!G53+Benicorp!G53+Centennial!G53+'Coastal States'!G53+'Confed Life (CLIC)'!G53+'Consolidated National'!G53+'Consumers Mutual'!G53+'Consumers United'!G53+'Corporate Life'!G53+'Diamond Benefits'!G53+'EBL Life'!G53+'Family Guaranty'!G53+'Farmers &amp; Ranchers'!G53+'Fidelity Bankers'!G53+'First Natl'!G53+'Franklin American'!G53+'Franklin Protective'!G53+'George Washington'!G53+'Golden State'!G53+'Guarantee Security'!G53+Imerica!G53+'Inter-American'!G53+'International Fin'!G53+'Investment Life of America'!G53+'Investors Equity'!G53+'Kentucky Central'!G53+Legion!G53+'London Pac'!G53+'Medical Savings'!G53+'Midwest Life'!G53+'Mutual Benefit'!G53+'Mutual Security'!G53+'National Affiliated'!G53+'Natl American'!G53+'National Heritage'!G53+'New Jersey Life'!G53+'Old Colony Life'!G53+'Old Faithful'!G53+'Pacific Standard'!G53+SeeChange!G53+'States General'!G53+Statesman!G53+'Summit National'!G53+Supreme!G53+Underwriters!G53+Unison!G53+'United Republic'!G53+Universe!G53+Villanova!G53</f>
        <v>14965979.730982333</v>
      </c>
      <c r="I53" s="1">
        <f t="shared" si="3"/>
        <v>0</v>
      </c>
      <c r="K53" s="1" t="s">
        <v>603</v>
      </c>
      <c r="L53" s="1">
        <f>Summary!TOTAL_67229</f>
        <v>1474083.5690999997</v>
      </c>
    </row>
    <row r="54" spans="1:12">
      <c r="A54" s="1" t="s">
        <v>75</v>
      </c>
      <c r="B54" s="1">
        <f>+'Alabama Life'!B54+'American Chambers'!B54+'American Educators'!B54+'American Integrity'!B54+'Amer Life Asr'!B54+'American Medical'!B54+'Amer Std Life Acc'!B54+AmerWstrn!B54+'AMS Life'!B54+'Andrew Jackson'!B54+'Bankers Commercial'!B54+Benicorp!B54+Centennial!B54+'Coastal States'!B54+'Confed Life (CLIC)'!B54+'Consolidated National'!B54+'Consumers Mutual'!B54+'Consumers United'!B54+'Corporate Life'!B54+'Diamond Benefits'!B54+'EBL Life'!B54+'Family Guaranty'!B54+'Farmers &amp; Ranchers'!B54+'Fidelity Bankers'!B54+'First Natl'!B54+'Franklin American'!B54+'Franklin Protective'!B54+'George Washington'!B54+'Golden State'!B54+'Guarantee Security'!B54+Imerica!B54+'Inter-American'!B54+'International Fin'!B54+'Investment Life of America'!B54+'Investors Equity'!B54+'Kentucky Central'!B54+Legion!B54+'London Pac'!B54+'Medical Savings'!B54+'Midwest Life'!B54+'Mutual Benefit'!B54+'Mutual Security'!B54+'National Affiliated'!B54+'Natl American'!B54+'National Heritage'!B54+'New Jersey Life'!B54+'Old Colony Life'!B54+'Old Faithful'!B54+'Pacific Standard'!B54+SeeChange!B54+'States General'!B54+Statesman!B54+'Summit National'!B54+Supreme!B54+Underwriters!B54+Unison!B54+'United Republic'!B54+Universe!B54+Villanova!B54</f>
        <v>4682998.7855110168</v>
      </c>
      <c r="C54" s="1">
        <f>+'Alabama Life'!C54+'American Chambers'!C54+'American Educators'!C54+'American Integrity'!C54+'Amer Life Asr'!C54+'American Medical'!C54+'Amer Std Life Acc'!C54+AmerWstrn!C54+'AMS Life'!C54+'Andrew Jackson'!C54+'Bankers Commercial'!C54+Benicorp!C54+Centennial!C54+'Coastal States'!C54+'Confed Life (CLIC)'!C54+'Consolidated National'!C54+'Consumers Mutual'!C54+'Consumers United'!C54+'Corporate Life'!C54+'Diamond Benefits'!C54+'EBL Life'!C54+'Family Guaranty'!C54+'Farmers &amp; Ranchers'!C54+'Fidelity Bankers'!C54+'First Natl'!C54+'Franklin American'!C54+'Franklin Protective'!C54+'George Washington'!C54+'Golden State'!C54+'Guarantee Security'!C54+Imerica!C54+'Inter-American'!C54+'International Fin'!C54+'Investment Life of America'!C54+'Investors Equity'!C54+'Kentucky Central'!C54+Legion!C54+'London Pac'!C54+'Medical Savings'!C54+'Midwest Life'!C54+'Mutual Benefit'!C54+'Mutual Security'!C54+'National Affiliated'!C54+'Natl American'!C54+'National Heritage'!C54+'New Jersey Life'!C54+'Old Colony Life'!C54+'Old Faithful'!C54+'Pacific Standard'!C54+SeeChange!C54+'States General'!C54+Statesman!C54+'Summit National'!C54+Supreme!C54+Underwriters!C54+Unison!C54+'United Republic'!C54+Universe!C54+Villanova!C54</f>
        <v>14289610.021347297</v>
      </c>
      <c r="D54" s="1">
        <f>+'Alabama Life'!D54+'American Chambers'!D54+'American Educators'!D54+'American Integrity'!D54+'Amer Life Asr'!D54+'American Medical'!D54+'Amer Std Life Acc'!D54+AmerWstrn!D54+'AMS Life'!D54+'Andrew Jackson'!D54+'Bankers Commercial'!D54+Benicorp!D54+Centennial!D54+'Coastal States'!D54+'Confed Life (CLIC)'!D54+'Consolidated National'!D54+'Consumers Mutual'!D54+'Consumers United'!D54+'Corporate Life'!D54+'Diamond Benefits'!D54+'EBL Life'!D54+'Family Guaranty'!D54+'Farmers &amp; Ranchers'!D54+'Fidelity Bankers'!D54+'First Natl'!D54+'Franklin American'!D54+'Franklin Protective'!D54+'George Washington'!D54+'Golden State'!D54+'Guarantee Security'!D54+Imerica!D54+'Inter-American'!D54+'International Fin'!D54+'Investment Life of America'!D54+'Investors Equity'!D54+'Kentucky Central'!D54+Legion!D54+'London Pac'!D54+'Medical Savings'!D54+'Midwest Life'!D54+'Mutual Benefit'!D54+'Mutual Security'!D54+'National Affiliated'!D54+'Natl American'!D54+'National Heritage'!D54+'New Jersey Life'!D54+'Old Colony Life'!D54+'Old Faithful'!D54+'Pacific Standard'!D54+SeeChange!D54+'States General'!D54+Statesman!D54+'Summit National'!D54+Supreme!D54+Underwriters!D54+Unison!D54+'United Republic'!D54+Universe!D54+Villanova!D54</f>
        <v>11276519.70499488</v>
      </c>
      <c r="E54" s="1">
        <f>+'Alabama Life'!E54+'American Chambers'!E54+'American Educators'!E54+'American Integrity'!E54+'Amer Life Asr'!E54+'American Medical'!E54+'Amer Std Life Acc'!E54+AmerWstrn!E54+'AMS Life'!E54+'Andrew Jackson'!E54+'Bankers Commercial'!E54+Benicorp!E54+Centennial!E54+'Coastal States'!E54+'Confed Life (CLIC)'!E54+'Consolidated National'!E54+'Consumers Mutual'!E54+'Consumers United'!E54+'Corporate Life'!E54+'Diamond Benefits'!E54+'EBL Life'!E54+'Family Guaranty'!E54+'Farmers &amp; Ranchers'!E54+'Fidelity Bankers'!E54+'First Natl'!E54+'Franklin American'!E54+'Franklin Protective'!E54+'George Washington'!E54+'Golden State'!E54+'Guarantee Security'!E54+Imerica!E54+'Inter-American'!E54+'International Fin'!E54+'Investment Life of America'!E54+'Investors Equity'!E54+'Kentucky Central'!E54+Legion!E54+'London Pac'!E54+'Medical Savings'!E54+'Midwest Life'!E54+'Mutual Benefit'!E54+'Mutual Security'!E54+'National Affiliated'!E54+'Natl American'!E54+'National Heritage'!E54+'New Jersey Life'!E54+'Old Colony Life'!E54+'Old Faithful'!E54+'Pacific Standard'!E54+SeeChange!E54+'States General'!E54+Statesman!E54+'Summit National'!E54+Supreme!E54+Underwriters!E54+Unison!E54+'United Republic'!E54+Universe!E54+Villanova!E54</f>
        <v>-6.2594756052367302</v>
      </c>
      <c r="F54" s="1">
        <f>+'Alabama Life'!F54+'American Chambers'!F54+'American Educators'!F54+'American Integrity'!F54+'Amer Life Asr'!F54+'American Medical'!F54+'Amer Std Life Acc'!F54+AmerWstrn!F54+'AMS Life'!F54+'Andrew Jackson'!F54+'Bankers Commercial'!F54+Benicorp!F54+Centennial!F54+'Coastal States'!F54+'Confed Life (CLIC)'!F54+'Consolidated National'!F54+'Consumers Mutual'!F54+'Consumers United'!F54+'Corporate Life'!F54+'Diamond Benefits'!F54+'EBL Life'!F54+'Family Guaranty'!F54+'Farmers &amp; Ranchers'!F54+'Fidelity Bankers'!F54+'First Natl'!F54+'Franklin American'!F54+'Franklin Protective'!F54+'George Washington'!F54+'Golden State'!F54+'Guarantee Security'!F54+Imerica!F54+'Inter-American'!F54+'International Fin'!F54+'Investment Life of America'!F54+'Investors Equity'!F54+'Kentucky Central'!F54+Legion!F54+'London Pac'!F54+'Medical Savings'!F54+'Midwest Life'!F54+'Mutual Benefit'!F54+'Mutual Security'!F54+'National Affiliated'!F54+'Natl American'!F54+'National Heritage'!F54+'New Jersey Life'!F54+'Old Colony Life'!F54+'Old Faithful'!F54+'Pacific Standard'!F54+SeeChange!F54+'States General'!F54+Statesman!F54+'Summit National'!F54+Supreme!F54+Underwriters!F54+Unison!F54+'United Republic'!F54+Universe!F54+Villanova!F54</f>
        <v>0</v>
      </c>
      <c r="G54" s="1">
        <f t="shared" si="2"/>
        <v>30249122.252377592</v>
      </c>
      <c r="H54" s="1">
        <f>+'Alabama Life'!G54+'American Chambers'!G54+'American Educators'!G54+'American Integrity'!G54+'Amer Life Asr'!G54+'American Medical'!G54+'Amer Std Life Acc'!G54+AmerWstrn!G54+'AMS Life'!G54+'Andrew Jackson'!G54+'Bankers Commercial'!G54+Benicorp!G54+Centennial!G54+'Coastal States'!G54+'Confed Life (CLIC)'!G54+'Consolidated National'!G54+'Consumers Mutual'!G54+'Consumers United'!G54+'Corporate Life'!G54+'Diamond Benefits'!G54+'EBL Life'!G54+'Family Guaranty'!G54+'Farmers &amp; Ranchers'!G54+'Fidelity Bankers'!G54+'First Natl'!G54+'Franklin American'!G54+'Franklin Protective'!G54+'George Washington'!G54+'Golden State'!G54+'Guarantee Security'!G54+Imerica!G54+'Inter-American'!G54+'International Fin'!G54+'Investment Life of America'!G54+'Investors Equity'!G54+'Kentucky Central'!G54+Legion!G54+'London Pac'!G54+'Medical Savings'!G54+'Midwest Life'!G54+'Mutual Benefit'!G54+'Mutual Security'!G54+'National Affiliated'!G54+'Natl American'!G54+'National Heritage'!G54+'New Jersey Life'!G54+'Old Colony Life'!G54+'Old Faithful'!G54+'Pacific Standard'!G54+SeeChange!G54+'States General'!G54+Statesman!G54+'Summit National'!G54+Supreme!G54+Underwriters!G54+Unison!G54+'United Republic'!G54+Universe!G54+Villanova!G54</f>
        <v>30249122.252377596</v>
      </c>
      <c r="I54" s="1">
        <f t="shared" si="3"/>
        <v>0</v>
      </c>
      <c r="K54" s="1" t="s">
        <v>610</v>
      </c>
      <c r="L54" s="1">
        <f>Summary!TOTAL_72842</f>
        <v>28423507.759999998</v>
      </c>
    </row>
    <row r="55" spans="1:12">
      <c r="A55" s="1" t="s">
        <v>76</v>
      </c>
      <c r="B55" s="1">
        <f>+'Alabama Life'!B55+'American Chambers'!B55+'American Educators'!B55+'American Integrity'!B55+'Amer Life Asr'!B55+'American Medical'!B55+'Amer Std Life Acc'!B55+AmerWstrn!B55+'AMS Life'!B55+'Andrew Jackson'!B55+'Bankers Commercial'!B55+Benicorp!B55+Centennial!B55+'Coastal States'!B55+'Confed Life (CLIC)'!B55+'Consolidated National'!B55+'Consumers Mutual'!B55+'Consumers United'!B55+'Corporate Life'!B55+'Diamond Benefits'!B55+'EBL Life'!B55+'Family Guaranty'!B55+'Farmers &amp; Ranchers'!B55+'Fidelity Bankers'!B55+'First Natl'!B55+'Franklin American'!B55+'Franklin Protective'!B55+'George Washington'!B55+'Golden State'!B55+'Guarantee Security'!B55+Imerica!B55+'Inter-American'!B55+'International Fin'!B55+'Investment Life of America'!B55+'Investors Equity'!B55+'Kentucky Central'!B55+Legion!B55+'London Pac'!B55+'Medical Savings'!B55+'Midwest Life'!B55+'Mutual Benefit'!B55+'Mutual Security'!B55+'National Affiliated'!B55+'Natl American'!B55+'National Heritage'!B55+'New Jersey Life'!B55+'Old Colony Life'!B55+'Old Faithful'!B55+'Pacific Standard'!B55+SeeChange!B55+'States General'!B55+Statesman!B55+'Summit National'!B55+Supreme!B55+Underwriters!B55+Unison!B55+'United Republic'!B55+Universe!B55+Villanova!B55</f>
        <v>1103548.810152109</v>
      </c>
      <c r="C55" s="1">
        <f>+'Alabama Life'!C55+'American Chambers'!C55+'American Educators'!C55+'American Integrity'!C55+'Amer Life Asr'!C55+'American Medical'!C55+'Amer Std Life Acc'!C55+AmerWstrn!C55+'AMS Life'!C55+'Andrew Jackson'!C55+'Bankers Commercial'!C55+Benicorp!C55+Centennial!C55+'Coastal States'!C55+'Confed Life (CLIC)'!C55+'Consolidated National'!C55+'Consumers Mutual'!C55+'Consumers United'!C55+'Corporate Life'!C55+'Diamond Benefits'!C55+'EBL Life'!C55+'Family Guaranty'!C55+'Farmers &amp; Ranchers'!C55+'Fidelity Bankers'!C55+'First Natl'!C55+'Franklin American'!C55+'Franklin Protective'!C55+'George Washington'!C55+'Golden State'!C55+'Guarantee Security'!C55+Imerica!C55+'Inter-American'!C55+'International Fin'!C55+'Investment Life of America'!C55+'Investors Equity'!C55+'Kentucky Central'!C55+Legion!C55+'London Pac'!C55+'Medical Savings'!C55+'Midwest Life'!C55+'Mutual Benefit'!C55+'Mutual Security'!C55+'National Affiliated'!C55+'Natl American'!C55+'National Heritage'!C55+'New Jersey Life'!C55+'Old Colony Life'!C55+'Old Faithful'!C55+'Pacific Standard'!C55+SeeChange!C55+'States General'!C55+Statesman!C55+'Summit National'!C55+Supreme!C55+Underwriters!C55+Unison!C55+'United Republic'!C55+Universe!C55+Villanova!C55</f>
        <v>3423606.2766298293</v>
      </c>
      <c r="D55" s="1">
        <f>+'Alabama Life'!D55+'American Chambers'!D55+'American Educators'!D55+'American Integrity'!D55+'Amer Life Asr'!D55+'American Medical'!D55+'Amer Std Life Acc'!D55+AmerWstrn!D55+'AMS Life'!D55+'Andrew Jackson'!D55+'Bankers Commercial'!D55+Benicorp!D55+Centennial!D55+'Coastal States'!D55+'Confed Life (CLIC)'!D55+'Consolidated National'!D55+'Consumers Mutual'!D55+'Consumers United'!D55+'Corporate Life'!D55+'Diamond Benefits'!D55+'EBL Life'!D55+'Family Guaranty'!D55+'Farmers &amp; Ranchers'!D55+'Fidelity Bankers'!D55+'First Natl'!D55+'Franklin American'!D55+'Franklin Protective'!D55+'George Washington'!D55+'Golden State'!D55+'Guarantee Security'!D55+Imerica!D55+'Inter-American'!D55+'International Fin'!D55+'Investment Life of America'!D55+'Investors Equity'!D55+'Kentucky Central'!D55+Legion!D55+'London Pac'!D55+'Medical Savings'!D55+'Midwest Life'!D55+'Mutual Benefit'!D55+'Mutual Security'!D55+'National Affiliated'!D55+'Natl American'!D55+'National Heritage'!D55+'New Jersey Life'!D55+'Old Colony Life'!D55+'Old Faithful'!D55+'Pacific Standard'!D55+SeeChange!D55+'States General'!D55+Statesman!D55+'Summit National'!D55+Supreme!D55+Underwriters!D55+Unison!D55+'United Republic'!D55+Universe!D55+Villanova!D55</f>
        <v>508660.73310290725</v>
      </c>
      <c r="E55" s="1">
        <f>+'Alabama Life'!E55+'American Chambers'!E55+'American Educators'!E55+'American Integrity'!E55+'Amer Life Asr'!E55+'American Medical'!E55+'Amer Std Life Acc'!E55+AmerWstrn!E55+'AMS Life'!E55+'Andrew Jackson'!E55+'Bankers Commercial'!E55+Benicorp!E55+Centennial!E55+'Coastal States'!E55+'Confed Life (CLIC)'!E55+'Consolidated National'!E55+'Consumers Mutual'!E55+'Consumers United'!E55+'Corporate Life'!E55+'Diamond Benefits'!E55+'EBL Life'!E55+'Family Guaranty'!E55+'Farmers &amp; Ranchers'!E55+'Fidelity Bankers'!E55+'First Natl'!E55+'Franklin American'!E55+'Franklin Protective'!E55+'George Washington'!E55+'Golden State'!E55+'Guarantee Security'!E55+Imerica!E55+'Inter-American'!E55+'International Fin'!E55+'Investment Life of America'!E55+'Investors Equity'!E55+'Kentucky Central'!E55+Legion!E55+'London Pac'!E55+'Medical Savings'!E55+'Midwest Life'!E55+'Mutual Benefit'!E55+'Mutual Security'!E55+'National Affiliated'!E55+'Natl American'!E55+'National Heritage'!E55+'New Jersey Life'!E55+'Old Colony Life'!E55+'Old Faithful'!E55+'Pacific Standard'!E55+SeeChange!E55+'States General'!E55+Statesman!E55+'Summit National'!E55+Supreme!E55+Underwriters!E55+Unison!E55+'United Republic'!E55+Universe!E55+Villanova!E55</f>
        <v>0</v>
      </c>
      <c r="F55" s="1">
        <f>+'Alabama Life'!F55+'American Chambers'!F55+'American Educators'!F55+'American Integrity'!F55+'Amer Life Asr'!F55+'American Medical'!F55+'Amer Std Life Acc'!F55+AmerWstrn!F55+'AMS Life'!F55+'Andrew Jackson'!F55+'Bankers Commercial'!F55+Benicorp!F55+Centennial!F55+'Coastal States'!F55+'Confed Life (CLIC)'!F55+'Consolidated National'!F55+'Consumers Mutual'!F55+'Consumers United'!F55+'Corporate Life'!F55+'Diamond Benefits'!F55+'EBL Life'!F55+'Family Guaranty'!F55+'Farmers &amp; Ranchers'!F55+'Fidelity Bankers'!F55+'First Natl'!F55+'Franklin American'!F55+'Franklin Protective'!F55+'George Washington'!F55+'Golden State'!F55+'Guarantee Security'!F55+Imerica!F55+'Inter-American'!F55+'International Fin'!F55+'Investment Life of America'!F55+'Investors Equity'!F55+'Kentucky Central'!F55+Legion!F55+'London Pac'!F55+'Medical Savings'!F55+'Midwest Life'!F55+'Mutual Benefit'!F55+'Mutual Security'!F55+'National Affiliated'!F55+'Natl American'!F55+'National Heritage'!F55+'New Jersey Life'!F55+'Old Colony Life'!F55+'Old Faithful'!F55+'Pacific Standard'!F55+SeeChange!F55+'States General'!F55+Statesman!F55+'Summit National'!F55+Supreme!F55+Underwriters!F55+Unison!F55+'United Republic'!F55+Universe!F55+Villanova!F55</f>
        <v>0</v>
      </c>
      <c r="G55" s="1">
        <f t="shared" si="2"/>
        <v>5035815.819884846</v>
      </c>
      <c r="H55" s="1">
        <f>+'Alabama Life'!G55+'American Chambers'!G55+'American Educators'!G55+'American Integrity'!G55+'Amer Life Asr'!G55+'American Medical'!G55+'Amer Std Life Acc'!G55+AmerWstrn!G55+'AMS Life'!G55+'Andrew Jackson'!G55+'Bankers Commercial'!G55+Benicorp!G55+Centennial!G55+'Coastal States'!G55+'Confed Life (CLIC)'!G55+'Consolidated National'!G55+'Consumers Mutual'!G55+'Consumers United'!G55+'Corporate Life'!G55+'Diamond Benefits'!G55+'EBL Life'!G55+'Family Guaranty'!G55+'Farmers &amp; Ranchers'!G55+'Fidelity Bankers'!G55+'First Natl'!G55+'Franklin American'!G55+'Franklin Protective'!G55+'George Washington'!G55+'Golden State'!G55+'Guarantee Security'!G55+Imerica!G55+'Inter-American'!G55+'International Fin'!G55+'Investment Life of America'!G55+'Investors Equity'!G55+'Kentucky Central'!G55+Legion!G55+'London Pac'!G55+'Medical Savings'!G55+'Midwest Life'!G55+'Mutual Benefit'!G55+'Mutual Security'!G55+'National Affiliated'!G55+'Natl American'!G55+'National Heritage'!G55+'New Jersey Life'!G55+'Old Colony Life'!G55+'Old Faithful'!G55+'Pacific Standard'!G55+SeeChange!G55+'States General'!G55+Statesman!G55+'Summit National'!G55+Supreme!G55+Underwriters!G55+Unison!G55+'United Republic'!G55+Universe!G55+Villanova!G55</f>
        <v>5035815.819884846</v>
      </c>
      <c r="I55" s="1">
        <f t="shared" si="3"/>
        <v>0</v>
      </c>
      <c r="K55" s="1" t="s">
        <v>615</v>
      </c>
      <c r="L55" s="1">
        <f>Summary!TOTAL_63541</f>
        <v>12380466.671347052</v>
      </c>
    </row>
    <row r="56" spans="1:12">
      <c r="A56" s="1" t="s">
        <v>77</v>
      </c>
      <c r="B56" s="1">
        <f>+'Alabama Life'!B56+'American Chambers'!B56+'American Educators'!B56+'American Integrity'!B56+'Amer Life Asr'!B56+'American Medical'!B56+'Amer Std Life Acc'!B56+AmerWstrn!B56+'AMS Life'!B56+'Andrew Jackson'!B56+'Bankers Commercial'!B56+Benicorp!B56+Centennial!B56+'Coastal States'!B56+'Confed Life (CLIC)'!B56+'Consolidated National'!B56+'Consumers Mutual'!B56+'Consumers United'!B56+'Corporate Life'!B56+'Diamond Benefits'!B56+'EBL Life'!B56+'Family Guaranty'!B56+'Farmers &amp; Ranchers'!B56+'Fidelity Bankers'!B56+'First Natl'!B56+'Franklin American'!B56+'Franklin Protective'!B56+'George Washington'!B56+'Golden State'!B56+'Guarantee Security'!B56+Imerica!B56+'Inter-American'!B56+'International Fin'!B56+'Investment Life of America'!B56+'Investors Equity'!B56+'Kentucky Central'!B56+Legion!B56+'London Pac'!B56+'Medical Savings'!B56+'Midwest Life'!B56+'Mutual Benefit'!B56+'Mutual Security'!B56+'National Affiliated'!B56+'Natl American'!B56+'National Heritage'!B56+'New Jersey Life'!B56+'Old Colony Life'!B56+'Old Faithful'!B56+'Pacific Standard'!B56+SeeChange!B56+'States General'!B56+Statesman!B56+'Summit National'!B56+Supreme!B56+Underwriters!B56+Unison!B56+'United Republic'!B56+Universe!B56+Villanova!B56</f>
        <v>14986211.949298579</v>
      </c>
      <c r="C56" s="1">
        <f>+'Alabama Life'!C56+'American Chambers'!C56+'American Educators'!C56+'American Integrity'!C56+'Amer Life Asr'!C56+'American Medical'!C56+'Amer Std Life Acc'!C56+AmerWstrn!C56+'AMS Life'!C56+'Andrew Jackson'!C56+'Bankers Commercial'!C56+Benicorp!C56+Centennial!C56+'Coastal States'!C56+'Confed Life (CLIC)'!C56+'Consolidated National'!C56+'Consumers Mutual'!C56+'Consumers United'!C56+'Corporate Life'!C56+'Diamond Benefits'!C56+'EBL Life'!C56+'Family Guaranty'!C56+'Farmers &amp; Ranchers'!C56+'Fidelity Bankers'!C56+'First Natl'!C56+'Franklin American'!C56+'Franklin Protective'!C56+'George Washington'!C56+'Golden State'!C56+'Guarantee Security'!C56+Imerica!C56+'Inter-American'!C56+'International Fin'!C56+'Investment Life of America'!C56+'Investors Equity'!C56+'Kentucky Central'!C56+Legion!C56+'London Pac'!C56+'Medical Savings'!C56+'Midwest Life'!C56+'Mutual Benefit'!C56+'Mutual Security'!C56+'National Affiliated'!C56+'Natl American'!C56+'National Heritage'!C56+'New Jersey Life'!C56+'Old Colony Life'!C56+'Old Faithful'!C56+'Pacific Standard'!C56+SeeChange!C56+'States General'!C56+Statesman!C56+'Summit National'!C56+Supreme!C56+Underwriters!C56+Unison!C56+'United Republic'!C56+Universe!C56+Villanova!C56</f>
        <v>6259752.2563557932</v>
      </c>
      <c r="D56" s="1">
        <f>+'Alabama Life'!D56+'American Chambers'!D56+'American Educators'!D56+'American Integrity'!D56+'Amer Life Asr'!D56+'American Medical'!D56+'Amer Std Life Acc'!D56+AmerWstrn!D56+'AMS Life'!D56+'Andrew Jackson'!D56+'Bankers Commercial'!D56+Benicorp!D56+Centennial!D56+'Coastal States'!D56+'Confed Life (CLIC)'!D56+'Consolidated National'!D56+'Consumers Mutual'!D56+'Consumers United'!D56+'Corporate Life'!D56+'Diamond Benefits'!D56+'EBL Life'!D56+'Family Guaranty'!D56+'Farmers &amp; Ranchers'!D56+'Fidelity Bankers'!D56+'First Natl'!D56+'Franklin American'!D56+'Franklin Protective'!D56+'George Washington'!D56+'Golden State'!D56+'Guarantee Security'!D56+Imerica!D56+'Inter-American'!D56+'International Fin'!D56+'Investment Life of America'!D56+'Investors Equity'!D56+'Kentucky Central'!D56+Legion!D56+'London Pac'!D56+'Medical Savings'!D56+'Midwest Life'!D56+'Mutual Benefit'!D56+'Mutual Security'!D56+'National Affiliated'!D56+'Natl American'!D56+'National Heritage'!D56+'New Jersey Life'!D56+'Old Colony Life'!D56+'Old Faithful'!D56+'Pacific Standard'!D56+SeeChange!D56+'States General'!D56+Statesman!D56+'Summit National'!D56+Supreme!D56+Underwriters!D56+Unison!D56+'United Republic'!D56+Universe!D56+Villanova!D56</f>
        <v>137410.74378350843</v>
      </c>
      <c r="E56" s="1">
        <f>+'Alabama Life'!E56+'American Chambers'!E56+'American Educators'!E56+'American Integrity'!E56+'Amer Life Asr'!E56+'American Medical'!E56+'Amer Std Life Acc'!E56+AmerWstrn!E56+'AMS Life'!E56+'Andrew Jackson'!E56+'Bankers Commercial'!E56+Benicorp!E56+Centennial!E56+'Coastal States'!E56+'Confed Life (CLIC)'!E56+'Consolidated National'!E56+'Consumers Mutual'!E56+'Consumers United'!E56+'Corporate Life'!E56+'Diamond Benefits'!E56+'EBL Life'!E56+'Family Guaranty'!E56+'Farmers &amp; Ranchers'!E56+'Fidelity Bankers'!E56+'First Natl'!E56+'Franklin American'!E56+'Franklin Protective'!E56+'George Washington'!E56+'Golden State'!E56+'Guarantee Security'!E56+Imerica!E56+'Inter-American'!E56+'International Fin'!E56+'Investment Life of America'!E56+'Investors Equity'!E56+'Kentucky Central'!E56+Legion!E56+'London Pac'!E56+'Medical Savings'!E56+'Midwest Life'!E56+'Mutual Benefit'!E56+'Mutual Security'!E56+'National Affiliated'!E56+'Natl American'!E56+'National Heritage'!E56+'New Jersey Life'!E56+'Old Colony Life'!E56+'Old Faithful'!E56+'Pacific Standard'!E56+SeeChange!E56+'States General'!E56+Statesman!E56+'Summit National'!E56+Supreme!E56+Underwriters!E56+Unison!E56+'United Republic'!E56+Universe!E56+Villanova!E56</f>
        <v>0</v>
      </c>
      <c r="F56" s="1">
        <f>+'Alabama Life'!F56+'American Chambers'!F56+'American Educators'!F56+'American Integrity'!F56+'Amer Life Asr'!F56+'American Medical'!F56+'Amer Std Life Acc'!F56+AmerWstrn!F56+'AMS Life'!F56+'Andrew Jackson'!F56+'Bankers Commercial'!F56+Benicorp!F56+Centennial!F56+'Coastal States'!F56+'Confed Life (CLIC)'!F56+'Consolidated National'!F56+'Consumers Mutual'!F56+'Consumers United'!F56+'Corporate Life'!F56+'Diamond Benefits'!F56+'EBL Life'!F56+'Family Guaranty'!F56+'Farmers &amp; Ranchers'!F56+'Fidelity Bankers'!F56+'First Natl'!F56+'Franklin American'!F56+'Franklin Protective'!F56+'George Washington'!F56+'Golden State'!F56+'Guarantee Security'!F56+Imerica!F56+'Inter-American'!F56+'International Fin'!F56+'Investment Life of America'!F56+'Investors Equity'!F56+'Kentucky Central'!F56+Legion!F56+'London Pac'!F56+'Medical Savings'!F56+'Midwest Life'!F56+'Mutual Benefit'!F56+'Mutual Security'!F56+'National Affiliated'!F56+'Natl American'!F56+'National Heritage'!F56+'New Jersey Life'!F56+'Old Colony Life'!F56+'Old Faithful'!F56+'Pacific Standard'!F56+SeeChange!F56+'States General'!F56+Statesman!F56+'Summit National'!F56+Supreme!F56+Underwriters!F56+Unison!F56+'United Republic'!F56+Universe!F56+Villanova!F56</f>
        <v>0</v>
      </c>
      <c r="G56" s="1">
        <f t="shared" si="2"/>
        <v>21383374.949437879</v>
      </c>
      <c r="H56" s="1">
        <f>+'Alabama Life'!G56+'American Chambers'!G56+'American Educators'!G56+'American Integrity'!G56+'Amer Life Asr'!G56+'American Medical'!G56+'Amer Std Life Acc'!G56+AmerWstrn!G56+'AMS Life'!G56+'Andrew Jackson'!G56+'Bankers Commercial'!G56+Benicorp!G56+Centennial!G56+'Coastal States'!G56+'Confed Life (CLIC)'!G56+'Consolidated National'!G56+'Consumers Mutual'!G56+'Consumers United'!G56+'Corporate Life'!G56+'Diamond Benefits'!G56+'EBL Life'!G56+'Family Guaranty'!G56+'Farmers &amp; Ranchers'!G56+'Fidelity Bankers'!G56+'First Natl'!G56+'Franklin American'!G56+'Franklin Protective'!G56+'George Washington'!G56+'Golden State'!G56+'Guarantee Security'!G56+Imerica!G56+'Inter-American'!G56+'International Fin'!G56+'Investment Life of America'!G56+'Investors Equity'!G56+'Kentucky Central'!G56+Legion!G56+'London Pac'!G56+'Medical Savings'!G56+'Midwest Life'!G56+'Mutual Benefit'!G56+'Mutual Security'!G56+'National Affiliated'!G56+'Natl American'!G56+'National Heritage'!G56+'New Jersey Life'!G56+'Old Colony Life'!G56+'Old Faithful'!G56+'Pacific Standard'!G56+SeeChange!G56+'States General'!G56+Statesman!G56+'Summit National'!G56+Supreme!G56+Underwriters!G56+Unison!G56+'United Republic'!G56+Universe!G56+Villanova!G56</f>
        <v>21383374.949437883</v>
      </c>
      <c r="I56" s="1">
        <f t="shared" si="3"/>
        <v>0</v>
      </c>
      <c r="K56" s="1" t="s">
        <v>619</v>
      </c>
      <c r="L56" s="1">
        <f>Summary!TOTAL_69175</f>
        <v>4938099.3900000006</v>
      </c>
    </row>
    <row r="57" spans="1:12">
      <c r="A57" s="1" t="s">
        <v>78</v>
      </c>
      <c r="B57" s="1">
        <f>+'Alabama Life'!B57+'American Chambers'!B57+'American Educators'!B57+'American Integrity'!B57+'Amer Life Asr'!B57+'American Medical'!B57+'Amer Std Life Acc'!B57+AmerWstrn!B57+'AMS Life'!B57+'Andrew Jackson'!B57+'Bankers Commercial'!B57+Benicorp!B57+Centennial!B57+'Coastal States'!B57+'Confed Life (CLIC)'!B57+'Consolidated National'!B57+'Consumers Mutual'!B57+'Consumers United'!B57+'Corporate Life'!B57+'Diamond Benefits'!B57+'EBL Life'!B57+'Family Guaranty'!B57+'Farmers &amp; Ranchers'!B57+'Fidelity Bankers'!B57+'First Natl'!B57+'Franklin American'!B57+'Franklin Protective'!B57+'George Washington'!B57+'Golden State'!B57+'Guarantee Security'!B57+Imerica!B57+'Inter-American'!B57+'International Fin'!B57+'Investment Life of America'!B57+'Investors Equity'!B57+'Kentucky Central'!B57+Legion!B57+'London Pac'!B57+'Medical Savings'!B57+'Midwest Life'!B57+'Mutual Benefit'!B57+'Mutual Security'!B57+'National Affiliated'!B57+'Natl American'!B57+'National Heritage'!B57+'New Jersey Life'!B57+'Old Colony Life'!B57+'Old Faithful'!B57+'Pacific Standard'!B57+SeeChange!B57+'States General'!B57+Statesman!B57+'Summit National'!B57+Supreme!B57+Underwriters!B57+Unison!B57+'United Republic'!B57+Universe!B57+Villanova!B57</f>
        <v>963210.79744762019</v>
      </c>
      <c r="C57" s="1">
        <f>+'Alabama Life'!C57+'American Chambers'!C57+'American Educators'!C57+'American Integrity'!C57+'Amer Life Asr'!C57+'American Medical'!C57+'Amer Std Life Acc'!C57+AmerWstrn!C57+'AMS Life'!C57+'Andrew Jackson'!C57+'Bankers Commercial'!C57+Benicorp!C57+Centennial!C57+'Coastal States'!C57+'Confed Life (CLIC)'!C57+'Consolidated National'!C57+'Consumers Mutual'!C57+'Consumers United'!C57+'Corporate Life'!C57+'Diamond Benefits'!C57+'EBL Life'!C57+'Family Guaranty'!C57+'Farmers &amp; Ranchers'!C57+'Fidelity Bankers'!C57+'First Natl'!C57+'Franklin American'!C57+'Franklin Protective'!C57+'George Washington'!C57+'Golden State'!C57+'Guarantee Security'!C57+Imerica!C57+'Inter-American'!C57+'International Fin'!C57+'Investment Life of America'!C57+'Investors Equity'!C57+'Kentucky Central'!C57+Legion!C57+'London Pac'!C57+'Medical Savings'!C57+'Midwest Life'!C57+'Mutual Benefit'!C57+'Mutual Security'!C57+'National Affiliated'!C57+'Natl American'!C57+'National Heritage'!C57+'New Jersey Life'!C57+'Old Colony Life'!C57+'Old Faithful'!C57+'Pacific Standard'!C57+SeeChange!C57+'States General'!C57+Statesman!C57+'Summit National'!C57+Supreme!C57+Underwriters!C57+Unison!C57+'United Republic'!C57+Universe!C57+Villanova!C57</f>
        <v>2430640.1480186791</v>
      </c>
      <c r="D57" s="1">
        <f>+'Alabama Life'!D57+'American Chambers'!D57+'American Educators'!D57+'American Integrity'!D57+'Amer Life Asr'!D57+'American Medical'!D57+'Amer Std Life Acc'!D57+AmerWstrn!D57+'AMS Life'!D57+'Andrew Jackson'!D57+'Bankers Commercial'!D57+Benicorp!D57+Centennial!D57+'Coastal States'!D57+'Confed Life (CLIC)'!D57+'Consolidated National'!D57+'Consumers Mutual'!D57+'Consumers United'!D57+'Corporate Life'!D57+'Diamond Benefits'!D57+'EBL Life'!D57+'Family Guaranty'!D57+'Farmers &amp; Ranchers'!D57+'Fidelity Bankers'!D57+'First Natl'!D57+'Franklin American'!D57+'Franklin Protective'!D57+'George Washington'!D57+'Golden State'!D57+'Guarantee Security'!D57+Imerica!D57+'Inter-American'!D57+'International Fin'!D57+'Investment Life of America'!D57+'Investors Equity'!D57+'Kentucky Central'!D57+Legion!D57+'London Pac'!D57+'Medical Savings'!D57+'Midwest Life'!D57+'Mutual Benefit'!D57+'Mutual Security'!D57+'National Affiliated'!D57+'Natl American'!D57+'National Heritage'!D57+'New Jersey Life'!D57+'Old Colony Life'!D57+'Old Faithful'!D57+'Pacific Standard'!D57+SeeChange!D57+'States General'!D57+Statesman!D57+'Summit National'!D57+Supreme!D57+Underwriters!D57+Unison!D57+'United Republic'!D57+Universe!D57+Villanova!D57</f>
        <v>440583.02242969739</v>
      </c>
      <c r="E57" s="1">
        <f>+'Alabama Life'!E57+'American Chambers'!E57+'American Educators'!E57+'American Integrity'!E57+'Amer Life Asr'!E57+'American Medical'!E57+'Amer Std Life Acc'!E57+AmerWstrn!E57+'AMS Life'!E57+'Andrew Jackson'!E57+'Bankers Commercial'!E57+Benicorp!E57+Centennial!E57+'Coastal States'!E57+'Confed Life (CLIC)'!E57+'Consolidated National'!E57+'Consumers Mutual'!E57+'Consumers United'!E57+'Corporate Life'!E57+'Diamond Benefits'!E57+'EBL Life'!E57+'Family Guaranty'!E57+'Farmers &amp; Ranchers'!E57+'Fidelity Bankers'!E57+'First Natl'!E57+'Franklin American'!E57+'Franklin Protective'!E57+'George Washington'!E57+'Golden State'!E57+'Guarantee Security'!E57+Imerica!E57+'Inter-American'!E57+'International Fin'!E57+'Investment Life of America'!E57+'Investors Equity'!E57+'Kentucky Central'!E57+Legion!E57+'London Pac'!E57+'Medical Savings'!E57+'Midwest Life'!E57+'Mutual Benefit'!E57+'Mutual Security'!E57+'National Affiliated'!E57+'Natl American'!E57+'National Heritage'!E57+'New Jersey Life'!E57+'Old Colony Life'!E57+'Old Faithful'!E57+'Pacific Standard'!E57+SeeChange!E57+'States General'!E57+Statesman!E57+'Summit National'!E57+Supreme!E57+Underwriters!E57+Unison!E57+'United Republic'!E57+Universe!E57+Villanova!E57</f>
        <v>0</v>
      </c>
      <c r="F57" s="1">
        <f>+'Alabama Life'!F57+'American Chambers'!F57+'American Educators'!F57+'American Integrity'!F57+'Amer Life Asr'!F57+'American Medical'!F57+'Amer Std Life Acc'!F57+AmerWstrn!F57+'AMS Life'!F57+'Andrew Jackson'!F57+'Bankers Commercial'!F57+Benicorp!F57+Centennial!F57+'Coastal States'!F57+'Confed Life (CLIC)'!F57+'Consolidated National'!F57+'Consumers Mutual'!F57+'Consumers United'!F57+'Corporate Life'!F57+'Diamond Benefits'!F57+'EBL Life'!F57+'Family Guaranty'!F57+'Farmers &amp; Ranchers'!F57+'Fidelity Bankers'!F57+'First Natl'!F57+'Franklin American'!F57+'Franklin Protective'!F57+'George Washington'!F57+'Golden State'!F57+'Guarantee Security'!F57+Imerica!F57+'Inter-American'!F57+'International Fin'!F57+'Investment Life of America'!F57+'Investors Equity'!F57+'Kentucky Central'!F57+Legion!F57+'London Pac'!F57+'Medical Savings'!F57+'Midwest Life'!F57+'Mutual Benefit'!F57+'Mutual Security'!F57+'National Affiliated'!F57+'Natl American'!F57+'National Heritage'!F57+'New Jersey Life'!F57+'Old Colony Life'!F57+'Old Faithful'!F57+'Pacific Standard'!F57+SeeChange!F57+'States General'!F57+Statesman!F57+'Summit National'!F57+Supreme!F57+Underwriters!F57+Unison!F57+'United Republic'!F57+Universe!F57+Villanova!F57</f>
        <v>0</v>
      </c>
      <c r="G57" s="1">
        <f t="shared" si="2"/>
        <v>3834433.9678959968</v>
      </c>
      <c r="H57" s="1">
        <f>+'Alabama Life'!G57+'American Chambers'!G57+'American Educators'!G57+'American Integrity'!G57+'Amer Life Asr'!G57+'American Medical'!G57+'Amer Std Life Acc'!G57+AmerWstrn!G57+'AMS Life'!G57+'Andrew Jackson'!G57+'Bankers Commercial'!G57+Benicorp!G57+Centennial!G57+'Coastal States'!G57+'Confed Life (CLIC)'!G57+'Consolidated National'!G57+'Consumers Mutual'!G57+'Consumers United'!G57+'Corporate Life'!G57+'Diamond Benefits'!G57+'EBL Life'!G57+'Family Guaranty'!G57+'Farmers &amp; Ranchers'!G57+'Fidelity Bankers'!G57+'First Natl'!G57+'Franklin American'!G57+'Franklin Protective'!G57+'George Washington'!G57+'Golden State'!G57+'Guarantee Security'!G57+Imerica!G57+'Inter-American'!G57+'International Fin'!G57+'Investment Life of America'!G57+'Investors Equity'!G57+'Kentucky Central'!G57+Legion!G57+'London Pac'!G57+'Medical Savings'!G57+'Midwest Life'!G57+'Mutual Benefit'!G57+'Mutual Security'!G57+'National Affiliated'!G57+'Natl American'!G57+'National Heritage'!G57+'New Jersey Life'!G57+'Old Colony Life'!G57+'Old Faithful'!G57+'Pacific Standard'!G57+SeeChange!G57+'States General'!G57+Statesman!G57+'Summit National'!G57+Supreme!G57+Underwriters!G57+Unison!G57+'United Republic'!G57+Universe!G57+Villanova!G57</f>
        <v>3834433.9678959963</v>
      </c>
      <c r="I57" s="1">
        <f t="shared" si="3"/>
        <v>0</v>
      </c>
      <c r="K57" s="1" t="s">
        <v>625</v>
      </c>
      <c r="L57" s="1">
        <f>Summary!TOTAL_69183</f>
        <v>4051414.9099999983</v>
      </c>
    </row>
    <row r="58" spans="1:12">
      <c r="A58" s="1" t="s">
        <v>79</v>
      </c>
      <c r="B58" s="1">
        <f>+'Alabama Life'!B58+'American Chambers'!B58+'American Educators'!B58+'American Integrity'!B58+'Amer Life Asr'!B58+'American Medical'!B58+'Amer Std Life Acc'!B58+AmerWstrn!B58+'AMS Life'!B58+'Andrew Jackson'!B58+'Bankers Commercial'!B58+Benicorp!B58+Centennial!B58+'Coastal States'!B58+'Confed Life (CLIC)'!B58+'Consolidated National'!B58+'Consumers Mutual'!B58+'Consumers United'!B58+'Corporate Life'!B58+'Diamond Benefits'!B58+'EBL Life'!B58+'Family Guaranty'!B58+'Farmers &amp; Ranchers'!B58+'Fidelity Bankers'!B58+'First Natl'!B58+'Franklin American'!B58+'Franklin Protective'!B58+'George Washington'!B58+'Golden State'!B58+'Guarantee Security'!B58+Imerica!B58+'Inter-American'!B58+'International Fin'!B58+'Investment Life of America'!B58+'Investors Equity'!B58+'Kentucky Central'!B58+Legion!B58+'London Pac'!B58+'Medical Savings'!B58+'Midwest Life'!B58+'Mutual Benefit'!B58+'Mutual Security'!B58+'National Affiliated'!B58+'Natl American'!B58+'National Heritage'!B58+'New Jersey Life'!B58+'Old Colony Life'!B58+'Old Faithful'!B58+'Pacific Standard'!B58+SeeChange!B58+'States General'!B58+Statesman!B58+'Summit National'!B58+Supreme!B58+Underwriters!B58+Unison!B58+'United Republic'!B58+Universe!B58+Villanova!B58</f>
        <v>1</v>
      </c>
      <c r="C58" s="1">
        <f>+'Alabama Life'!C58+'American Chambers'!C58+'American Educators'!C58+'American Integrity'!C58+'Amer Life Asr'!C58+'American Medical'!C58+'Amer Std Life Acc'!C58+AmerWstrn!C58+'AMS Life'!C58+'Andrew Jackson'!C58+'Bankers Commercial'!C58+Benicorp!C58+Centennial!C58+'Coastal States'!C58+'Confed Life (CLIC)'!C58+'Consolidated National'!C58+'Consumers Mutual'!C58+'Consumers United'!C58+'Corporate Life'!C58+'Diamond Benefits'!C58+'EBL Life'!C58+'Family Guaranty'!C58+'Farmers &amp; Ranchers'!C58+'Fidelity Bankers'!C58+'First Natl'!C58+'Franklin American'!C58+'Franklin Protective'!C58+'George Washington'!C58+'Golden State'!C58+'Guarantee Security'!C58+Imerica!C58+'Inter-American'!C58+'International Fin'!C58+'Investment Life of America'!C58+'Investors Equity'!C58+'Kentucky Central'!C58+Legion!C58+'London Pac'!C58+'Medical Savings'!C58+'Midwest Life'!C58+'Mutual Benefit'!C58+'Mutual Security'!C58+'National Affiliated'!C58+'Natl American'!C58+'National Heritage'!C58+'New Jersey Life'!C58+'Old Colony Life'!C58+'Old Faithful'!C58+'Pacific Standard'!C58+SeeChange!C58+'States General'!C58+Statesman!C58+'Summit National'!C58+Supreme!C58+Underwriters!C58+Unison!C58+'United Republic'!C58+Universe!C58+Villanova!C58</f>
        <v>0</v>
      </c>
      <c r="D58" s="1">
        <f>+'Alabama Life'!D58+'American Chambers'!D58+'American Educators'!D58+'American Integrity'!D58+'Amer Life Asr'!D58+'American Medical'!D58+'Amer Std Life Acc'!D58+AmerWstrn!D58+'AMS Life'!D58+'Andrew Jackson'!D58+'Bankers Commercial'!D58+Benicorp!D58+Centennial!D58+'Coastal States'!D58+'Confed Life (CLIC)'!D58+'Consolidated National'!D58+'Consumers Mutual'!D58+'Consumers United'!D58+'Corporate Life'!D58+'Diamond Benefits'!D58+'EBL Life'!D58+'Family Guaranty'!D58+'Farmers &amp; Ranchers'!D58+'Fidelity Bankers'!D58+'First Natl'!D58+'Franklin American'!D58+'Franklin Protective'!D58+'George Washington'!D58+'Golden State'!D58+'Guarantee Security'!D58+Imerica!D58+'Inter-American'!D58+'International Fin'!D58+'Investment Life of America'!D58+'Investors Equity'!D58+'Kentucky Central'!D58+Legion!D58+'London Pac'!D58+'Medical Savings'!D58+'Midwest Life'!D58+'Mutual Benefit'!D58+'Mutual Security'!D58+'National Affiliated'!D58+'Natl American'!D58+'National Heritage'!D58+'New Jersey Life'!D58+'Old Colony Life'!D58+'Old Faithful'!D58+'Pacific Standard'!D58+SeeChange!D58+'States General'!D58+Statesman!D58+'Summit National'!D58+Supreme!D58+Underwriters!D58+Unison!D58+'United Republic'!D58+Universe!D58+Villanova!D58</f>
        <v>13543.189376251059</v>
      </c>
      <c r="E58" s="1">
        <f>+'Alabama Life'!E58+'American Chambers'!E58+'American Educators'!E58+'American Integrity'!E58+'Amer Life Asr'!E58+'American Medical'!E58+'Amer Std Life Acc'!E58+AmerWstrn!E58+'AMS Life'!E58+'Andrew Jackson'!E58+'Bankers Commercial'!E58+Benicorp!E58+Centennial!E58+'Coastal States'!E58+'Confed Life (CLIC)'!E58+'Consolidated National'!E58+'Consumers Mutual'!E58+'Consumers United'!E58+'Corporate Life'!E58+'Diamond Benefits'!E58+'EBL Life'!E58+'Family Guaranty'!E58+'Farmers &amp; Ranchers'!E58+'Fidelity Bankers'!E58+'First Natl'!E58+'Franklin American'!E58+'Franklin Protective'!E58+'George Washington'!E58+'Golden State'!E58+'Guarantee Security'!E58+Imerica!E58+'Inter-American'!E58+'International Fin'!E58+'Investment Life of America'!E58+'Investors Equity'!E58+'Kentucky Central'!E58+Legion!E58+'London Pac'!E58+'Medical Savings'!E58+'Midwest Life'!E58+'Mutual Benefit'!E58+'Mutual Security'!E58+'National Affiliated'!E58+'Natl American'!E58+'National Heritage'!E58+'New Jersey Life'!E58+'Old Colony Life'!E58+'Old Faithful'!E58+'Pacific Standard'!E58+SeeChange!E58+'States General'!E58+Statesman!E58+'Summit National'!E58+Supreme!E58+Underwriters!E58+Unison!E58+'United Republic'!E58+Universe!E58+Villanova!E58</f>
        <v>0</v>
      </c>
      <c r="F58" s="1">
        <f>+'Alabama Life'!F58+'American Chambers'!F58+'American Educators'!F58+'American Integrity'!F58+'Amer Life Asr'!F58+'American Medical'!F58+'Amer Std Life Acc'!F58+AmerWstrn!F58+'AMS Life'!F58+'Andrew Jackson'!F58+'Bankers Commercial'!F58+Benicorp!F58+Centennial!F58+'Coastal States'!F58+'Confed Life (CLIC)'!F58+'Consolidated National'!F58+'Consumers Mutual'!F58+'Consumers United'!F58+'Corporate Life'!F58+'Diamond Benefits'!F58+'EBL Life'!F58+'Family Guaranty'!F58+'Farmers &amp; Ranchers'!F58+'Fidelity Bankers'!F58+'First Natl'!F58+'Franklin American'!F58+'Franklin Protective'!F58+'George Washington'!F58+'Golden State'!F58+'Guarantee Security'!F58+Imerica!F58+'Inter-American'!F58+'International Fin'!F58+'Investment Life of America'!F58+'Investors Equity'!F58+'Kentucky Central'!F58+Legion!F58+'London Pac'!F58+'Medical Savings'!F58+'Midwest Life'!F58+'Mutual Benefit'!F58+'Mutual Security'!F58+'National Affiliated'!F58+'Natl American'!F58+'National Heritage'!F58+'New Jersey Life'!F58+'Old Colony Life'!F58+'Old Faithful'!F58+'Pacific Standard'!F58+SeeChange!F58+'States General'!F58+Statesman!F58+'Summit National'!F58+Supreme!F58+Underwriters!F58+Unison!F58+'United Republic'!F58+Universe!F58+Villanova!F58</f>
        <v>0</v>
      </c>
      <c r="G58" s="1">
        <f t="shared" si="2"/>
        <v>13544.189376251059</v>
      </c>
      <c r="H58" s="1">
        <f>+'Alabama Life'!G58+'American Chambers'!G58+'American Educators'!G58+'American Integrity'!G58+'Amer Life Asr'!G58+'American Medical'!G58+'Amer Std Life Acc'!G58+AmerWstrn!G58+'AMS Life'!G58+'Andrew Jackson'!G58+'Bankers Commercial'!G58+Benicorp!G58+Centennial!G58+'Coastal States'!G58+'Confed Life (CLIC)'!G58+'Consolidated National'!G58+'Consumers Mutual'!G58+'Consumers United'!G58+'Corporate Life'!G58+'Diamond Benefits'!G58+'EBL Life'!G58+'Family Guaranty'!G58+'Farmers &amp; Ranchers'!G58+'Fidelity Bankers'!G58+'First Natl'!G58+'Franklin American'!G58+'Franklin Protective'!G58+'George Washington'!G58+'Golden State'!G58+'Guarantee Security'!G58+Imerica!G58+'Inter-American'!G58+'International Fin'!G58+'Investment Life of America'!G58+'Investors Equity'!G58+'Kentucky Central'!G58+Legion!G58+'London Pac'!G58+'Medical Savings'!G58+'Midwest Life'!G58+'Mutual Benefit'!G58+'Mutual Security'!G58+'National Affiliated'!G58+'Natl American'!G58+'National Heritage'!G58+'New Jersey Life'!G58+'Old Colony Life'!G58+'Old Faithful'!G58+'Pacific Standard'!G58+SeeChange!G58+'States General'!G58+Statesman!G58+'Summit National'!G58+Supreme!G58+Underwriters!G58+Unison!G58+'United Republic'!G58+Universe!G58+Villanova!G58</f>
        <v>13544.189376251059</v>
      </c>
      <c r="I58" s="1">
        <f t="shared" si="3"/>
        <v>0</v>
      </c>
      <c r="K58" s="1" t="s">
        <v>631</v>
      </c>
      <c r="L58" s="1">
        <f>Summary!TOTAL_71080</f>
        <v>4657250.0299999816</v>
      </c>
    </row>
    <row r="59" spans="1:12">
      <c r="K59" s="1" t="s">
        <v>636</v>
      </c>
      <c r="L59" s="1">
        <f>Summary!TOTAL_69302</f>
        <v>37530.230000000003</v>
      </c>
    </row>
    <row r="60" spans="1:12">
      <c r="K60" s="1" t="s">
        <v>640</v>
      </c>
      <c r="L60" s="1">
        <f>Summary!TOTAL_88188</f>
        <v>8106994</v>
      </c>
    </row>
    <row r="61" spans="1:12">
      <c r="A61" s="1" t="s">
        <v>8</v>
      </c>
      <c r="B61" s="1">
        <f>SUM(LIFE)</f>
        <v>292899306.14661783</v>
      </c>
      <c r="C61" s="1">
        <f>SUM(ALLOCATED)</f>
        <v>764842286.01808488</v>
      </c>
      <c r="D61" s="1">
        <f>SUM(HEALTH)</f>
        <v>189468117.71373817</v>
      </c>
      <c r="E61" s="1">
        <f>SUM(UNALLOCATED)</f>
        <v>22452017.039440565</v>
      </c>
      <c r="F61" s="1">
        <f>SUM(LTC)</f>
        <v>0</v>
      </c>
      <c r="G61" s="1">
        <f>SUM(TOTAL)</f>
        <v>1269661726.9178808</v>
      </c>
      <c r="H61" s="1">
        <f>SUM(TOTAL_CROSSCHECK)</f>
        <v>1269661726.917881</v>
      </c>
      <c r="I61" s="1">
        <f>SUM(RECON)</f>
        <v>-3.2741809263825417E-11</v>
      </c>
      <c r="K61" s="1" t="s">
        <v>647</v>
      </c>
      <c r="L61" s="1">
        <f>Summary!TOTAL_68055</f>
        <v>13414920.088913551</v>
      </c>
    </row>
    <row r="62" spans="1:12">
      <c r="K62" s="1" t="s">
        <v>650</v>
      </c>
      <c r="L62" s="1">
        <f>Summary!TOTAL_93238</f>
        <v>40667.22</v>
      </c>
    </row>
    <row r="63" spans="1:12">
      <c r="K63" s="1" t="s">
        <v>656</v>
      </c>
      <c r="L63" s="1">
        <f>Summary!TOTAL_70181</f>
        <v>10397891.84</v>
      </c>
    </row>
    <row r="64" spans="1:12">
      <c r="K64" s="1" t="s">
        <v>663</v>
      </c>
      <c r="L64" s="1">
        <f>Summary!TOTAL_19577</f>
        <v>0</v>
      </c>
    </row>
    <row r="66" spans="11:12">
      <c r="K66" s="1" t="s">
        <v>8</v>
      </c>
      <c r="L66" s="1">
        <f>SUM(REC_TOTAL)</f>
        <v>1269661726.9178813</v>
      </c>
    </row>
    <row r="67" spans="11:12">
      <c r="K67" s="1" t="s">
        <v>699</v>
      </c>
      <c r="L67" s="1">
        <f>SUM(TOTAL)</f>
        <v>1269661726.9178808</v>
      </c>
    </row>
    <row r="68" spans="11:12">
      <c r="L68" s="1">
        <f>SUM(TOTAL)-SUM(REC_TOTAL)</f>
        <v>0</v>
      </c>
    </row>
  </sheetData>
  <mergeCells count="1">
    <mergeCell ref="A1:G1"/>
  </mergeCells>
  <pageMargins left="0" right="0" top="0.5" bottom="0.5" header="0.3" footer="0.3"/>
  <pageSetup paperSize="5" scale="54"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L61"/>
  <sheetViews>
    <sheetView topLeftCell="C1" zoomScale="75" workbookViewId="0">
      <selection activeCell="M49" sqref="M49"/>
    </sheetView>
  </sheetViews>
  <sheetFormatPr defaultColWidth="9.109375" defaultRowHeight="14.4"/>
  <cols>
    <col min="1" max="1" width="20" style="1" customWidth="1"/>
    <col min="2" max="8" width="15" style="1" customWidth="1"/>
    <col min="9" max="9" width="5" style="1" customWidth="1"/>
    <col min="10" max="10" width="9.109375" style="1" customWidth="1"/>
    <col min="11" max="11" width="40" style="1" customWidth="1"/>
    <col min="12" max="12" width="15" style="1" customWidth="1"/>
    <col min="13" max="13" width="9.109375" style="1" customWidth="1"/>
    <col min="14" max="16384" width="9.109375" style="1"/>
  </cols>
  <sheetData>
    <row r="1" spans="1:12">
      <c r="A1" s="135" t="s">
        <v>703</v>
      </c>
      <c r="B1" s="135"/>
      <c r="C1" s="135"/>
      <c r="D1" s="135"/>
      <c r="E1" s="135"/>
      <c r="F1" s="135"/>
      <c r="G1" s="135"/>
    </row>
    <row r="3" spans="1:12">
      <c r="B3" s="3"/>
      <c r="C3" s="3" t="s">
        <v>696</v>
      </c>
      <c r="D3" s="3"/>
      <c r="E3" s="3" t="s">
        <v>697</v>
      </c>
      <c r="F3" s="3"/>
      <c r="G3" s="3"/>
    </row>
    <row r="4" spans="1:12">
      <c r="B4" s="3" t="s">
        <v>3</v>
      </c>
      <c r="C4" s="3" t="s">
        <v>698</v>
      </c>
      <c r="D4" s="3" t="s">
        <v>5</v>
      </c>
      <c r="E4" s="3" t="s">
        <v>698</v>
      </c>
      <c r="F4" s="3" t="s">
        <v>7</v>
      </c>
      <c r="G4" s="3" t="s">
        <v>8</v>
      </c>
    </row>
    <row r="6" spans="1:12">
      <c r="A6" s="1" t="s">
        <v>11</v>
      </c>
      <c r="B6" s="1">
        <f>+'American Community'!B6+'Confed Life &amp; Annty (CLIAC)'!B6+'Fidelity Mutual'!B6+'First Capital'!B6+Midcontinent!B6+'Pavonia Life'!B6+Settlers!B6+Shenandoah!B6</f>
        <v>1774765.5181568924</v>
      </c>
      <c r="C6" s="1">
        <f>+'American Community'!C6+'Confed Life &amp; Annty (CLIAC)'!C6+'Fidelity Mutual'!C6+'First Capital'!C6+Midcontinent!C6+'Pavonia Life'!C6+Settlers!C6+Shenandoah!C6</f>
        <v>1649.9212756765421</v>
      </c>
      <c r="D6" s="1">
        <f>+'American Community'!D6+'Confed Life &amp; Annty (CLIAC)'!D6+'Fidelity Mutual'!D6+'First Capital'!D6+Midcontinent!D6+'Pavonia Life'!D6+Settlers!D6+Shenandoah!D6</f>
        <v>23496.274008790773</v>
      </c>
      <c r="E6" s="1">
        <f>+'American Community'!E6+'Confed Life &amp; Annty (CLIAC)'!E6+'Fidelity Mutual'!E6+'First Capital'!E6+Midcontinent!E6+'Pavonia Life'!E6+Settlers!E6+Shenandoah!E6</f>
        <v>0</v>
      </c>
      <c r="F6" s="1">
        <f>+'American Community'!F6+'Confed Life &amp; Annty (CLIAC)'!F6+'Fidelity Mutual'!F6+'First Capital'!F6+Midcontinent!F6+'Pavonia Life'!F6+Settlers!F6+Shenandoah!F6</f>
        <v>0</v>
      </c>
      <c r="G6" s="1">
        <f t="shared" ref="G6:G37" si="0">SUM(B6:F6)</f>
        <v>1799911.7134413596</v>
      </c>
      <c r="H6" s="1">
        <f>+'American Community'!G6+'Confed Life &amp; Annty (CLIAC)'!G6+'Fidelity Mutual'!G6+'First Capital'!G6+Midcontinent!G6+'Pavonia Life'!G6+Settlers!G6+Shenandoah!G6</f>
        <v>1799911.7134413598</v>
      </c>
      <c r="I6" s="1">
        <f t="shared" ref="I6:I37" si="1">G6-H6</f>
        <v>0</v>
      </c>
      <c r="K6" s="1" t="s">
        <v>667</v>
      </c>
      <c r="L6" s="1">
        <f>Summary!TOTAL_60305</f>
        <v>273213.37</v>
      </c>
    </row>
    <row r="7" spans="1:12">
      <c r="A7" s="1" t="s">
        <v>12</v>
      </c>
      <c r="B7" s="1">
        <f>+'American Community'!B7+'Confed Life &amp; Annty (CLIAC)'!B7+'Fidelity Mutual'!B7+'First Capital'!B7+Midcontinent!B7+'Pavonia Life'!B7+Settlers!B7+Shenandoah!B7</f>
        <v>153729.82117336633</v>
      </c>
      <c r="C7" s="1">
        <f>+'American Community'!C7+'Confed Life &amp; Annty (CLIAC)'!C7+'Fidelity Mutual'!C7+'First Capital'!C7+Midcontinent!C7+'Pavonia Life'!C7+Settlers!C7+Shenandoah!C7</f>
        <v>8.2835661522373556</v>
      </c>
      <c r="D7" s="1">
        <f>+'American Community'!D7+'Confed Life &amp; Annty (CLIAC)'!D7+'Fidelity Mutual'!D7+'First Capital'!D7+Midcontinent!D7+'Pavonia Life'!D7+Settlers!D7+Shenandoah!D7</f>
        <v>0</v>
      </c>
      <c r="E7" s="1">
        <f>+'American Community'!E7+'Confed Life &amp; Annty (CLIAC)'!E7+'Fidelity Mutual'!E7+'First Capital'!E7+Midcontinent!E7+'Pavonia Life'!E7+Settlers!E7+Shenandoah!E7</f>
        <v>0</v>
      </c>
      <c r="F7" s="1">
        <f>+'American Community'!F7+'Confed Life &amp; Annty (CLIAC)'!F7+'Fidelity Mutual'!F7+'First Capital'!F7+Midcontinent!F7+'Pavonia Life'!F7+Settlers!F7+Shenandoah!F7</f>
        <v>0</v>
      </c>
      <c r="G7" s="1">
        <f t="shared" si="0"/>
        <v>153738.10473951857</v>
      </c>
      <c r="H7" s="1">
        <f>+'American Community'!G7+'Confed Life &amp; Annty (CLIAC)'!G7+'Fidelity Mutual'!G7+'First Capital'!G7+Midcontinent!G7+'Pavonia Life'!G7+Settlers!G7+Shenandoah!G7</f>
        <v>153738.10473951857</v>
      </c>
      <c r="I7" s="1">
        <f t="shared" si="1"/>
        <v>0</v>
      </c>
      <c r="K7" s="1" t="s">
        <v>670</v>
      </c>
      <c r="L7" s="1">
        <f>Summary!TOTAL_99384</f>
        <v>0</v>
      </c>
    </row>
    <row r="8" spans="1:12">
      <c r="A8" s="1" t="s">
        <v>13</v>
      </c>
      <c r="B8" s="1">
        <f>+'American Community'!B8+'Confed Life &amp; Annty (CLIAC)'!B8+'Fidelity Mutual'!B8+'First Capital'!B8+Midcontinent!B8+'Pavonia Life'!B8+Settlers!B8+Shenandoah!B8</f>
        <v>2053547.0050892916</v>
      </c>
      <c r="C8" s="1">
        <f>+'American Community'!C8+'Confed Life &amp; Annty (CLIAC)'!C8+'Fidelity Mutual'!C8+'First Capital'!C8+Midcontinent!C8+'Pavonia Life'!C8+Settlers!C8+Shenandoah!C8</f>
        <v>1220.1621037028876</v>
      </c>
      <c r="D8" s="1">
        <f>+'American Community'!D8+'Confed Life &amp; Annty (CLIAC)'!D8+'Fidelity Mutual'!D8+'First Capital'!D8+Midcontinent!D8+'Pavonia Life'!D8+Settlers!D8+Shenandoah!D8</f>
        <v>55527.080213023561</v>
      </c>
      <c r="E8" s="1">
        <f>+'American Community'!E8+'Confed Life &amp; Annty (CLIAC)'!E8+'Fidelity Mutual'!E8+'First Capital'!E8+Midcontinent!E8+'Pavonia Life'!E8+Settlers!E8+Shenandoah!E8</f>
        <v>0</v>
      </c>
      <c r="F8" s="1">
        <f>+'American Community'!F8+'Confed Life &amp; Annty (CLIAC)'!F8+'Fidelity Mutual'!F8+'First Capital'!F8+Midcontinent!F8+'Pavonia Life'!F8+Settlers!F8+Shenandoah!F8</f>
        <v>0</v>
      </c>
      <c r="G8" s="1">
        <f t="shared" si="0"/>
        <v>2110294.247406018</v>
      </c>
      <c r="H8" s="1">
        <f>+'American Community'!G8+'Confed Life &amp; Annty (CLIAC)'!G8+'Fidelity Mutual'!G8+'First Capital'!G8+Midcontinent!G8+'Pavonia Life'!G8+Settlers!G8+Shenandoah!G8</f>
        <v>2110294.247406018</v>
      </c>
      <c r="I8" s="1">
        <f t="shared" si="1"/>
        <v>0</v>
      </c>
      <c r="K8" s="1" t="s">
        <v>674</v>
      </c>
      <c r="L8" s="1">
        <f>Summary!TOTAL_63304</f>
        <v>1276371.1400000001</v>
      </c>
    </row>
    <row r="9" spans="1:12">
      <c r="A9" s="1" t="s">
        <v>15</v>
      </c>
      <c r="B9" s="1">
        <f>+'American Community'!B9+'Confed Life &amp; Annty (CLIAC)'!B9+'Fidelity Mutual'!B9+'First Capital'!B9+Midcontinent!B9+'Pavonia Life'!B9+Settlers!B9+Shenandoah!B9</f>
        <v>1003616.1779766304</v>
      </c>
      <c r="C9" s="1">
        <f>+'American Community'!C9+'Confed Life &amp; Annty (CLIAC)'!C9+'Fidelity Mutual'!C9+'First Capital'!C9+Midcontinent!C9+'Pavonia Life'!C9+Settlers!C9+Shenandoah!C9</f>
        <v>1088.2489535994525</v>
      </c>
      <c r="D9" s="1">
        <f>+'American Community'!D9+'Confed Life &amp; Annty (CLIAC)'!D9+'Fidelity Mutual'!D9+'First Capital'!D9+Midcontinent!D9+'Pavonia Life'!D9+Settlers!D9+Shenandoah!D9</f>
        <v>2625.7975041475447</v>
      </c>
      <c r="E9" s="1">
        <f>+'American Community'!E9+'Confed Life &amp; Annty (CLIAC)'!E9+'Fidelity Mutual'!E9+'First Capital'!E9+Midcontinent!E9+'Pavonia Life'!E9+Settlers!E9+Shenandoah!E9</f>
        <v>0</v>
      </c>
      <c r="F9" s="1">
        <f>+'American Community'!F9+'Confed Life &amp; Annty (CLIAC)'!F9+'Fidelity Mutual'!F9+'First Capital'!F9+Midcontinent!F9+'Pavonia Life'!F9+Settlers!F9+Shenandoah!F9</f>
        <v>0</v>
      </c>
      <c r="G9" s="1">
        <f t="shared" si="0"/>
        <v>1007330.2244343774</v>
      </c>
      <c r="H9" s="1">
        <f>+'American Community'!G9+'Confed Life &amp; Annty (CLIAC)'!G9+'Fidelity Mutual'!G9+'First Capital'!G9+Midcontinent!G9+'Pavonia Life'!G9+Settlers!G9+Shenandoah!G9</f>
        <v>1007330.2244343774</v>
      </c>
      <c r="I9" s="1">
        <f t="shared" si="1"/>
        <v>0</v>
      </c>
      <c r="K9" s="1" t="s">
        <v>677</v>
      </c>
      <c r="L9" s="1">
        <f>Summary!TOTAL_65447</f>
        <v>47329.740000000049</v>
      </c>
    </row>
    <row r="10" spans="1:12">
      <c r="A10" s="1" t="s">
        <v>16</v>
      </c>
      <c r="B10" s="1">
        <f>+'American Community'!B10+'Confed Life &amp; Annty (CLIAC)'!B10+'Fidelity Mutual'!B10+'First Capital'!B10+Midcontinent!B10+'Pavonia Life'!B10+Settlers!B10+Shenandoah!B10</f>
        <v>11168935.437881289</v>
      </c>
      <c r="C10" s="1">
        <f>+'American Community'!C10+'Confed Life &amp; Annty (CLIAC)'!C10+'Fidelity Mutual'!C10+'First Capital'!C10+Midcontinent!C10+'Pavonia Life'!C10+Settlers!C10+Shenandoah!C10</f>
        <v>3917.3048132099357</v>
      </c>
      <c r="D10" s="1">
        <f>+'American Community'!D10+'Confed Life &amp; Annty (CLIAC)'!D10+'Fidelity Mutual'!D10+'First Capital'!D10+Midcontinent!D10+'Pavonia Life'!D10+Settlers!D10+Shenandoah!D10</f>
        <v>73171.282914352705</v>
      </c>
      <c r="E10" s="1">
        <f>+'American Community'!E10+'Confed Life &amp; Annty (CLIAC)'!E10+'Fidelity Mutual'!E10+'First Capital'!E10+Midcontinent!E10+'Pavonia Life'!E10+Settlers!E10+Shenandoah!E10</f>
        <v>0</v>
      </c>
      <c r="F10" s="1">
        <f>+'American Community'!F10+'Confed Life &amp; Annty (CLIAC)'!F10+'Fidelity Mutual'!F10+'First Capital'!F10+Midcontinent!F10+'Pavonia Life'!F10+Settlers!F10+Shenandoah!F10</f>
        <v>0</v>
      </c>
      <c r="G10" s="1">
        <f t="shared" si="0"/>
        <v>11246024.025608853</v>
      </c>
      <c r="H10" s="1">
        <f>+'American Community'!G10+'Confed Life &amp; Annty (CLIAC)'!G10+'Fidelity Mutual'!G10+'First Capital'!G10+Midcontinent!G10+'Pavonia Life'!G10+Settlers!G10+Shenandoah!G10</f>
        <v>11246024.025608853</v>
      </c>
      <c r="I10" s="1">
        <f t="shared" si="1"/>
        <v>0</v>
      </c>
      <c r="K10" s="1" t="s">
        <v>681</v>
      </c>
      <c r="L10" s="1">
        <f>Summary!TOTAL_66001</f>
        <v>368170.78999999992</v>
      </c>
    </row>
    <row r="11" spans="1:12">
      <c r="A11" s="1" t="s">
        <v>18</v>
      </c>
      <c r="B11" s="1">
        <f>+'American Community'!B11+'Confed Life &amp; Annty (CLIAC)'!B11+'Fidelity Mutual'!B11+'First Capital'!B11+Midcontinent!B11+'Pavonia Life'!B11+Settlers!B11+Shenandoah!B11</f>
        <v>1650688.789946842</v>
      </c>
      <c r="C11" s="1">
        <f>+'American Community'!C11+'Confed Life &amp; Annty (CLIAC)'!C11+'Fidelity Mutual'!C11+'First Capital'!C11+Midcontinent!C11+'Pavonia Life'!C11+Settlers!C11+Shenandoah!C11</f>
        <v>3195.017750083352</v>
      </c>
      <c r="D11" s="1">
        <f>+'American Community'!D11+'Confed Life &amp; Annty (CLIAC)'!D11+'Fidelity Mutual'!D11+'First Capital'!D11+Midcontinent!D11+'Pavonia Life'!D11+Settlers!D11+Shenandoah!D11</f>
        <v>35432.515271112119</v>
      </c>
      <c r="E11" s="1">
        <f>+'American Community'!E11+'Confed Life &amp; Annty (CLIAC)'!E11+'Fidelity Mutual'!E11+'First Capital'!E11+Midcontinent!E11+'Pavonia Life'!E11+Settlers!E11+Shenandoah!E11</f>
        <v>0</v>
      </c>
      <c r="F11" s="1">
        <f>+'American Community'!F11+'Confed Life &amp; Annty (CLIAC)'!F11+'Fidelity Mutual'!F11+'First Capital'!F11+Midcontinent!F11+'Pavonia Life'!F11+Settlers!F11+Shenandoah!F11</f>
        <v>0</v>
      </c>
      <c r="G11" s="1">
        <f t="shared" si="0"/>
        <v>1689316.3229680373</v>
      </c>
      <c r="H11" s="1">
        <f>+'American Community'!G11+'Confed Life &amp; Annty (CLIAC)'!G11+'Fidelity Mutual'!G11+'First Capital'!G11+Midcontinent!G11+'Pavonia Life'!G11+Settlers!G11+Shenandoah!G11</f>
        <v>1689316.3229680373</v>
      </c>
      <c r="I11" s="1">
        <f t="shared" si="1"/>
        <v>0</v>
      </c>
      <c r="K11" s="1" t="s">
        <v>684</v>
      </c>
      <c r="L11" s="1">
        <f>Summary!TOTAL_93777</f>
        <v>97765851.960000023</v>
      </c>
    </row>
    <row r="12" spans="1:12">
      <c r="A12" s="1" t="s">
        <v>19</v>
      </c>
      <c r="B12" s="1">
        <f>+'American Community'!B12+'Confed Life &amp; Annty (CLIAC)'!B12+'Fidelity Mutual'!B12+'First Capital'!B12+Midcontinent!B12+'Pavonia Life'!B12+Settlers!B12+Shenandoah!B12</f>
        <v>1560804.3907310751</v>
      </c>
      <c r="C12" s="1">
        <f>+'American Community'!C12+'Confed Life &amp; Annty (CLIAC)'!C12+'Fidelity Mutual'!C12+'First Capital'!C12+Midcontinent!C12+'Pavonia Life'!C12+Settlers!C12+Shenandoah!C12</f>
        <v>209.09944380854949</v>
      </c>
      <c r="D12" s="1">
        <f>+'American Community'!D12+'Confed Life &amp; Annty (CLIAC)'!D12+'Fidelity Mutual'!D12+'First Capital'!D12+Midcontinent!D12+'Pavonia Life'!D12+Settlers!D12+Shenandoah!D12</f>
        <v>20195.860241549552</v>
      </c>
      <c r="E12" s="1">
        <f>+'American Community'!E12+'Confed Life &amp; Annty (CLIAC)'!E12+'Fidelity Mutual'!E12+'First Capital'!E12+Midcontinent!E12+'Pavonia Life'!E12+Settlers!E12+Shenandoah!E12</f>
        <v>0</v>
      </c>
      <c r="F12" s="1">
        <f>+'American Community'!F12+'Confed Life &amp; Annty (CLIAC)'!F12+'Fidelity Mutual'!F12+'First Capital'!F12+Midcontinent!F12+'Pavonia Life'!F12+Settlers!F12+Shenandoah!F12</f>
        <v>0</v>
      </c>
      <c r="G12" s="1">
        <f t="shared" si="0"/>
        <v>1581209.3504164333</v>
      </c>
      <c r="H12" s="1">
        <f>+'American Community'!G12+'Confed Life &amp; Annty (CLIAC)'!G12+'Fidelity Mutual'!G12+'First Capital'!G12+Midcontinent!G12+'Pavonia Life'!G12+Settlers!G12+Shenandoah!G12</f>
        <v>1581209.3504164331</v>
      </c>
      <c r="I12" s="1">
        <f t="shared" si="1"/>
        <v>0</v>
      </c>
      <c r="K12" s="1" t="s">
        <v>687</v>
      </c>
      <c r="L12" s="1">
        <f>Summary!TOTAL_64220</f>
        <v>127565</v>
      </c>
    </row>
    <row r="13" spans="1:12">
      <c r="A13" s="1" t="s">
        <v>21</v>
      </c>
      <c r="B13" s="1">
        <f>+'American Community'!B13+'Confed Life &amp; Annty (CLIAC)'!B13+'Fidelity Mutual'!B13+'First Capital'!B13+Midcontinent!B13+'Pavonia Life'!B13+Settlers!B13+Shenandoah!B13</f>
        <v>394369.70561112149</v>
      </c>
      <c r="C13" s="1">
        <f>+'American Community'!C13+'Confed Life &amp; Annty (CLIAC)'!C13+'Fidelity Mutual'!C13+'First Capital'!C13+Midcontinent!C13+'Pavonia Life'!C13+Settlers!C13+Shenandoah!C13</f>
        <v>1052.8816959752096</v>
      </c>
      <c r="D13" s="1">
        <f>+'American Community'!D13+'Confed Life &amp; Annty (CLIAC)'!D13+'Fidelity Mutual'!D13+'First Capital'!D13+Midcontinent!D13+'Pavonia Life'!D13+Settlers!D13+Shenandoah!D13</f>
        <v>5844.6454349064843</v>
      </c>
      <c r="E13" s="1">
        <f>+'American Community'!E13+'Confed Life &amp; Annty (CLIAC)'!E13+'Fidelity Mutual'!E13+'First Capital'!E13+Midcontinent!E13+'Pavonia Life'!E13+Settlers!E13+Shenandoah!E13</f>
        <v>0</v>
      </c>
      <c r="F13" s="1">
        <f>+'American Community'!F13+'Confed Life &amp; Annty (CLIAC)'!F13+'Fidelity Mutual'!F13+'First Capital'!F13+Midcontinent!F13+'Pavonia Life'!F13+Settlers!F13+Shenandoah!F13</f>
        <v>0</v>
      </c>
      <c r="G13" s="1">
        <f t="shared" si="0"/>
        <v>401267.23274200317</v>
      </c>
      <c r="H13" s="1">
        <f>+'American Community'!G13+'Confed Life &amp; Annty (CLIAC)'!G13+'Fidelity Mutual'!G13+'First Capital'!G13+Midcontinent!G13+'Pavonia Life'!G13+Settlers!G13+Shenandoah!G13</f>
        <v>401267.23274200317</v>
      </c>
      <c r="I13" s="1">
        <f t="shared" si="1"/>
        <v>0</v>
      </c>
      <c r="K13" s="1" t="s">
        <v>690</v>
      </c>
      <c r="L13" s="1">
        <f>Summary!TOTAL_68845</f>
        <v>566459.55999999994</v>
      </c>
    </row>
    <row r="14" spans="1:12">
      <c r="A14" s="1" t="s">
        <v>23</v>
      </c>
      <c r="B14" s="1">
        <f>+'American Community'!B14+'Confed Life &amp; Annty (CLIAC)'!B14+'Fidelity Mutual'!B14+'First Capital'!B14+Midcontinent!B14+'Pavonia Life'!B14+Settlers!B14+Shenandoah!B14</f>
        <v>150628.44874798626</v>
      </c>
      <c r="C14" s="1">
        <f>+'American Community'!C14+'Confed Life &amp; Annty (CLIAC)'!C14+'Fidelity Mutual'!C14+'First Capital'!C14+Midcontinent!C14+'Pavonia Life'!C14+Settlers!C14+Shenandoah!C14</f>
        <v>913.1893425096132</v>
      </c>
      <c r="D14" s="1">
        <f>+'American Community'!D14+'Confed Life &amp; Annty (CLIAC)'!D14+'Fidelity Mutual'!D14+'First Capital'!D14+Midcontinent!D14+'Pavonia Life'!D14+Settlers!D14+Shenandoah!D14</f>
        <v>343.90377367332263</v>
      </c>
      <c r="E14" s="1">
        <f>+'American Community'!E14+'Confed Life &amp; Annty (CLIAC)'!E14+'Fidelity Mutual'!E14+'First Capital'!E14+Midcontinent!E14+'Pavonia Life'!E14+Settlers!E14+Shenandoah!E14</f>
        <v>0</v>
      </c>
      <c r="F14" s="1">
        <f>+'American Community'!F14+'Confed Life &amp; Annty (CLIAC)'!F14+'Fidelity Mutual'!F14+'First Capital'!F14+Midcontinent!F14+'Pavonia Life'!F14+Settlers!F14+Shenandoah!F14</f>
        <v>0</v>
      </c>
      <c r="G14" s="1">
        <f t="shared" si="0"/>
        <v>151885.54186416918</v>
      </c>
      <c r="H14" s="1">
        <f>+'American Community'!G14+'Confed Life &amp; Annty (CLIAC)'!G14+'Fidelity Mutual'!G14+'First Capital'!G14+Midcontinent!G14+'Pavonia Life'!G14+Settlers!G14+Shenandoah!G14</f>
        <v>151885.54186416921</v>
      </c>
      <c r="I14" s="1">
        <f t="shared" si="1"/>
        <v>0</v>
      </c>
    </row>
    <row r="15" spans="1:12">
      <c r="A15" s="1" t="s">
        <v>25</v>
      </c>
      <c r="B15" s="1">
        <f>+'American Community'!B15+'Confed Life &amp; Annty (CLIAC)'!B15+'Fidelity Mutual'!B15+'First Capital'!B15+Midcontinent!B15+'Pavonia Life'!B15+Settlers!B15+Shenandoah!B15</f>
        <v>8788567.8632306308</v>
      </c>
      <c r="C15" s="1">
        <f>+'American Community'!C15+'Confed Life &amp; Annty (CLIAC)'!C15+'Fidelity Mutual'!C15+'First Capital'!C15+Midcontinent!C15+'Pavonia Life'!C15+Settlers!C15+Shenandoah!C15</f>
        <v>31783.347743356127</v>
      </c>
      <c r="D15" s="1">
        <f>+'American Community'!D15+'Confed Life &amp; Annty (CLIAC)'!D15+'Fidelity Mutual'!D15+'First Capital'!D15+Midcontinent!D15+'Pavonia Life'!D15+Settlers!D15+Shenandoah!D15</f>
        <v>125418.02780559509</v>
      </c>
      <c r="E15" s="1">
        <f>+'American Community'!E15+'Confed Life &amp; Annty (CLIAC)'!E15+'Fidelity Mutual'!E15+'First Capital'!E15+Midcontinent!E15+'Pavonia Life'!E15+Settlers!E15+Shenandoah!E15</f>
        <v>0</v>
      </c>
      <c r="F15" s="1">
        <f>+'American Community'!F15+'Confed Life &amp; Annty (CLIAC)'!F15+'Fidelity Mutual'!F15+'First Capital'!F15+Midcontinent!F15+'Pavonia Life'!F15+Settlers!F15+Shenandoah!F15</f>
        <v>0</v>
      </c>
      <c r="G15" s="1">
        <f t="shared" si="0"/>
        <v>8945769.2387795821</v>
      </c>
      <c r="H15" s="1">
        <f>+'American Community'!G15+'Confed Life &amp; Annty (CLIAC)'!G15+'Fidelity Mutual'!G15+'First Capital'!G15+Midcontinent!G15+'Pavonia Life'!G15+Settlers!G15+Shenandoah!G15</f>
        <v>8945769.2387795802</v>
      </c>
      <c r="I15" s="1">
        <f t="shared" si="1"/>
        <v>0</v>
      </c>
      <c r="K15" s="1" t="s">
        <v>8</v>
      </c>
      <c r="L15" s="1">
        <f>SUM(REC_TOTAL)</f>
        <v>100424961.56000003</v>
      </c>
    </row>
    <row r="16" spans="1:12">
      <c r="A16" s="1" t="s">
        <v>27</v>
      </c>
      <c r="B16" s="1">
        <f>+'American Community'!B16+'Confed Life &amp; Annty (CLIAC)'!B16+'Fidelity Mutual'!B16+'First Capital'!B16+Midcontinent!B16+'Pavonia Life'!B16+Settlers!B16+Shenandoah!B16</f>
        <v>3824762.5711467233</v>
      </c>
      <c r="C16" s="1">
        <f>+'American Community'!C16+'Confed Life &amp; Annty (CLIAC)'!C16+'Fidelity Mutual'!C16+'First Capital'!C16+Midcontinent!C16+'Pavonia Life'!C16+Settlers!C16+Shenandoah!C16</f>
        <v>12528.150138787332</v>
      </c>
      <c r="D16" s="1">
        <f>+'American Community'!D16+'Confed Life &amp; Annty (CLIAC)'!D16+'Fidelity Mutual'!D16+'First Capital'!D16+Midcontinent!D16+'Pavonia Life'!D16+Settlers!D16+Shenandoah!D16</f>
        <v>36627.796679322215</v>
      </c>
      <c r="E16" s="1">
        <f>+'American Community'!E16+'Confed Life &amp; Annty (CLIAC)'!E16+'Fidelity Mutual'!E16+'First Capital'!E16+Midcontinent!E16+'Pavonia Life'!E16+Settlers!E16+Shenandoah!E16</f>
        <v>1194.1196759865231</v>
      </c>
      <c r="F16" s="1">
        <f>+'American Community'!F16+'Confed Life &amp; Annty (CLIAC)'!F16+'Fidelity Mutual'!F16+'First Capital'!F16+Midcontinent!F16+'Pavonia Life'!F16+Settlers!F16+Shenandoah!F16</f>
        <v>0</v>
      </c>
      <c r="G16" s="1">
        <f t="shared" si="0"/>
        <v>3875112.6376408194</v>
      </c>
      <c r="H16" s="1">
        <f>+'American Community'!G16+'Confed Life &amp; Annty (CLIAC)'!G16+'Fidelity Mutual'!G16+'First Capital'!G16+Midcontinent!G16+'Pavonia Life'!G16+Settlers!G16+Shenandoah!G16</f>
        <v>3875112.6376408194</v>
      </c>
      <c r="I16" s="1">
        <f t="shared" si="1"/>
        <v>0</v>
      </c>
      <c r="K16" s="1" t="s">
        <v>699</v>
      </c>
      <c r="L16" s="1">
        <f>SUM(TOTAL)</f>
        <v>100424961.56000002</v>
      </c>
    </row>
    <row r="17" spans="1:12">
      <c r="A17" s="1" t="s">
        <v>29</v>
      </c>
      <c r="B17" s="1">
        <f>+'American Community'!B17+'Confed Life &amp; Annty (CLIAC)'!B17+'Fidelity Mutual'!B17+'First Capital'!B17+Midcontinent!B17+'Pavonia Life'!B17+Settlers!B17+Shenandoah!B17</f>
        <v>321136.07973635331</v>
      </c>
      <c r="C17" s="1">
        <f>+'American Community'!C17+'Confed Life &amp; Annty (CLIAC)'!C17+'Fidelity Mutual'!C17+'First Capital'!C17+Midcontinent!C17+'Pavonia Life'!C17+Settlers!C17+Shenandoah!C17</f>
        <v>55.775824940285361</v>
      </c>
      <c r="D17" s="1">
        <f>+'American Community'!D17+'Confed Life &amp; Annty (CLIAC)'!D17+'Fidelity Mutual'!D17+'First Capital'!D17+Midcontinent!D17+'Pavonia Life'!D17+Settlers!D17+Shenandoah!D17</f>
        <v>0</v>
      </c>
      <c r="E17" s="1">
        <f>+'American Community'!E17+'Confed Life &amp; Annty (CLIAC)'!E17+'Fidelity Mutual'!E17+'First Capital'!E17+Midcontinent!E17+'Pavonia Life'!E17+Settlers!E17+Shenandoah!E17</f>
        <v>0</v>
      </c>
      <c r="F17" s="1">
        <f>+'American Community'!F17+'Confed Life &amp; Annty (CLIAC)'!F17+'Fidelity Mutual'!F17+'First Capital'!F17+Midcontinent!F17+'Pavonia Life'!F17+Settlers!F17+Shenandoah!F17</f>
        <v>0</v>
      </c>
      <c r="G17" s="1">
        <f t="shared" si="0"/>
        <v>321191.8555612936</v>
      </c>
      <c r="H17" s="1">
        <f>+'American Community'!G17+'Confed Life &amp; Annty (CLIAC)'!G17+'Fidelity Mutual'!G17+'First Capital'!G17+Midcontinent!G17+'Pavonia Life'!G17+Settlers!G17+Shenandoah!G17</f>
        <v>321191.8555612936</v>
      </c>
      <c r="I17" s="1">
        <f t="shared" si="1"/>
        <v>0</v>
      </c>
      <c r="L17" s="1">
        <f>SUM(TOTAL)-SUM(REC_TOTAL)</f>
        <v>0</v>
      </c>
    </row>
    <row r="18" spans="1:12">
      <c r="A18" s="1" t="s">
        <v>30</v>
      </c>
      <c r="B18" s="1">
        <f>+'American Community'!B18+'Confed Life &amp; Annty (CLIAC)'!B18+'Fidelity Mutual'!B18+'First Capital'!B18+Midcontinent!B18+'Pavonia Life'!B18+Settlers!B18+Shenandoah!B18</f>
        <v>175827.18348600858</v>
      </c>
      <c r="C18" s="1">
        <f>+'American Community'!C18+'Confed Life &amp; Annty (CLIAC)'!C18+'Fidelity Mutual'!C18+'First Capital'!C18+Midcontinent!C18+'Pavonia Life'!C18+Settlers!C18+Shenandoah!C18</f>
        <v>8.6112703671656803</v>
      </c>
      <c r="D18" s="1">
        <f>+'American Community'!D18+'Confed Life &amp; Annty (CLIAC)'!D18+'Fidelity Mutual'!D18+'First Capital'!D18+Midcontinent!D18+'Pavonia Life'!D18+Settlers!D18+Shenandoah!D18</f>
        <v>7946.0598611774758</v>
      </c>
      <c r="E18" s="1">
        <f>+'American Community'!E18+'Confed Life &amp; Annty (CLIAC)'!E18+'Fidelity Mutual'!E18+'First Capital'!E18+Midcontinent!E18+'Pavonia Life'!E18+Settlers!E18+Shenandoah!E18</f>
        <v>0</v>
      </c>
      <c r="F18" s="1">
        <f>+'American Community'!F18+'Confed Life &amp; Annty (CLIAC)'!F18+'Fidelity Mutual'!F18+'First Capital'!F18+Midcontinent!F18+'Pavonia Life'!F18+Settlers!F18+Shenandoah!F18</f>
        <v>0</v>
      </c>
      <c r="G18" s="1">
        <f t="shared" si="0"/>
        <v>183781.85461755321</v>
      </c>
      <c r="H18" s="1">
        <f>+'American Community'!G18+'Confed Life &amp; Annty (CLIAC)'!G18+'Fidelity Mutual'!G18+'First Capital'!G18+Midcontinent!G18+'Pavonia Life'!G18+Settlers!G18+Shenandoah!G18</f>
        <v>183781.85461755318</v>
      </c>
      <c r="I18" s="1">
        <f t="shared" si="1"/>
        <v>0</v>
      </c>
    </row>
    <row r="19" spans="1:12">
      <c r="A19" s="1" t="s">
        <v>32</v>
      </c>
      <c r="B19" s="1">
        <f>+'American Community'!B19+'Confed Life &amp; Annty (CLIAC)'!B19+'Fidelity Mutual'!B19+'First Capital'!B19+Midcontinent!B19+'Pavonia Life'!B19+Settlers!B19+Shenandoah!B19</f>
        <v>4660696.5895444108</v>
      </c>
      <c r="C19" s="1">
        <f>+'American Community'!C19+'Confed Life &amp; Annty (CLIAC)'!C19+'Fidelity Mutual'!C19+'First Capital'!C19+Midcontinent!C19+'Pavonia Life'!C19+Settlers!C19+Shenandoah!C19</f>
        <v>8264.8330442857732</v>
      </c>
      <c r="D19" s="1">
        <f>+'American Community'!D19+'Confed Life &amp; Annty (CLIAC)'!D19+'Fidelity Mutual'!D19+'First Capital'!D19+Midcontinent!D19+'Pavonia Life'!D19+Settlers!D19+Shenandoah!D19</f>
        <v>103247.65707688502</v>
      </c>
      <c r="E19" s="1">
        <f>+'American Community'!E19+'Confed Life &amp; Annty (CLIAC)'!E19+'Fidelity Mutual'!E19+'First Capital'!E19+Midcontinent!E19+'Pavonia Life'!E19+Settlers!E19+Shenandoah!E19</f>
        <v>360.87016875076063</v>
      </c>
      <c r="F19" s="1">
        <f>+'American Community'!F19+'Confed Life &amp; Annty (CLIAC)'!F19+'Fidelity Mutual'!F19+'First Capital'!F19+Midcontinent!F19+'Pavonia Life'!F19+Settlers!F19+Shenandoah!F19</f>
        <v>0</v>
      </c>
      <c r="G19" s="1">
        <f t="shared" si="0"/>
        <v>4772569.9498343328</v>
      </c>
      <c r="H19" s="1">
        <f>+'American Community'!G19+'Confed Life &amp; Annty (CLIAC)'!G19+'Fidelity Mutual'!G19+'First Capital'!G19+Midcontinent!G19+'Pavonia Life'!G19+Settlers!G19+Shenandoah!G19</f>
        <v>4772569.9498343328</v>
      </c>
      <c r="I19" s="1">
        <f t="shared" si="1"/>
        <v>0</v>
      </c>
    </row>
    <row r="20" spans="1:12">
      <c r="A20" s="1" t="s">
        <v>34</v>
      </c>
      <c r="B20" s="1">
        <f>+'American Community'!B20+'Confed Life &amp; Annty (CLIAC)'!B20+'Fidelity Mutual'!B20+'First Capital'!B20+Midcontinent!B20+'Pavonia Life'!B20+Settlers!B20+Shenandoah!B20</f>
        <v>2064725.356041776</v>
      </c>
      <c r="C20" s="1">
        <f>+'American Community'!C20+'Confed Life &amp; Annty (CLIAC)'!C20+'Fidelity Mutual'!C20+'First Capital'!C20+Midcontinent!C20+'Pavonia Life'!C20+Settlers!C20+Shenandoah!C20</f>
        <v>5845.0627301873519</v>
      </c>
      <c r="D20" s="1">
        <f>+'American Community'!D20+'Confed Life &amp; Annty (CLIAC)'!D20+'Fidelity Mutual'!D20+'First Capital'!D20+Midcontinent!D20+'Pavonia Life'!D20+Settlers!D20+Shenandoah!D20</f>
        <v>103653.07342266246</v>
      </c>
      <c r="E20" s="1">
        <f>+'American Community'!E20+'Confed Life &amp; Annty (CLIAC)'!E20+'Fidelity Mutual'!E20+'First Capital'!E20+Midcontinent!E20+'Pavonia Life'!E20+Settlers!E20+Shenandoah!E20</f>
        <v>0</v>
      </c>
      <c r="F20" s="1">
        <f>+'American Community'!F20+'Confed Life &amp; Annty (CLIAC)'!F20+'Fidelity Mutual'!F20+'First Capital'!F20+Midcontinent!F20+'Pavonia Life'!F20+Settlers!F20+Shenandoah!F20</f>
        <v>0</v>
      </c>
      <c r="G20" s="1">
        <f t="shared" si="0"/>
        <v>2174223.492194626</v>
      </c>
      <c r="H20" s="1">
        <f>+'American Community'!G20+'Confed Life &amp; Annty (CLIAC)'!G20+'Fidelity Mutual'!G20+'First Capital'!G20+Midcontinent!G20+'Pavonia Life'!G20+Settlers!G20+Shenandoah!G20</f>
        <v>2174223.4921946255</v>
      </c>
      <c r="I20" s="1">
        <f t="shared" si="1"/>
        <v>0</v>
      </c>
    </row>
    <row r="21" spans="1:12">
      <c r="A21" s="1" t="s">
        <v>36</v>
      </c>
      <c r="B21" s="1">
        <f>+'American Community'!B21+'Confed Life &amp; Annty (CLIAC)'!B21+'Fidelity Mutual'!B21+'First Capital'!B21+Midcontinent!B21+'Pavonia Life'!B21+Settlers!B21+Shenandoah!B21</f>
        <v>478198.93333572027</v>
      </c>
      <c r="C21" s="1">
        <f>+'American Community'!C21+'Confed Life &amp; Annty (CLIAC)'!C21+'Fidelity Mutual'!C21+'First Capital'!C21+Midcontinent!C21+'Pavonia Life'!C21+Settlers!C21+Shenandoah!C21</f>
        <v>727.11727417707016</v>
      </c>
      <c r="D21" s="1">
        <f>+'American Community'!D21+'Confed Life &amp; Annty (CLIAC)'!D21+'Fidelity Mutual'!D21+'First Capital'!D21+Midcontinent!D21+'Pavonia Life'!D21+Settlers!D21+Shenandoah!D21</f>
        <v>27591.707805520822</v>
      </c>
      <c r="E21" s="1">
        <f>+'American Community'!E21+'Confed Life &amp; Annty (CLIAC)'!E21+'Fidelity Mutual'!E21+'First Capital'!E21+Midcontinent!E21+'Pavonia Life'!E21+Settlers!E21+Shenandoah!E21</f>
        <v>0</v>
      </c>
      <c r="F21" s="1">
        <f>+'American Community'!F21+'Confed Life &amp; Annty (CLIAC)'!F21+'Fidelity Mutual'!F21+'First Capital'!F21+Midcontinent!F21+'Pavonia Life'!F21+Settlers!F21+Shenandoah!F21</f>
        <v>0</v>
      </c>
      <c r="G21" s="1">
        <f t="shared" si="0"/>
        <v>506517.75841541815</v>
      </c>
      <c r="H21" s="1">
        <f>+'American Community'!G21+'Confed Life &amp; Annty (CLIAC)'!G21+'Fidelity Mutual'!G21+'First Capital'!G21+Midcontinent!G21+'Pavonia Life'!G21+Settlers!G21+Shenandoah!G21</f>
        <v>506517.75841541815</v>
      </c>
      <c r="I21" s="1">
        <f t="shared" si="1"/>
        <v>0</v>
      </c>
    </row>
    <row r="22" spans="1:12">
      <c r="A22" s="1" t="s">
        <v>38</v>
      </c>
      <c r="B22" s="1">
        <f>+'American Community'!B22+'Confed Life &amp; Annty (CLIAC)'!B22+'Fidelity Mutual'!B22+'First Capital'!B22+Midcontinent!B22+'Pavonia Life'!B22+Settlers!B22+Shenandoah!B22</f>
        <v>630798.18614039267</v>
      </c>
      <c r="C22" s="1">
        <f>+'American Community'!C22+'Confed Life &amp; Annty (CLIAC)'!C22+'Fidelity Mutual'!C22+'First Capital'!C22+Midcontinent!C22+'Pavonia Life'!C22+Settlers!C22+Shenandoah!C22</f>
        <v>330.91548386456759</v>
      </c>
      <c r="D22" s="1">
        <f>+'American Community'!D22+'Confed Life &amp; Annty (CLIAC)'!D22+'Fidelity Mutual'!D22+'First Capital'!D22+Midcontinent!D22+'Pavonia Life'!D22+Settlers!D22+Shenandoah!D22</f>
        <v>22421.091538936009</v>
      </c>
      <c r="E22" s="1">
        <f>+'American Community'!E22+'Confed Life &amp; Annty (CLIAC)'!E22+'Fidelity Mutual'!E22+'First Capital'!E22+Midcontinent!E22+'Pavonia Life'!E22+Settlers!E22+Shenandoah!E22</f>
        <v>0</v>
      </c>
      <c r="F22" s="1">
        <f>+'American Community'!F22+'Confed Life &amp; Annty (CLIAC)'!F22+'Fidelity Mutual'!F22+'First Capital'!F22+Midcontinent!F22+'Pavonia Life'!F22+Settlers!F22+Shenandoah!F22</f>
        <v>0</v>
      </c>
      <c r="G22" s="1">
        <f t="shared" si="0"/>
        <v>653550.1931631933</v>
      </c>
      <c r="H22" s="1">
        <f>+'American Community'!G22+'Confed Life &amp; Annty (CLIAC)'!G22+'Fidelity Mutual'!G22+'First Capital'!G22+Midcontinent!G22+'Pavonia Life'!G22+Settlers!G22+Shenandoah!G22</f>
        <v>653550.1931631933</v>
      </c>
      <c r="I22" s="1">
        <f t="shared" si="1"/>
        <v>0</v>
      </c>
    </row>
    <row r="23" spans="1:12">
      <c r="A23" s="1" t="s">
        <v>40</v>
      </c>
      <c r="B23" s="1">
        <f>+'American Community'!B23+'Confed Life &amp; Annty (CLIAC)'!B23+'Fidelity Mutual'!B23+'First Capital'!B23+Midcontinent!B23+'Pavonia Life'!B23+Settlers!B23+Shenandoah!B23</f>
        <v>884215.21344957221</v>
      </c>
      <c r="C23" s="1">
        <f>+'American Community'!C23+'Confed Life &amp; Annty (CLIAC)'!C23+'Fidelity Mutual'!C23+'First Capital'!C23+Midcontinent!C23+'Pavonia Life'!C23+Settlers!C23+Shenandoah!C23</f>
        <v>6067.8577459874396</v>
      </c>
      <c r="D23" s="1">
        <f>+'American Community'!D23+'Confed Life &amp; Annty (CLIAC)'!D23+'Fidelity Mutual'!D23+'First Capital'!D23+Midcontinent!D23+'Pavonia Life'!D23+Settlers!D23+Shenandoah!D23</f>
        <v>4201.1342966013435</v>
      </c>
      <c r="E23" s="1">
        <f>+'American Community'!E23+'Confed Life &amp; Annty (CLIAC)'!E23+'Fidelity Mutual'!E23+'First Capital'!E23+Midcontinent!E23+'Pavonia Life'!E23+Settlers!E23+Shenandoah!E23</f>
        <v>0</v>
      </c>
      <c r="F23" s="1">
        <f>+'American Community'!F23+'Confed Life &amp; Annty (CLIAC)'!F23+'Fidelity Mutual'!F23+'First Capital'!F23+Midcontinent!F23+'Pavonia Life'!F23+Settlers!F23+Shenandoah!F23</f>
        <v>0</v>
      </c>
      <c r="G23" s="1">
        <f t="shared" si="0"/>
        <v>894484.20549216098</v>
      </c>
      <c r="H23" s="1">
        <f>+'American Community'!G23+'Confed Life &amp; Annty (CLIAC)'!G23+'Fidelity Mutual'!G23+'First Capital'!G23+Midcontinent!G23+'Pavonia Life'!G23+Settlers!G23+Shenandoah!G23</f>
        <v>894484.20549216098</v>
      </c>
      <c r="I23" s="1">
        <f t="shared" si="1"/>
        <v>0</v>
      </c>
    </row>
    <row r="24" spans="1:12">
      <c r="A24" s="1" t="s">
        <v>42</v>
      </c>
      <c r="B24" s="1">
        <f>+'American Community'!B24+'Confed Life &amp; Annty (CLIAC)'!B24+'Fidelity Mutual'!B24+'First Capital'!B24+Midcontinent!B24+'Pavonia Life'!B24+Settlers!B24+Shenandoah!B24</f>
        <v>2110109.0639869552</v>
      </c>
      <c r="C24" s="1">
        <f>+'American Community'!C24+'Confed Life &amp; Annty (CLIAC)'!C24+'Fidelity Mutual'!C24+'First Capital'!C24+Midcontinent!C24+'Pavonia Life'!C24+Settlers!C24+Shenandoah!C24</f>
        <v>7157.8774239005625</v>
      </c>
      <c r="D24" s="1">
        <f>+'American Community'!D24+'Confed Life &amp; Annty (CLIAC)'!D24+'Fidelity Mutual'!D24+'First Capital'!D24+Midcontinent!D24+'Pavonia Life'!D24+Settlers!D24+Shenandoah!D24</f>
        <v>19910.036837507199</v>
      </c>
      <c r="E24" s="1">
        <f>+'American Community'!E24+'Confed Life &amp; Annty (CLIAC)'!E24+'Fidelity Mutual'!E24+'First Capital'!E24+Midcontinent!E24+'Pavonia Life'!E24+Settlers!E24+Shenandoah!E24</f>
        <v>0</v>
      </c>
      <c r="F24" s="1">
        <f>+'American Community'!F24+'Confed Life &amp; Annty (CLIAC)'!F24+'Fidelity Mutual'!F24+'First Capital'!F24+Midcontinent!F24+'Pavonia Life'!F24+Settlers!F24+Shenandoah!F24</f>
        <v>0</v>
      </c>
      <c r="G24" s="1">
        <f t="shared" si="0"/>
        <v>2137176.9782483629</v>
      </c>
      <c r="H24" s="1">
        <f>+'American Community'!G24+'Confed Life &amp; Annty (CLIAC)'!G24+'Fidelity Mutual'!G24+'First Capital'!G24+Midcontinent!G24+'Pavonia Life'!G24+Settlers!G24+Shenandoah!G24</f>
        <v>2137176.9782483634</v>
      </c>
      <c r="I24" s="1">
        <f t="shared" si="1"/>
        <v>0</v>
      </c>
    </row>
    <row r="25" spans="1:12">
      <c r="A25" s="1" t="s">
        <v>44</v>
      </c>
      <c r="B25" s="1">
        <f>+'American Community'!B25+'Confed Life &amp; Annty (CLIAC)'!B25+'Fidelity Mutual'!B25+'First Capital'!B25+Midcontinent!B25+'Pavonia Life'!B25+Settlers!B25+Shenandoah!B25</f>
        <v>370992.2693253929</v>
      </c>
      <c r="C25" s="1">
        <f>+'American Community'!C25+'Confed Life &amp; Annty (CLIAC)'!C25+'Fidelity Mutual'!C25+'First Capital'!C25+Midcontinent!C25+'Pavonia Life'!C25+Settlers!C25+Shenandoah!C25</f>
        <v>5197.1992457284432</v>
      </c>
      <c r="D25" s="1">
        <f>+'American Community'!D25+'Confed Life &amp; Annty (CLIAC)'!D25+'Fidelity Mutual'!D25+'First Capital'!D25+Midcontinent!D25+'Pavonia Life'!D25+Settlers!D25+Shenandoah!D25</f>
        <v>662.42181439358876</v>
      </c>
      <c r="E25" s="1">
        <f>+'American Community'!E25+'Confed Life &amp; Annty (CLIAC)'!E25+'Fidelity Mutual'!E25+'First Capital'!E25+Midcontinent!E25+'Pavonia Life'!E25+Settlers!E25+Shenandoah!E25</f>
        <v>0</v>
      </c>
      <c r="F25" s="1">
        <f>+'American Community'!F25+'Confed Life &amp; Annty (CLIAC)'!F25+'Fidelity Mutual'!F25+'First Capital'!F25+Midcontinent!F25+'Pavonia Life'!F25+Settlers!F25+Shenandoah!F25</f>
        <v>0</v>
      </c>
      <c r="G25" s="1">
        <f t="shared" si="0"/>
        <v>376851.89038551494</v>
      </c>
      <c r="H25" s="1">
        <f>+'American Community'!G25+'Confed Life &amp; Annty (CLIAC)'!G25+'Fidelity Mutual'!G25+'First Capital'!G25+Midcontinent!G25+'Pavonia Life'!G25+Settlers!G25+Shenandoah!G25</f>
        <v>376851.89038551494</v>
      </c>
      <c r="I25" s="1">
        <f t="shared" si="1"/>
        <v>0</v>
      </c>
    </row>
    <row r="26" spans="1:12">
      <c r="A26" s="1" t="s">
        <v>45</v>
      </c>
      <c r="B26" s="1">
        <f>+'American Community'!B26+'Confed Life &amp; Annty (CLIAC)'!B26+'Fidelity Mutual'!B26+'First Capital'!B26+Midcontinent!B26+'Pavonia Life'!B26+Settlers!B26+Shenandoah!B26</f>
        <v>2966882.5891708001</v>
      </c>
      <c r="C26" s="1">
        <f>+'American Community'!C26+'Confed Life &amp; Annty (CLIAC)'!C26+'Fidelity Mutual'!C26+'First Capital'!C26+Midcontinent!C26+'Pavonia Life'!C26+Settlers!C26+Shenandoah!C26</f>
        <v>4531.2985178440122</v>
      </c>
      <c r="D26" s="1">
        <f>+'American Community'!D26+'Confed Life &amp; Annty (CLIAC)'!D26+'Fidelity Mutual'!D26+'First Capital'!D26+Midcontinent!D26+'Pavonia Life'!D26+Settlers!D26+Shenandoah!D26</f>
        <v>88836.780717429385</v>
      </c>
      <c r="E26" s="1">
        <f>+'American Community'!E26+'Confed Life &amp; Annty (CLIAC)'!E26+'Fidelity Mutual'!E26+'First Capital'!E26+Midcontinent!E26+'Pavonia Life'!E26+Settlers!E26+Shenandoah!E26</f>
        <v>0</v>
      </c>
      <c r="F26" s="1">
        <f>+'American Community'!F26+'Confed Life &amp; Annty (CLIAC)'!F26+'Fidelity Mutual'!F26+'First Capital'!F26+Midcontinent!F26+'Pavonia Life'!F26+Settlers!F26+Shenandoah!F26</f>
        <v>0</v>
      </c>
      <c r="G26" s="1">
        <f t="shared" si="0"/>
        <v>3060250.6684060735</v>
      </c>
      <c r="H26" s="1">
        <f>+'American Community'!G26+'Confed Life &amp; Annty (CLIAC)'!G26+'Fidelity Mutual'!G26+'First Capital'!G26+Midcontinent!G26+'Pavonia Life'!G26+Settlers!G26+Shenandoah!G26</f>
        <v>3060250.6684060735</v>
      </c>
      <c r="I26" s="1">
        <f t="shared" si="1"/>
        <v>0</v>
      </c>
    </row>
    <row r="27" spans="1:12">
      <c r="A27" s="1" t="s">
        <v>47</v>
      </c>
      <c r="B27" s="1">
        <f>+'American Community'!B27+'Confed Life &amp; Annty (CLIAC)'!B27+'Fidelity Mutual'!B27+'First Capital'!B27+Midcontinent!B27+'Pavonia Life'!B27+Settlers!B27+Shenandoah!B27</f>
        <v>2132678.4274861501</v>
      </c>
      <c r="C27" s="1">
        <f>+'American Community'!C27+'Confed Life &amp; Annty (CLIAC)'!C27+'Fidelity Mutual'!C27+'First Capital'!C27+Midcontinent!C27+'Pavonia Life'!C27+Settlers!C27+Shenandoah!C27</f>
        <v>2735.900303098786</v>
      </c>
      <c r="D27" s="1">
        <f>+'American Community'!D27+'Confed Life &amp; Annty (CLIAC)'!D27+'Fidelity Mutual'!D27+'First Capital'!D27+Midcontinent!D27+'Pavonia Life'!D27+Settlers!D27+Shenandoah!D27</f>
        <v>91378.18744776817</v>
      </c>
      <c r="E27" s="1">
        <f>+'American Community'!E27+'Confed Life &amp; Annty (CLIAC)'!E27+'Fidelity Mutual'!E27+'First Capital'!E27+Midcontinent!E27+'Pavonia Life'!E27+Settlers!E27+Shenandoah!E27</f>
        <v>0</v>
      </c>
      <c r="F27" s="1">
        <f>+'American Community'!F27+'Confed Life &amp; Annty (CLIAC)'!F27+'Fidelity Mutual'!F27+'First Capital'!F27+Midcontinent!F27+'Pavonia Life'!F27+Settlers!F27+Shenandoah!F27</f>
        <v>0</v>
      </c>
      <c r="G27" s="1">
        <f t="shared" si="0"/>
        <v>2226792.5152370171</v>
      </c>
      <c r="H27" s="1">
        <f>+'American Community'!G27+'Confed Life &amp; Annty (CLIAC)'!G27+'Fidelity Mutual'!G27+'First Capital'!G27+Midcontinent!G27+'Pavonia Life'!G27+Settlers!G27+Shenandoah!G27</f>
        <v>2226792.5152370171</v>
      </c>
      <c r="I27" s="1">
        <f t="shared" si="1"/>
        <v>0</v>
      </c>
    </row>
    <row r="28" spans="1:12">
      <c r="A28" s="1" t="s">
        <v>49</v>
      </c>
      <c r="B28" s="1">
        <f>+'American Community'!B28+'Confed Life &amp; Annty (CLIAC)'!B28+'Fidelity Mutual'!B28+'First Capital'!B28+Midcontinent!B28+'Pavonia Life'!B28+Settlers!B28+Shenandoah!B28</f>
        <v>2074580.0436600761</v>
      </c>
      <c r="C28" s="1">
        <f>+'American Community'!C28+'Confed Life &amp; Annty (CLIAC)'!C28+'Fidelity Mutual'!C28+'First Capital'!C28+Midcontinent!C28+'Pavonia Life'!C28+Settlers!C28+Shenandoah!C28</f>
        <v>6513.2116479248452</v>
      </c>
      <c r="D28" s="1">
        <f>+'American Community'!D28+'Confed Life &amp; Annty (CLIAC)'!D28+'Fidelity Mutual'!D28+'First Capital'!D28+Midcontinent!D28+'Pavonia Life'!D28+Settlers!D28+Shenandoah!D28</f>
        <v>109243.04798440528</v>
      </c>
      <c r="E28" s="1">
        <f>+'American Community'!E28+'Confed Life &amp; Annty (CLIAC)'!E28+'Fidelity Mutual'!E28+'First Capital'!E28+Midcontinent!E28+'Pavonia Life'!E28+Settlers!E28+Shenandoah!E28</f>
        <v>748.10052834782493</v>
      </c>
      <c r="F28" s="1">
        <f>+'American Community'!F28+'Confed Life &amp; Annty (CLIAC)'!F28+'Fidelity Mutual'!F28+'First Capital'!F28+Midcontinent!F28+'Pavonia Life'!F28+Settlers!F28+Shenandoah!F28</f>
        <v>0</v>
      </c>
      <c r="G28" s="1">
        <f t="shared" si="0"/>
        <v>2191084.403820754</v>
      </c>
      <c r="H28" s="1">
        <f>+'American Community'!G28+'Confed Life &amp; Annty (CLIAC)'!G28+'Fidelity Mutual'!G28+'First Capital'!G28+Midcontinent!G28+'Pavonia Life'!G28+Settlers!G28+Shenandoah!G28</f>
        <v>2191084.403820754</v>
      </c>
      <c r="I28" s="1">
        <f t="shared" si="1"/>
        <v>0</v>
      </c>
    </row>
    <row r="29" spans="1:12">
      <c r="A29" s="1" t="s">
        <v>50</v>
      </c>
      <c r="B29" s="1">
        <f>+'American Community'!B29+'Confed Life &amp; Annty (CLIAC)'!B29+'Fidelity Mutual'!B29+'First Capital'!B29+Midcontinent!B29+'Pavonia Life'!B29+Settlers!B29+Shenandoah!B29</f>
        <v>979481.193372885</v>
      </c>
      <c r="C29" s="1">
        <f>+'American Community'!C29+'Confed Life &amp; Annty (CLIAC)'!C29+'Fidelity Mutual'!C29+'First Capital'!C29+Midcontinent!C29+'Pavonia Life'!C29+Settlers!C29+Shenandoah!C29</f>
        <v>192.9784195548971</v>
      </c>
      <c r="D29" s="1">
        <f>+'American Community'!D29+'Confed Life &amp; Annty (CLIAC)'!D29+'Fidelity Mutual'!D29+'First Capital'!D29+Midcontinent!D29+'Pavonia Life'!D29+Settlers!D29+Shenandoah!D29</f>
        <v>29847.555957345678</v>
      </c>
      <c r="E29" s="1">
        <f>+'American Community'!E29+'Confed Life &amp; Annty (CLIAC)'!E29+'Fidelity Mutual'!E29+'First Capital'!E29+Midcontinent!E29+'Pavonia Life'!E29+Settlers!E29+Shenandoah!E29</f>
        <v>0</v>
      </c>
      <c r="F29" s="1">
        <f>+'American Community'!F29+'Confed Life &amp; Annty (CLIAC)'!F29+'Fidelity Mutual'!F29+'First Capital'!F29+Midcontinent!F29+'Pavonia Life'!F29+Settlers!F29+Shenandoah!F29</f>
        <v>0</v>
      </c>
      <c r="G29" s="1">
        <f t="shared" si="0"/>
        <v>1009521.7277497855</v>
      </c>
      <c r="H29" s="1">
        <f>+'American Community'!G29+'Confed Life &amp; Annty (CLIAC)'!G29+'Fidelity Mutual'!G29+'First Capital'!G29+Midcontinent!G29+'Pavonia Life'!G29+Settlers!G29+Shenandoah!G29</f>
        <v>1009521.7277497855</v>
      </c>
      <c r="I29" s="1">
        <f t="shared" si="1"/>
        <v>0</v>
      </c>
    </row>
    <row r="30" spans="1:12">
      <c r="A30" s="1" t="s">
        <v>51</v>
      </c>
      <c r="B30" s="1">
        <f>+'American Community'!B30+'Confed Life &amp; Annty (CLIAC)'!B30+'Fidelity Mutual'!B30+'First Capital'!B30+Midcontinent!B30+'Pavonia Life'!B30+Settlers!B30+Shenandoah!B30</f>
        <v>766014.3043446606</v>
      </c>
      <c r="C30" s="1">
        <f>+'American Community'!C30+'Confed Life &amp; Annty (CLIAC)'!C30+'Fidelity Mutual'!C30+'First Capital'!C30+Midcontinent!C30+'Pavonia Life'!C30+Settlers!C30+Shenandoah!C30</f>
        <v>2333.6686515046349</v>
      </c>
      <c r="D30" s="1">
        <f>+'American Community'!D30+'Confed Life &amp; Annty (CLIAC)'!D30+'Fidelity Mutual'!D30+'First Capital'!D30+Midcontinent!D30+'Pavonia Life'!D30+Settlers!D30+Shenandoah!D30</f>
        <v>2577.3779114639797</v>
      </c>
      <c r="E30" s="1">
        <f>+'American Community'!E30+'Confed Life &amp; Annty (CLIAC)'!E30+'Fidelity Mutual'!E30+'First Capital'!E30+Midcontinent!E30+'Pavonia Life'!E30+Settlers!E30+Shenandoah!E30</f>
        <v>0</v>
      </c>
      <c r="F30" s="1">
        <f>+'American Community'!F30+'Confed Life &amp; Annty (CLIAC)'!F30+'Fidelity Mutual'!F30+'First Capital'!F30+Midcontinent!F30+'Pavonia Life'!F30+Settlers!F30+Shenandoah!F30</f>
        <v>0</v>
      </c>
      <c r="G30" s="1">
        <f t="shared" si="0"/>
        <v>770925.35090762924</v>
      </c>
      <c r="H30" s="1">
        <f>+'American Community'!G30+'Confed Life &amp; Annty (CLIAC)'!G30+'Fidelity Mutual'!G30+'First Capital'!G30+Midcontinent!G30+'Pavonia Life'!G30+Settlers!G30+Shenandoah!G30</f>
        <v>770925.35090762924</v>
      </c>
      <c r="I30" s="1">
        <f t="shared" si="1"/>
        <v>0</v>
      </c>
    </row>
    <row r="31" spans="1:12">
      <c r="A31" s="1" t="s">
        <v>52</v>
      </c>
      <c r="B31" s="1">
        <f>+'American Community'!B31+'Confed Life &amp; Annty (CLIAC)'!B31+'Fidelity Mutual'!B31+'First Capital'!B31+Midcontinent!B31+'Pavonia Life'!B31+Settlers!B31+Shenandoah!B31</f>
        <v>1267610.0433572761</v>
      </c>
      <c r="C31" s="1">
        <f>+'American Community'!C31+'Confed Life &amp; Annty (CLIAC)'!C31+'Fidelity Mutual'!C31+'First Capital'!C31+Midcontinent!C31+'Pavonia Life'!C31+Settlers!C31+Shenandoah!C31</f>
        <v>1935.6623832243786</v>
      </c>
      <c r="D31" s="1">
        <f>+'American Community'!D31+'Confed Life &amp; Annty (CLIAC)'!D31+'Fidelity Mutual'!D31+'First Capital'!D31+Midcontinent!D31+'Pavonia Life'!D31+Settlers!D31+Shenandoah!D31</f>
        <v>46574.020168905801</v>
      </c>
      <c r="E31" s="1">
        <f>+'American Community'!E31+'Confed Life &amp; Annty (CLIAC)'!E31+'Fidelity Mutual'!E31+'First Capital'!E31+Midcontinent!E31+'Pavonia Life'!E31+Settlers!E31+Shenandoah!E31</f>
        <v>0</v>
      </c>
      <c r="F31" s="1">
        <f>+'American Community'!F31+'Confed Life &amp; Annty (CLIAC)'!F31+'Fidelity Mutual'!F31+'First Capital'!F31+Midcontinent!F31+'Pavonia Life'!F31+Settlers!F31+Shenandoah!F31</f>
        <v>0</v>
      </c>
      <c r="G31" s="1">
        <f t="shared" si="0"/>
        <v>1316119.7259094063</v>
      </c>
      <c r="H31" s="1">
        <f>+'American Community'!G31+'Confed Life &amp; Annty (CLIAC)'!G31+'Fidelity Mutual'!G31+'First Capital'!G31+Midcontinent!G31+'Pavonia Life'!G31+Settlers!G31+Shenandoah!G31</f>
        <v>1316119.7259094063</v>
      </c>
      <c r="I31" s="1">
        <f t="shared" si="1"/>
        <v>0</v>
      </c>
    </row>
    <row r="32" spans="1:12">
      <c r="A32" s="1" t="s">
        <v>53</v>
      </c>
      <c r="B32" s="1">
        <f>+'American Community'!B32+'Confed Life &amp; Annty (CLIAC)'!B32+'Fidelity Mutual'!B32+'First Capital'!B32+Midcontinent!B32+'Pavonia Life'!B32+Settlers!B32+Shenandoah!B32</f>
        <v>211457.8624911122</v>
      </c>
      <c r="C32" s="1">
        <f>+'American Community'!C32+'Confed Life &amp; Annty (CLIAC)'!C32+'Fidelity Mutual'!C32+'First Capital'!C32+Midcontinent!C32+'Pavonia Life'!C32+Settlers!C32+Shenandoah!C32</f>
        <v>0</v>
      </c>
      <c r="D32" s="1">
        <f>+'American Community'!D32+'Confed Life &amp; Annty (CLIAC)'!D32+'Fidelity Mutual'!D32+'First Capital'!D32+Midcontinent!D32+'Pavonia Life'!D32+Settlers!D32+Shenandoah!D32</f>
        <v>331.21090719679438</v>
      </c>
      <c r="E32" s="1">
        <f>+'American Community'!E32+'Confed Life &amp; Annty (CLIAC)'!E32+'Fidelity Mutual'!E32+'First Capital'!E32+Midcontinent!E32+'Pavonia Life'!E32+Settlers!E32+Shenandoah!E32</f>
        <v>0</v>
      </c>
      <c r="F32" s="1">
        <f>+'American Community'!F32+'Confed Life &amp; Annty (CLIAC)'!F32+'Fidelity Mutual'!F32+'First Capital'!F32+Midcontinent!F32+'Pavonia Life'!F32+Settlers!F32+Shenandoah!F32</f>
        <v>0</v>
      </c>
      <c r="G32" s="1">
        <f t="shared" si="0"/>
        <v>211789.073398309</v>
      </c>
      <c r="H32" s="1">
        <f>+'American Community'!G32+'Confed Life &amp; Annty (CLIAC)'!G32+'Fidelity Mutual'!G32+'First Capital'!G32+Midcontinent!G32+'Pavonia Life'!G32+Settlers!G32+Shenandoah!G32</f>
        <v>211789.073398309</v>
      </c>
      <c r="I32" s="1">
        <f t="shared" si="1"/>
        <v>0</v>
      </c>
    </row>
    <row r="33" spans="1:9">
      <c r="A33" s="1" t="s">
        <v>54</v>
      </c>
      <c r="B33" s="1">
        <f>+'American Community'!B33+'Confed Life &amp; Annty (CLIAC)'!B33+'Fidelity Mutual'!B33+'First Capital'!B33+Midcontinent!B33+'Pavonia Life'!B33+Settlers!B33+Shenandoah!B33</f>
        <v>360167.74206646148</v>
      </c>
      <c r="C33" s="1">
        <f>+'American Community'!C33+'Confed Life &amp; Annty (CLIAC)'!C33+'Fidelity Mutual'!C33+'First Capital'!C33+Midcontinent!C33+'Pavonia Life'!C33+Settlers!C33+Shenandoah!C33</f>
        <v>294.88975218956273</v>
      </c>
      <c r="D33" s="1">
        <f>+'American Community'!D33+'Confed Life &amp; Annty (CLIAC)'!D33+'Fidelity Mutual'!D33+'First Capital'!D33+Midcontinent!D33+'Pavonia Life'!D33+Settlers!D33+Shenandoah!D33</f>
        <v>30971.075023054451</v>
      </c>
      <c r="E33" s="1">
        <f>+'American Community'!E33+'Confed Life &amp; Annty (CLIAC)'!E33+'Fidelity Mutual'!E33+'First Capital'!E33+Midcontinent!E33+'Pavonia Life'!E33+Settlers!E33+Shenandoah!E33</f>
        <v>0</v>
      </c>
      <c r="F33" s="1">
        <f>+'American Community'!F33+'Confed Life &amp; Annty (CLIAC)'!F33+'Fidelity Mutual'!F33+'First Capital'!F33+Midcontinent!F33+'Pavonia Life'!F33+Settlers!F33+Shenandoah!F33</f>
        <v>0</v>
      </c>
      <c r="G33" s="1">
        <f t="shared" si="0"/>
        <v>391433.70684170548</v>
      </c>
      <c r="H33" s="1">
        <f>+'American Community'!G33+'Confed Life &amp; Annty (CLIAC)'!G33+'Fidelity Mutual'!G33+'First Capital'!G33+Midcontinent!G33+'Pavonia Life'!G33+Settlers!G33+Shenandoah!G33</f>
        <v>391433.70684170548</v>
      </c>
      <c r="I33" s="1">
        <f t="shared" si="1"/>
        <v>0</v>
      </c>
    </row>
    <row r="34" spans="1:9">
      <c r="A34" s="1" t="s">
        <v>55</v>
      </c>
      <c r="B34" s="1">
        <f>+'American Community'!B34+'Confed Life &amp; Annty (CLIAC)'!B34+'Fidelity Mutual'!B34+'First Capital'!B34+Midcontinent!B34+'Pavonia Life'!B34+Settlers!B34+Shenandoah!B34</f>
        <v>1084644.2677097626</v>
      </c>
      <c r="C34" s="1">
        <f>+'American Community'!C34+'Confed Life &amp; Annty (CLIAC)'!C34+'Fidelity Mutual'!C34+'First Capital'!C34+Midcontinent!C34+'Pavonia Life'!C34+Settlers!C34+Shenandoah!C34</f>
        <v>7.7035187164677623</v>
      </c>
      <c r="D34" s="1">
        <f>+'American Community'!D34+'Confed Life &amp; Annty (CLIAC)'!D34+'Fidelity Mutual'!D34+'First Capital'!D34+Midcontinent!D34+'Pavonia Life'!D34+Settlers!D34+Shenandoah!D34</f>
        <v>6952.9511439567113</v>
      </c>
      <c r="E34" s="1">
        <f>+'American Community'!E34+'Confed Life &amp; Annty (CLIAC)'!E34+'Fidelity Mutual'!E34+'First Capital'!E34+Midcontinent!E34+'Pavonia Life'!E34+Settlers!E34+Shenandoah!E34</f>
        <v>0</v>
      </c>
      <c r="F34" s="1">
        <f>+'American Community'!F34+'Confed Life &amp; Annty (CLIAC)'!F34+'Fidelity Mutual'!F34+'First Capital'!F34+Midcontinent!F34+'Pavonia Life'!F34+Settlers!F34+Shenandoah!F34</f>
        <v>0</v>
      </c>
      <c r="G34" s="1">
        <f t="shared" si="0"/>
        <v>1091604.9223724357</v>
      </c>
      <c r="H34" s="1">
        <f>+'American Community'!G34+'Confed Life &amp; Annty (CLIAC)'!G34+'Fidelity Mutual'!G34+'First Capital'!G34+Midcontinent!G34+'Pavonia Life'!G34+Settlers!G34+Shenandoah!G34</f>
        <v>1091604.9223724355</v>
      </c>
      <c r="I34" s="1">
        <f t="shared" si="1"/>
        <v>0</v>
      </c>
    </row>
    <row r="35" spans="1:9">
      <c r="A35" s="1" t="s">
        <v>56</v>
      </c>
      <c r="B35" s="1">
        <f>+'American Community'!B35+'Confed Life &amp; Annty (CLIAC)'!B35+'Fidelity Mutual'!B35+'First Capital'!B35+Midcontinent!B35+'Pavonia Life'!B35+Settlers!B35+Shenandoah!B35</f>
        <v>376447.93988079752</v>
      </c>
      <c r="C35" s="1">
        <f>+'American Community'!C35+'Confed Life &amp; Annty (CLIAC)'!C35+'Fidelity Mutual'!C35+'First Capital'!C35+Midcontinent!C35+'Pavonia Life'!C35+Settlers!C35+Shenandoah!C35</f>
        <v>305.75621289070995</v>
      </c>
      <c r="D35" s="1">
        <f>+'American Community'!D35+'Confed Life &amp; Annty (CLIAC)'!D35+'Fidelity Mutual'!D35+'First Capital'!D35+Midcontinent!D35+'Pavonia Life'!D35+Settlers!D35+Shenandoah!D35</f>
        <v>0</v>
      </c>
      <c r="E35" s="1">
        <f>+'American Community'!E35+'Confed Life &amp; Annty (CLIAC)'!E35+'Fidelity Mutual'!E35+'First Capital'!E35+Midcontinent!E35+'Pavonia Life'!E35+Settlers!E35+Shenandoah!E35</f>
        <v>0</v>
      </c>
      <c r="F35" s="1">
        <f>+'American Community'!F35+'Confed Life &amp; Annty (CLIAC)'!F35+'Fidelity Mutual'!F35+'First Capital'!F35+Midcontinent!F35+'Pavonia Life'!F35+Settlers!F35+Shenandoah!F35</f>
        <v>0</v>
      </c>
      <c r="G35" s="1">
        <f t="shared" si="0"/>
        <v>376753.69609368825</v>
      </c>
      <c r="H35" s="1">
        <f>+'American Community'!G35+'Confed Life &amp; Annty (CLIAC)'!G35+'Fidelity Mutual'!G35+'First Capital'!G35+Midcontinent!G35+'Pavonia Life'!G35+Settlers!G35+Shenandoah!G35</f>
        <v>376753.69609368825</v>
      </c>
      <c r="I35" s="1">
        <f t="shared" si="1"/>
        <v>0</v>
      </c>
    </row>
    <row r="36" spans="1:9">
      <c r="A36" s="1" t="s">
        <v>57</v>
      </c>
      <c r="B36" s="1">
        <f>+'American Community'!B36+'Confed Life &amp; Annty (CLIAC)'!B36+'Fidelity Mutual'!B36+'First Capital'!B36+Midcontinent!B36+'Pavonia Life'!B36+Settlers!B36+Shenandoah!B36</f>
        <v>5685790.2207253715</v>
      </c>
      <c r="C36" s="1">
        <f>+'American Community'!C36+'Confed Life &amp; Annty (CLIAC)'!C36+'Fidelity Mutual'!C36+'First Capital'!C36+Midcontinent!C36+'Pavonia Life'!C36+Settlers!C36+Shenandoah!C36</f>
        <v>5513.1751090383914</v>
      </c>
      <c r="D36" s="1">
        <f>+'American Community'!D36+'Confed Life &amp; Annty (CLIAC)'!D36+'Fidelity Mutual'!D36+'First Capital'!D36+Midcontinent!D36+'Pavonia Life'!D36+Settlers!D36+Shenandoah!D36</f>
        <v>24809.247971748067</v>
      </c>
      <c r="E36" s="1">
        <f>+'American Community'!E36+'Confed Life &amp; Annty (CLIAC)'!E36+'Fidelity Mutual'!E36+'First Capital'!E36+Midcontinent!E36+'Pavonia Life'!E36+Settlers!E36+Shenandoah!E36</f>
        <v>2637.5875582230933</v>
      </c>
      <c r="F36" s="1">
        <f>+'American Community'!F36+'Confed Life &amp; Annty (CLIAC)'!F36+'Fidelity Mutual'!F36+'First Capital'!F36+Midcontinent!F36+'Pavonia Life'!F36+Settlers!F36+Shenandoah!F36</f>
        <v>0</v>
      </c>
      <c r="G36" s="1">
        <f t="shared" si="0"/>
        <v>5718750.2313643806</v>
      </c>
      <c r="H36" s="1">
        <f>+'American Community'!G36+'Confed Life &amp; Annty (CLIAC)'!G36+'Fidelity Mutual'!G36+'First Capital'!G36+Midcontinent!G36+'Pavonia Life'!G36+Settlers!G36+Shenandoah!G36</f>
        <v>5718750.2313643806</v>
      </c>
      <c r="I36" s="1">
        <f t="shared" si="1"/>
        <v>0</v>
      </c>
    </row>
    <row r="37" spans="1:9">
      <c r="A37" s="1" t="s">
        <v>58</v>
      </c>
      <c r="B37" s="1">
        <f>+'American Community'!B37+'Confed Life &amp; Annty (CLIAC)'!B37+'Fidelity Mutual'!B37+'First Capital'!B37+Midcontinent!B37+'Pavonia Life'!B37+Settlers!B37+Shenandoah!B37</f>
        <v>521058.58670073841</v>
      </c>
      <c r="C37" s="1">
        <f>+'American Community'!C37+'Confed Life &amp; Annty (CLIAC)'!C37+'Fidelity Mutual'!C37+'First Capital'!C37+Midcontinent!C37+'Pavonia Life'!C37+Settlers!C37+Shenandoah!C37</f>
        <v>336.85384499459815</v>
      </c>
      <c r="D37" s="1">
        <f>+'American Community'!D37+'Confed Life &amp; Annty (CLIAC)'!D37+'Fidelity Mutual'!D37+'First Capital'!D37+Midcontinent!D37+'Pavonia Life'!D37+Settlers!D37+Shenandoah!D37</f>
        <v>20771.952045953418</v>
      </c>
      <c r="E37" s="1">
        <f>+'American Community'!E37+'Confed Life &amp; Annty (CLIAC)'!E37+'Fidelity Mutual'!E37+'First Capital'!E37+Midcontinent!E37+'Pavonia Life'!E37+Settlers!E37+Shenandoah!E37</f>
        <v>0</v>
      </c>
      <c r="F37" s="1">
        <f>+'American Community'!F37+'Confed Life &amp; Annty (CLIAC)'!F37+'Fidelity Mutual'!F37+'First Capital'!F37+Midcontinent!F37+'Pavonia Life'!F37+Settlers!F37+Shenandoah!F37</f>
        <v>0</v>
      </c>
      <c r="G37" s="1">
        <f t="shared" si="0"/>
        <v>542167.39259168645</v>
      </c>
      <c r="H37" s="1">
        <f>+'American Community'!G37+'Confed Life &amp; Annty (CLIAC)'!G37+'Fidelity Mutual'!G37+'First Capital'!G37+Midcontinent!G37+'Pavonia Life'!G37+Settlers!G37+Shenandoah!G37</f>
        <v>542167.39259168645</v>
      </c>
      <c r="I37" s="1">
        <f t="shared" si="1"/>
        <v>0</v>
      </c>
    </row>
    <row r="38" spans="1:9">
      <c r="A38" s="1" t="s">
        <v>59</v>
      </c>
      <c r="B38" s="1">
        <f>+'American Community'!B38+'Confed Life &amp; Annty (CLIAC)'!B38+'Fidelity Mutual'!B38+'First Capital'!B38+Midcontinent!B38+'Pavonia Life'!B38+Settlers!B38+Shenandoah!B38</f>
        <v>66077.781985260372</v>
      </c>
      <c r="C38" s="1">
        <f>+'American Community'!C38+'Confed Life &amp; Annty (CLIAC)'!C38+'Fidelity Mutual'!C38+'First Capital'!C38+Midcontinent!C38+'Pavonia Life'!C38+Settlers!C38+Shenandoah!C38</f>
        <v>8241.2230776572706</v>
      </c>
      <c r="D38" s="1">
        <f>+'American Community'!D38+'Confed Life &amp; Annty (CLIAC)'!D38+'Fidelity Mutual'!D38+'First Capital'!D38+Midcontinent!D38+'Pavonia Life'!D38+Settlers!D38+Shenandoah!D38</f>
        <v>0</v>
      </c>
      <c r="E38" s="1">
        <f>+'American Community'!E38+'Confed Life &amp; Annty (CLIAC)'!E38+'Fidelity Mutual'!E38+'First Capital'!E38+Midcontinent!E38+'Pavonia Life'!E38+Settlers!E38+Shenandoah!E38</f>
        <v>2625.4326901761783</v>
      </c>
      <c r="F38" s="1">
        <f>+'American Community'!F38+'Confed Life &amp; Annty (CLIAC)'!F38+'Fidelity Mutual'!F38+'First Capital'!F38+Midcontinent!F38+'Pavonia Life'!F38+Settlers!F38+Shenandoah!F38</f>
        <v>0</v>
      </c>
      <c r="G38" s="1">
        <f t="shared" ref="G38:G58" si="2">SUM(B38:F38)</f>
        <v>76944.437753093822</v>
      </c>
      <c r="H38" s="1">
        <f>+'American Community'!G38+'Confed Life &amp; Annty (CLIAC)'!G38+'Fidelity Mutual'!G38+'First Capital'!G38+Midcontinent!G38+'Pavonia Life'!G38+Settlers!G38+Shenandoah!G38</f>
        <v>76944.437753093822</v>
      </c>
      <c r="I38" s="1">
        <f t="shared" ref="I38:I58" si="3">G38-H38</f>
        <v>0</v>
      </c>
    </row>
    <row r="39" spans="1:9">
      <c r="A39" s="1" t="s">
        <v>60</v>
      </c>
      <c r="B39" s="1">
        <f>+'American Community'!B39+'Confed Life &amp; Annty (CLIAC)'!B39+'Fidelity Mutual'!B39+'First Capital'!B39+Midcontinent!B39+'Pavonia Life'!B39+Settlers!B39+Shenandoah!B39</f>
        <v>3922698.619638586</v>
      </c>
      <c r="C39" s="1">
        <f>+'American Community'!C39+'Confed Life &amp; Annty (CLIAC)'!C39+'Fidelity Mutual'!C39+'First Capital'!C39+Midcontinent!C39+'Pavonia Life'!C39+Settlers!C39+Shenandoah!C39</f>
        <v>52332.193987086954</v>
      </c>
      <c r="D39" s="1">
        <f>+'American Community'!D39+'Confed Life &amp; Annty (CLIAC)'!D39+'Fidelity Mutual'!D39+'First Capital'!D39+Midcontinent!D39+'Pavonia Life'!D39+Settlers!D39+Shenandoah!D39</f>
        <v>238581.66821437798</v>
      </c>
      <c r="E39" s="1">
        <f>+'American Community'!E39+'Confed Life &amp; Annty (CLIAC)'!E39+'Fidelity Mutual'!E39+'First Capital'!E39+Midcontinent!E39+'Pavonia Life'!E39+Settlers!E39+Shenandoah!E39</f>
        <v>3367.4268659084501</v>
      </c>
      <c r="F39" s="1">
        <f>+'American Community'!F39+'Confed Life &amp; Annty (CLIAC)'!F39+'Fidelity Mutual'!F39+'First Capital'!F39+Midcontinent!F39+'Pavonia Life'!F39+Settlers!F39+Shenandoah!F39</f>
        <v>0</v>
      </c>
      <c r="G39" s="1">
        <f t="shared" si="2"/>
        <v>4216979.9087059591</v>
      </c>
      <c r="H39" s="1">
        <f>+'American Community'!G39+'Confed Life &amp; Annty (CLIAC)'!G39+'Fidelity Mutual'!G39+'First Capital'!G39+Midcontinent!G39+'Pavonia Life'!G39+Settlers!G39+Shenandoah!G39</f>
        <v>4216979.90870596</v>
      </c>
      <c r="I39" s="1">
        <f t="shared" si="3"/>
        <v>0</v>
      </c>
    </row>
    <row r="40" spans="1:9">
      <c r="A40" s="1" t="s">
        <v>61</v>
      </c>
      <c r="B40" s="1">
        <f>+'American Community'!B40+'Confed Life &amp; Annty (CLIAC)'!B40+'Fidelity Mutual'!B40+'First Capital'!B40+Midcontinent!B40+'Pavonia Life'!B40+Settlers!B40+Shenandoah!B40</f>
        <v>190018.46349933534</v>
      </c>
      <c r="C40" s="1">
        <f>+'American Community'!C40+'Confed Life &amp; Annty (CLIAC)'!C40+'Fidelity Mutual'!C40+'First Capital'!C40+Midcontinent!C40+'Pavonia Life'!C40+Settlers!C40+Shenandoah!C40</f>
        <v>0</v>
      </c>
      <c r="D40" s="1">
        <f>+'American Community'!D40+'Confed Life &amp; Annty (CLIAC)'!D40+'Fidelity Mutual'!D40+'First Capital'!D40+Midcontinent!D40+'Pavonia Life'!D40+Settlers!D40+Shenandoah!D40</f>
        <v>1.9762207348083973</v>
      </c>
      <c r="E40" s="1">
        <f>+'American Community'!E40+'Confed Life &amp; Annty (CLIAC)'!E40+'Fidelity Mutual'!E40+'First Capital'!E40+Midcontinent!E40+'Pavonia Life'!E40+Settlers!E40+Shenandoah!E40</f>
        <v>0</v>
      </c>
      <c r="F40" s="1">
        <f>+'American Community'!F40+'Confed Life &amp; Annty (CLIAC)'!F40+'Fidelity Mutual'!F40+'First Capital'!F40+Midcontinent!F40+'Pavonia Life'!F40+Settlers!F40+Shenandoah!F40</f>
        <v>0</v>
      </c>
      <c r="G40" s="1">
        <f t="shared" si="2"/>
        <v>190020.43972007014</v>
      </c>
      <c r="H40" s="1">
        <f>+'American Community'!G40+'Confed Life &amp; Annty (CLIAC)'!G40+'Fidelity Mutual'!G40+'First Capital'!G40+Midcontinent!G40+'Pavonia Life'!G40+Settlers!G40+Shenandoah!G40</f>
        <v>190020.43972007016</v>
      </c>
      <c r="I40" s="1">
        <f t="shared" si="3"/>
        <v>0</v>
      </c>
    </row>
    <row r="41" spans="1:9">
      <c r="A41" s="1" t="s">
        <v>62</v>
      </c>
      <c r="B41" s="1">
        <f>+'American Community'!B41+'Confed Life &amp; Annty (CLIAC)'!B41+'Fidelity Mutual'!B41+'First Capital'!B41+Midcontinent!B41+'Pavonia Life'!B41+Settlers!B41+Shenandoah!B41</f>
        <v>2566785.3486228213</v>
      </c>
      <c r="C41" s="1">
        <f>+'American Community'!C41+'Confed Life &amp; Annty (CLIAC)'!C41+'Fidelity Mutual'!C41+'First Capital'!C41+Midcontinent!C41+'Pavonia Life'!C41+Settlers!C41+Shenandoah!C41</f>
        <v>15159.786262364512</v>
      </c>
      <c r="D41" s="1">
        <f>+'American Community'!D41+'Confed Life &amp; Annty (CLIAC)'!D41+'Fidelity Mutual'!D41+'First Capital'!D41+Midcontinent!D41+'Pavonia Life'!D41+Settlers!D41+Shenandoah!D41</f>
        <v>149899.90205871584</v>
      </c>
      <c r="E41" s="1">
        <f>+'American Community'!E41+'Confed Life &amp; Annty (CLIAC)'!E41+'Fidelity Mutual'!E41+'First Capital'!E41+Midcontinent!E41+'Pavonia Life'!E41+Settlers!E41+Shenandoah!E41</f>
        <v>3699.9370291093323</v>
      </c>
      <c r="F41" s="1">
        <f>+'American Community'!F41+'Confed Life &amp; Annty (CLIAC)'!F41+'Fidelity Mutual'!F41+'First Capital'!F41+Midcontinent!F41+'Pavonia Life'!F41+Settlers!F41+Shenandoah!F41</f>
        <v>0</v>
      </c>
      <c r="G41" s="1">
        <f t="shared" si="2"/>
        <v>2735544.9739730111</v>
      </c>
      <c r="H41" s="1">
        <f>+'American Community'!G41+'Confed Life &amp; Annty (CLIAC)'!G41+'Fidelity Mutual'!G41+'First Capital'!G41+Midcontinent!G41+'Pavonia Life'!G41+Settlers!G41+Shenandoah!G41</f>
        <v>2735544.9739730111</v>
      </c>
      <c r="I41" s="1">
        <f t="shared" si="3"/>
        <v>0</v>
      </c>
    </row>
    <row r="42" spans="1:9">
      <c r="A42" s="1" t="s">
        <v>63</v>
      </c>
      <c r="B42" s="1">
        <f>+'American Community'!B42+'Confed Life &amp; Annty (CLIAC)'!B42+'Fidelity Mutual'!B42+'First Capital'!B42+Midcontinent!B42+'Pavonia Life'!B42+Settlers!B42+Shenandoah!B42</f>
        <v>1164144.7077502937</v>
      </c>
      <c r="C42" s="1">
        <f>+'American Community'!C42+'Confed Life &amp; Annty (CLIAC)'!C42+'Fidelity Mutual'!C42+'First Capital'!C42+Midcontinent!C42+'Pavonia Life'!C42+Settlers!C42+Shenandoah!C42</f>
        <v>3867.6190658636033</v>
      </c>
      <c r="D42" s="1">
        <f>+'American Community'!D42+'Confed Life &amp; Annty (CLIAC)'!D42+'Fidelity Mutual'!D42+'First Capital'!D42+Midcontinent!D42+'Pavonia Life'!D42+Settlers!D42+Shenandoah!D42</f>
        <v>27467.91572199716</v>
      </c>
      <c r="E42" s="1">
        <f>+'American Community'!E42+'Confed Life &amp; Annty (CLIAC)'!E42+'Fidelity Mutual'!E42+'First Capital'!E42+Midcontinent!E42+'Pavonia Life'!E42+Settlers!E42+Shenandoah!E42</f>
        <v>0</v>
      </c>
      <c r="F42" s="1">
        <f>+'American Community'!F42+'Confed Life &amp; Annty (CLIAC)'!F42+'Fidelity Mutual'!F42+'First Capital'!F42+Midcontinent!F42+'Pavonia Life'!F42+Settlers!F42+Shenandoah!F42</f>
        <v>0</v>
      </c>
      <c r="G42" s="1">
        <f t="shared" si="2"/>
        <v>1195480.2425381544</v>
      </c>
      <c r="H42" s="1">
        <f>+'American Community'!G42+'Confed Life &amp; Annty (CLIAC)'!G42+'Fidelity Mutual'!G42+'First Capital'!G42+Midcontinent!G42+'Pavonia Life'!G42+Settlers!G42+Shenandoah!G42</f>
        <v>1195480.2425381546</v>
      </c>
      <c r="I42" s="1">
        <f t="shared" si="3"/>
        <v>0</v>
      </c>
    </row>
    <row r="43" spans="1:9">
      <c r="A43" s="1" t="s">
        <v>64</v>
      </c>
      <c r="B43" s="1">
        <f>+'American Community'!B43+'Confed Life &amp; Annty (CLIAC)'!B43+'Fidelity Mutual'!B43+'First Capital'!B43+Midcontinent!B43+'Pavonia Life'!B43+Settlers!B43+Shenandoah!B43</f>
        <v>936451.76639044122</v>
      </c>
      <c r="C43" s="1">
        <f>+'American Community'!C43+'Confed Life &amp; Annty (CLIAC)'!C43+'Fidelity Mutual'!C43+'First Capital'!C43+Midcontinent!C43+'Pavonia Life'!C43+Settlers!C43+Shenandoah!C43</f>
        <v>67.264595534309649</v>
      </c>
      <c r="D43" s="1">
        <f>+'American Community'!D43+'Confed Life &amp; Annty (CLIAC)'!D43+'Fidelity Mutual'!D43+'First Capital'!D43+Midcontinent!D43+'Pavonia Life'!D43+Settlers!D43+Shenandoah!D43</f>
        <v>9932.7200729954893</v>
      </c>
      <c r="E43" s="1">
        <f>+'American Community'!E43+'Confed Life &amp; Annty (CLIAC)'!E43+'Fidelity Mutual'!E43+'First Capital'!E43+Midcontinent!E43+'Pavonia Life'!E43+Settlers!E43+Shenandoah!E43</f>
        <v>0</v>
      </c>
      <c r="F43" s="1">
        <f>+'American Community'!F43+'Confed Life &amp; Annty (CLIAC)'!F43+'Fidelity Mutual'!F43+'First Capital'!F43+Midcontinent!F43+'Pavonia Life'!F43+Settlers!F43+Shenandoah!F43</f>
        <v>0</v>
      </c>
      <c r="G43" s="1">
        <f t="shared" si="2"/>
        <v>946451.75105897104</v>
      </c>
      <c r="H43" s="1">
        <f>+'American Community'!G43+'Confed Life &amp; Annty (CLIAC)'!G43+'Fidelity Mutual'!G43+'First Capital'!G43+Midcontinent!G43+'Pavonia Life'!G43+Settlers!G43+Shenandoah!G43</f>
        <v>946451.75105897104</v>
      </c>
      <c r="I43" s="1">
        <f t="shared" si="3"/>
        <v>0</v>
      </c>
    </row>
    <row r="44" spans="1:9">
      <c r="A44" s="1" t="s">
        <v>65</v>
      </c>
      <c r="B44" s="1">
        <f>+'American Community'!B44+'Confed Life &amp; Annty (CLIAC)'!B44+'Fidelity Mutual'!B44+'First Capital'!B44+Midcontinent!B44+'Pavonia Life'!B44+Settlers!B44+Shenandoah!B44</f>
        <v>4105085.7831895691</v>
      </c>
      <c r="C44" s="1">
        <f>+'American Community'!C44+'Confed Life &amp; Annty (CLIAC)'!C44+'Fidelity Mutual'!C44+'First Capital'!C44+Midcontinent!C44+'Pavonia Life'!C44+Settlers!C44+Shenandoah!C44</f>
        <v>36108.474118489154</v>
      </c>
      <c r="D44" s="1">
        <f>+'American Community'!D44+'Confed Life &amp; Annty (CLIAC)'!D44+'Fidelity Mutual'!D44+'First Capital'!D44+Midcontinent!D44+'Pavonia Life'!D44+Settlers!D44+Shenandoah!D44</f>
        <v>11294.886615968626</v>
      </c>
      <c r="E44" s="1">
        <f>+'American Community'!E44+'Confed Life &amp; Annty (CLIAC)'!E44+'Fidelity Mutual'!E44+'First Capital'!E44+Midcontinent!E44+'Pavonia Life'!E44+Settlers!E44+Shenandoah!E44</f>
        <v>13441.201397507341</v>
      </c>
      <c r="F44" s="1">
        <f>+'American Community'!F44+'Confed Life &amp; Annty (CLIAC)'!F44+'Fidelity Mutual'!F44+'First Capital'!F44+Midcontinent!F44+'Pavonia Life'!F44+Settlers!F44+Shenandoah!F44</f>
        <v>0</v>
      </c>
      <c r="G44" s="1">
        <f t="shared" si="2"/>
        <v>4165930.3453215347</v>
      </c>
      <c r="H44" s="1">
        <f>+'American Community'!G44+'Confed Life &amp; Annty (CLIAC)'!G44+'Fidelity Mutual'!G44+'First Capital'!G44+Midcontinent!G44+'Pavonia Life'!G44+Settlers!G44+Shenandoah!G44</f>
        <v>4165930.3453215347</v>
      </c>
      <c r="I44" s="1">
        <f t="shared" si="3"/>
        <v>0</v>
      </c>
    </row>
    <row r="45" spans="1:9">
      <c r="A45" s="1" t="s">
        <v>66</v>
      </c>
      <c r="B45" s="1">
        <f>+'American Community'!B45+'Confed Life &amp; Annty (CLIAC)'!B45+'Fidelity Mutual'!B45+'First Capital'!B45+Midcontinent!B45+'Pavonia Life'!B45+Settlers!B45+Shenandoah!B45</f>
        <v>33.649569152645</v>
      </c>
      <c r="C45" s="1">
        <f>+'American Community'!C45+'Confed Life &amp; Annty (CLIAC)'!C45+'Fidelity Mutual'!C45+'First Capital'!C45+Midcontinent!C45+'Pavonia Life'!C45+Settlers!C45+Shenandoah!C45</f>
        <v>0</v>
      </c>
      <c r="D45" s="1">
        <f>+'American Community'!D45+'Confed Life &amp; Annty (CLIAC)'!D45+'Fidelity Mutual'!D45+'First Capital'!D45+Midcontinent!D45+'Pavonia Life'!D45+Settlers!D45+Shenandoah!D45</f>
        <v>0</v>
      </c>
      <c r="E45" s="1">
        <f>+'American Community'!E45+'Confed Life &amp; Annty (CLIAC)'!E45+'Fidelity Mutual'!E45+'First Capital'!E45+Midcontinent!E45+'Pavonia Life'!E45+Settlers!E45+Shenandoah!E45</f>
        <v>0</v>
      </c>
      <c r="F45" s="1">
        <f>+'American Community'!F45+'Confed Life &amp; Annty (CLIAC)'!F45+'Fidelity Mutual'!F45+'First Capital'!F45+Midcontinent!F45+'Pavonia Life'!F45+Settlers!F45+Shenandoah!F45</f>
        <v>0</v>
      </c>
      <c r="G45" s="1">
        <f t="shared" si="2"/>
        <v>33.649569152645</v>
      </c>
      <c r="H45" s="1">
        <f>+'American Community'!G45+'Confed Life &amp; Annty (CLIAC)'!G45+'Fidelity Mutual'!G45+'First Capital'!G45+Midcontinent!G45+'Pavonia Life'!G45+Settlers!G45+Shenandoah!G45</f>
        <v>33.649569152645</v>
      </c>
      <c r="I45" s="1">
        <f t="shared" si="3"/>
        <v>0</v>
      </c>
    </row>
    <row r="46" spans="1:9">
      <c r="A46" s="1" t="s">
        <v>67</v>
      </c>
      <c r="B46" s="1">
        <f>+'American Community'!B46+'Confed Life &amp; Annty (CLIAC)'!B46+'Fidelity Mutual'!B46+'First Capital'!B46+Midcontinent!B46+'Pavonia Life'!B46+Settlers!B46+Shenandoah!B46</f>
        <v>254710.26810524261</v>
      </c>
      <c r="C46" s="1">
        <f>+'American Community'!C46+'Confed Life &amp; Annty (CLIAC)'!C46+'Fidelity Mutual'!C46+'First Capital'!C46+Midcontinent!C46+'Pavonia Life'!C46+Settlers!C46+Shenandoah!C46</f>
        <v>225.61601127540882</v>
      </c>
      <c r="D46" s="1">
        <f>+'American Community'!D46+'Confed Life &amp; Annty (CLIAC)'!D46+'Fidelity Mutual'!D46+'First Capital'!D46+Midcontinent!D46+'Pavonia Life'!D46+Settlers!D46+Shenandoah!D46</f>
        <v>6952.4271395870919</v>
      </c>
      <c r="E46" s="1">
        <f>+'American Community'!E46+'Confed Life &amp; Annty (CLIAC)'!E46+'Fidelity Mutual'!E46+'First Capital'!E46+Midcontinent!E46+'Pavonia Life'!E46+Settlers!E46+Shenandoah!E46</f>
        <v>0</v>
      </c>
      <c r="F46" s="1">
        <f>+'American Community'!F46+'Confed Life &amp; Annty (CLIAC)'!F46+'Fidelity Mutual'!F46+'First Capital'!F46+Midcontinent!F46+'Pavonia Life'!F46+Settlers!F46+Shenandoah!F46</f>
        <v>0</v>
      </c>
      <c r="G46" s="1">
        <f t="shared" si="2"/>
        <v>261888.31125610511</v>
      </c>
      <c r="H46" s="1">
        <f>+'American Community'!G46+'Confed Life &amp; Annty (CLIAC)'!G46+'Fidelity Mutual'!G46+'First Capital'!G46+Midcontinent!G46+'Pavonia Life'!G46+Settlers!G46+Shenandoah!G46</f>
        <v>261888.31125610511</v>
      </c>
      <c r="I46" s="1">
        <f t="shared" si="3"/>
        <v>0</v>
      </c>
    </row>
    <row r="47" spans="1:9">
      <c r="A47" s="1" t="s">
        <v>68</v>
      </c>
      <c r="B47" s="1">
        <f>+'American Community'!B47+'Confed Life &amp; Annty (CLIAC)'!B47+'Fidelity Mutual'!B47+'First Capital'!B47+Midcontinent!B47+'Pavonia Life'!B47+Settlers!B47+Shenandoah!B47</f>
        <v>1662533.874365147</v>
      </c>
      <c r="C47" s="1">
        <f>+'American Community'!C47+'Confed Life &amp; Annty (CLIAC)'!C47+'Fidelity Mutual'!C47+'First Capital'!C47+Midcontinent!C47+'Pavonia Life'!C47+Settlers!C47+Shenandoah!C47</f>
        <v>10092.294283578849</v>
      </c>
      <c r="D47" s="1">
        <f>+'American Community'!D47+'Confed Life &amp; Annty (CLIAC)'!D47+'Fidelity Mutual'!D47+'First Capital'!D47+Midcontinent!D47+'Pavonia Life'!D47+Settlers!D47+Shenandoah!D47</f>
        <v>33309.884373360321</v>
      </c>
      <c r="E47" s="1">
        <f>+'American Community'!E47+'Confed Life &amp; Annty (CLIAC)'!E47+'Fidelity Mutual'!E47+'First Capital'!E47+Midcontinent!E47+'Pavonia Life'!E47+Settlers!E47+Shenandoah!E47</f>
        <v>0</v>
      </c>
      <c r="F47" s="1">
        <f>+'American Community'!F47+'Confed Life &amp; Annty (CLIAC)'!F47+'Fidelity Mutual'!F47+'First Capital'!F47+Midcontinent!F47+'Pavonia Life'!F47+Settlers!F47+Shenandoah!F47</f>
        <v>0</v>
      </c>
      <c r="G47" s="1">
        <f t="shared" si="2"/>
        <v>1705936.0530220862</v>
      </c>
      <c r="H47" s="1">
        <f>+'American Community'!G47+'Confed Life &amp; Annty (CLIAC)'!G47+'Fidelity Mutual'!G47+'First Capital'!G47+Midcontinent!G47+'Pavonia Life'!G47+Settlers!G47+Shenandoah!G47</f>
        <v>1705936.0530220862</v>
      </c>
      <c r="I47" s="1">
        <f t="shared" si="3"/>
        <v>0</v>
      </c>
    </row>
    <row r="48" spans="1:9">
      <c r="A48" s="1" t="s">
        <v>69</v>
      </c>
      <c r="B48" s="1">
        <f>+'American Community'!B48+'Confed Life &amp; Annty (CLIAC)'!B48+'Fidelity Mutual'!B48+'First Capital'!B48+Midcontinent!B48+'Pavonia Life'!B48+Settlers!B48+Shenandoah!B48</f>
        <v>149463.21392296042</v>
      </c>
      <c r="C48" s="1">
        <f>+'American Community'!C48+'Confed Life &amp; Annty (CLIAC)'!C48+'Fidelity Mutual'!C48+'First Capital'!C48+Midcontinent!C48+'Pavonia Life'!C48+Settlers!C48+Shenandoah!C48</f>
        <v>2.0708961659710763</v>
      </c>
      <c r="D48" s="1">
        <f>+'American Community'!D48+'Confed Life &amp; Annty (CLIAC)'!D48+'Fidelity Mutual'!D48+'First Capital'!D48+Midcontinent!D48+'Pavonia Life'!D48+Settlers!D48+Shenandoah!D48</f>
        <v>2979.8975275892863</v>
      </c>
      <c r="E48" s="1">
        <f>+'American Community'!E48+'Confed Life &amp; Annty (CLIAC)'!E48+'Fidelity Mutual'!E48+'First Capital'!E48+Midcontinent!E48+'Pavonia Life'!E48+Settlers!E48+Shenandoah!E48</f>
        <v>0</v>
      </c>
      <c r="F48" s="1">
        <f>+'American Community'!F48+'Confed Life &amp; Annty (CLIAC)'!F48+'Fidelity Mutual'!F48+'First Capital'!F48+Midcontinent!F48+'Pavonia Life'!F48+Settlers!F48+Shenandoah!F48</f>
        <v>0</v>
      </c>
      <c r="G48" s="1">
        <f t="shared" si="2"/>
        <v>152445.18234671568</v>
      </c>
      <c r="H48" s="1">
        <f>+'American Community'!G48+'Confed Life &amp; Annty (CLIAC)'!G48+'Fidelity Mutual'!G48+'First Capital'!G48+Midcontinent!G48+'Pavonia Life'!G48+Settlers!G48+Shenandoah!G48</f>
        <v>152445.18234671568</v>
      </c>
      <c r="I48" s="1">
        <f t="shared" si="3"/>
        <v>0</v>
      </c>
    </row>
    <row r="49" spans="1:9">
      <c r="A49" s="1" t="s">
        <v>70</v>
      </c>
      <c r="B49" s="1">
        <f>+'American Community'!B49+'Confed Life &amp; Annty (CLIAC)'!B49+'Fidelity Mutual'!B49+'First Capital'!B49+Midcontinent!B49+'Pavonia Life'!B49+Settlers!B49+Shenandoah!B49</f>
        <v>1799634.8897249806</v>
      </c>
      <c r="C49" s="1">
        <f>+'American Community'!C49+'Confed Life &amp; Annty (CLIAC)'!C49+'Fidelity Mutual'!C49+'First Capital'!C49+Midcontinent!C49+'Pavonia Life'!C49+Settlers!C49+Shenandoah!C49</f>
        <v>18229.288244095136</v>
      </c>
      <c r="D49" s="1">
        <f>+'American Community'!D49+'Confed Life &amp; Annty (CLIAC)'!D49+'Fidelity Mutual'!D49+'First Capital'!D49+Midcontinent!D49+'Pavonia Life'!D49+Settlers!D49+Shenandoah!D49</f>
        <v>51970.276191096375</v>
      </c>
      <c r="E49" s="1">
        <f>+'American Community'!E49+'Confed Life &amp; Annty (CLIAC)'!E49+'Fidelity Mutual'!E49+'First Capital'!E49+Midcontinent!E49+'Pavonia Life'!E49+Settlers!E49+Shenandoah!E49</f>
        <v>0</v>
      </c>
      <c r="F49" s="1">
        <f>+'American Community'!F49+'Confed Life &amp; Annty (CLIAC)'!F49+'Fidelity Mutual'!F49+'First Capital'!F49+Midcontinent!F49+'Pavonia Life'!F49+Settlers!F49+Shenandoah!F49</f>
        <v>0</v>
      </c>
      <c r="G49" s="1">
        <f t="shared" si="2"/>
        <v>1869834.454160172</v>
      </c>
      <c r="H49" s="1">
        <f>+'American Community'!G49+'Confed Life &amp; Annty (CLIAC)'!G49+'Fidelity Mutual'!G49+'First Capital'!G49+Midcontinent!G49+'Pavonia Life'!G49+Settlers!G49+Shenandoah!G49</f>
        <v>1869834.4541601723</v>
      </c>
      <c r="I49" s="1">
        <f t="shared" si="3"/>
        <v>0</v>
      </c>
    </row>
    <row r="50" spans="1:9">
      <c r="A50" s="1" t="s">
        <v>71</v>
      </c>
      <c r="B50" s="1">
        <f>+'American Community'!B50+'Confed Life &amp; Annty (CLIAC)'!B50+'Fidelity Mutual'!B50+'First Capital'!B50+Midcontinent!B50+'Pavonia Life'!B50+Settlers!B50+Shenandoah!B50</f>
        <v>11114986.51015598</v>
      </c>
      <c r="C50" s="1">
        <f>+'American Community'!C50+'Confed Life &amp; Annty (CLIAC)'!C50+'Fidelity Mutual'!C50+'First Capital'!C50+Midcontinent!C50+'Pavonia Life'!C50+Settlers!C50+Shenandoah!C50</f>
        <v>14546.974850618441</v>
      </c>
      <c r="D50" s="1">
        <f>+'American Community'!D50+'Confed Life &amp; Annty (CLIAC)'!D50+'Fidelity Mutual'!D50+'First Capital'!D50+Midcontinent!D50+'Pavonia Life'!D50+Settlers!D50+Shenandoah!D50</f>
        <v>62878.392811441256</v>
      </c>
      <c r="E50" s="1">
        <f>+'American Community'!E50+'Confed Life &amp; Annty (CLIAC)'!E50+'Fidelity Mutual'!E50+'First Capital'!E50+Midcontinent!E50+'Pavonia Life'!E50+Settlers!E50+Shenandoah!E50</f>
        <v>0</v>
      </c>
      <c r="F50" s="1">
        <f>+'American Community'!F50+'Confed Life &amp; Annty (CLIAC)'!F50+'Fidelity Mutual'!F50+'First Capital'!F50+Midcontinent!F50+'Pavonia Life'!F50+Settlers!F50+Shenandoah!F50</f>
        <v>0</v>
      </c>
      <c r="G50" s="1">
        <f t="shared" si="2"/>
        <v>11192411.877818041</v>
      </c>
      <c r="H50" s="1">
        <f>+'American Community'!G50+'Confed Life &amp; Annty (CLIAC)'!G50+'Fidelity Mutual'!G50+'First Capital'!G50+Midcontinent!G50+'Pavonia Life'!G50+Settlers!G50+Shenandoah!G50</f>
        <v>11192411.877818039</v>
      </c>
      <c r="I50" s="1">
        <f t="shared" si="3"/>
        <v>0</v>
      </c>
    </row>
    <row r="51" spans="1:9">
      <c r="A51" s="1" t="s">
        <v>72</v>
      </c>
      <c r="B51" s="1">
        <f>+'American Community'!B51+'Confed Life &amp; Annty (CLIAC)'!B51+'Fidelity Mutual'!B51+'First Capital'!B51+Midcontinent!B51+'Pavonia Life'!B51+Settlers!B51+Shenandoah!B51</f>
        <v>594331.84670125274</v>
      </c>
      <c r="C51" s="1">
        <f>+'American Community'!C51+'Confed Life &amp; Annty (CLIAC)'!C51+'Fidelity Mutual'!C51+'First Capital'!C51+Midcontinent!C51+'Pavonia Life'!C51+Settlers!C51+Shenandoah!C51</f>
        <v>24.133596308984295</v>
      </c>
      <c r="D51" s="1">
        <f>+'American Community'!D51+'Confed Life &amp; Annty (CLIAC)'!D51+'Fidelity Mutual'!D51+'First Capital'!D51+Midcontinent!D51+'Pavonia Life'!D51+Settlers!D51+Shenandoah!D51</f>
        <v>7283.6380467838862</v>
      </c>
      <c r="E51" s="1">
        <f>+'American Community'!E51+'Confed Life &amp; Annty (CLIAC)'!E51+'Fidelity Mutual'!E51+'First Capital'!E51+Midcontinent!E51+'Pavonia Life'!E51+Settlers!E51+Shenandoah!E51</f>
        <v>0</v>
      </c>
      <c r="F51" s="1">
        <f>+'American Community'!F51+'Confed Life &amp; Annty (CLIAC)'!F51+'Fidelity Mutual'!F51+'First Capital'!F51+Midcontinent!F51+'Pavonia Life'!F51+Settlers!F51+Shenandoah!F51</f>
        <v>0</v>
      </c>
      <c r="G51" s="1">
        <f t="shared" si="2"/>
        <v>601639.6183443456</v>
      </c>
      <c r="H51" s="1">
        <f>+'American Community'!G51+'Confed Life &amp; Annty (CLIAC)'!G51+'Fidelity Mutual'!G51+'First Capital'!G51+Midcontinent!G51+'Pavonia Life'!G51+Settlers!G51+Shenandoah!G51</f>
        <v>601639.6183443456</v>
      </c>
      <c r="I51" s="1">
        <f t="shared" si="3"/>
        <v>0</v>
      </c>
    </row>
    <row r="52" spans="1:9">
      <c r="A52" s="1" t="s">
        <v>73</v>
      </c>
      <c r="B52" s="1">
        <f>+'American Community'!B52+'Confed Life &amp; Annty (CLIAC)'!B52+'Fidelity Mutual'!B52+'First Capital'!B52+Midcontinent!B52+'Pavonia Life'!B52+Settlers!B52+Shenandoah!B52</f>
        <v>171043.67489238014</v>
      </c>
      <c r="C52" s="1">
        <f>+'American Community'!C52+'Confed Life &amp; Annty (CLIAC)'!C52+'Fidelity Mutual'!C52+'First Capital'!C52+Midcontinent!C52+'Pavonia Life'!C52+Settlers!C52+Shenandoah!C52</f>
        <v>5.2385971834387632</v>
      </c>
      <c r="D52" s="1">
        <f>+'American Community'!D52+'Confed Life &amp; Annty (CLIAC)'!D52+'Fidelity Mutual'!D52+'First Capital'!D52+Midcontinent!D52+'Pavonia Life'!D52+Settlers!D52+Shenandoah!D52</f>
        <v>0</v>
      </c>
      <c r="E52" s="1">
        <f>+'American Community'!E52+'Confed Life &amp; Annty (CLIAC)'!E52+'Fidelity Mutual'!E52+'First Capital'!E52+Midcontinent!E52+'Pavonia Life'!E52+Settlers!E52+Shenandoah!E52</f>
        <v>0</v>
      </c>
      <c r="F52" s="1">
        <f>+'American Community'!F52+'Confed Life &amp; Annty (CLIAC)'!F52+'Fidelity Mutual'!F52+'First Capital'!F52+Midcontinent!F52+'Pavonia Life'!F52+Settlers!F52+Shenandoah!F52</f>
        <v>0</v>
      </c>
      <c r="G52" s="1">
        <f t="shared" si="2"/>
        <v>171048.91348956357</v>
      </c>
      <c r="H52" s="1">
        <f>+'American Community'!G52+'Confed Life &amp; Annty (CLIAC)'!G52+'Fidelity Mutual'!G52+'First Capital'!G52+Midcontinent!G52+'Pavonia Life'!G52+Settlers!G52+Shenandoah!G52</f>
        <v>171048.91348956357</v>
      </c>
      <c r="I52" s="1">
        <f t="shared" si="3"/>
        <v>0</v>
      </c>
    </row>
    <row r="53" spans="1:9">
      <c r="A53" s="1" t="s">
        <v>74</v>
      </c>
      <c r="B53" s="1">
        <f>+'American Community'!B53+'Confed Life &amp; Annty (CLIAC)'!B53+'Fidelity Mutual'!B53+'First Capital'!B53+Midcontinent!B53+'Pavonia Life'!B53+Settlers!B53+Shenandoah!B53</f>
        <v>2438795.9083367283</v>
      </c>
      <c r="C53" s="1">
        <f>+'American Community'!C53+'Confed Life &amp; Annty (CLIAC)'!C53+'Fidelity Mutual'!C53+'First Capital'!C53+Midcontinent!C53+'Pavonia Life'!C53+Settlers!C53+Shenandoah!C53</f>
        <v>23284.260587932768</v>
      </c>
      <c r="D53" s="1">
        <f>+'American Community'!D53+'Confed Life &amp; Annty (CLIAC)'!D53+'Fidelity Mutual'!D53+'First Capital'!D53+Midcontinent!D53+'Pavonia Life'!D53+Settlers!D53+Shenandoah!D53</f>
        <v>99011.198451143122</v>
      </c>
      <c r="E53" s="1">
        <f>+'American Community'!E53+'Confed Life &amp; Annty (CLIAC)'!E53+'Fidelity Mutual'!E53+'First Capital'!E53+Midcontinent!E53+'Pavonia Life'!E53+Settlers!E53+Shenandoah!E53</f>
        <v>0</v>
      </c>
      <c r="F53" s="1">
        <f>+'American Community'!F53+'Confed Life &amp; Annty (CLIAC)'!F53+'Fidelity Mutual'!F53+'First Capital'!F53+Midcontinent!F53+'Pavonia Life'!F53+Settlers!F53+Shenandoah!F53</f>
        <v>0</v>
      </c>
      <c r="G53" s="1">
        <f t="shared" si="2"/>
        <v>2561091.3673758041</v>
      </c>
      <c r="H53" s="1">
        <f>+'American Community'!G53+'Confed Life &amp; Annty (CLIAC)'!G53+'Fidelity Mutual'!G53+'First Capital'!G53+Midcontinent!G53+'Pavonia Life'!G53+Settlers!G53+Shenandoah!G53</f>
        <v>2561091.3673758041</v>
      </c>
      <c r="I53" s="1">
        <f t="shared" si="3"/>
        <v>0</v>
      </c>
    </row>
    <row r="54" spans="1:9">
      <c r="A54" s="1" t="s">
        <v>75</v>
      </c>
      <c r="B54" s="1">
        <f>+'American Community'!B54+'Confed Life &amp; Annty (CLIAC)'!B54+'Fidelity Mutual'!B54+'First Capital'!B54+Midcontinent!B54+'Pavonia Life'!B54+Settlers!B54+Shenandoah!B54</f>
        <v>2171946.1205642703</v>
      </c>
      <c r="C54" s="1">
        <f>+'American Community'!C54+'Confed Life &amp; Annty (CLIAC)'!C54+'Fidelity Mutual'!C54+'First Capital'!C54+Midcontinent!C54+'Pavonia Life'!C54+Settlers!C54+Shenandoah!C54</f>
        <v>3250.3808491795326</v>
      </c>
      <c r="D54" s="1">
        <f>+'American Community'!D54+'Confed Life &amp; Annty (CLIAC)'!D54+'Fidelity Mutual'!D54+'First Capital'!D54+Midcontinent!D54+'Pavonia Life'!D54+Settlers!D54+Shenandoah!D54</f>
        <v>45378.633134402779</v>
      </c>
      <c r="E54" s="1">
        <f>+'American Community'!E54+'Confed Life &amp; Annty (CLIAC)'!E54+'Fidelity Mutual'!E54+'First Capital'!E54+Midcontinent!E54+'Pavonia Life'!E54+Settlers!E54+Shenandoah!E54</f>
        <v>0</v>
      </c>
      <c r="F54" s="1">
        <f>+'American Community'!F54+'Confed Life &amp; Annty (CLIAC)'!F54+'Fidelity Mutual'!F54+'First Capital'!F54+Midcontinent!F54+'Pavonia Life'!F54+Settlers!F54+Shenandoah!F54</f>
        <v>0</v>
      </c>
      <c r="G54" s="1">
        <f t="shared" si="2"/>
        <v>2220575.1345478524</v>
      </c>
      <c r="H54" s="1">
        <f>+'American Community'!G54+'Confed Life &amp; Annty (CLIAC)'!G54+'Fidelity Mutual'!G54+'First Capital'!G54+Midcontinent!G54+'Pavonia Life'!G54+Settlers!G54+Shenandoah!G54</f>
        <v>2220575.1345478529</v>
      </c>
      <c r="I54" s="1">
        <f t="shared" si="3"/>
        <v>0</v>
      </c>
    </row>
    <row r="55" spans="1:9">
      <c r="A55" s="1" t="s">
        <v>76</v>
      </c>
      <c r="B55" s="1">
        <f>+'American Community'!B55+'Confed Life &amp; Annty (CLIAC)'!B55+'Fidelity Mutual'!B55+'First Capital'!B55+Midcontinent!B55+'Pavonia Life'!B55+Settlers!B55+Shenandoah!B55</f>
        <v>385050.27032879781</v>
      </c>
      <c r="C55" s="1">
        <f>+'American Community'!C55+'Confed Life &amp; Annty (CLIAC)'!C55+'Fidelity Mutual'!C55+'First Capital'!C55+Midcontinent!C55+'Pavonia Life'!C55+Settlers!C55+Shenandoah!C55</f>
        <v>1372.641474865728</v>
      </c>
      <c r="D55" s="1">
        <f>+'American Community'!D55+'Confed Life &amp; Annty (CLIAC)'!D55+'Fidelity Mutual'!D55+'First Capital'!D55+Midcontinent!D55+'Pavonia Life'!D55+Settlers!D55+Shenandoah!D55</f>
        <v>7225.8751824852252</v>
      </c>
      <c r="E55" s="1">
        <f>+'American Community'!E55+'Confed Life &amp; Annty (CLIAC)'!E55+'Fidelity Mutual'!E55+'First Capital'!E55+Midcontinent!E55+'Pavonia Life'!E55+Settlers!E55+Shenandoah!E55</f>
        <v>0</v>
      </c>
      <c r="F55" s="1">
        <f>+'American Community'!F55+'Confed Life &amp; Annty (CLIAC)'!F55+'Fidelity Mutual'!F55+'First Capital'!F55+Midcontinent!F55+'Pavonia Life'!F55+Settlers!F55+Shenandoah!F55</f>
        <v>0</v>
      </c>
      <c r="G55" s="1">
        <f t="shared" si="2"/>
        <v>393648.78698614874</v>
      </c>
      <c r="H55" s="1">
        <f>+'American Community'!G55+'Confed Life &amp; Annty (CLIAC)'!G55+'Fidelity Mutual'!G55+'First Capital'!G55+Midcontinent!G55+'Pavonia Life'!G55+Settlers!G55+Shenandoah!G55</f>
        <v>393648.7869861488</v>
      </c>
      <c r="I55" s="1">
        <f t="shared" si="3"/>
        <v>0</v>
      </c>
    </row>
    <row r="56" spans="1:9">
      <c r="A56" s="1" t="s">
        <v>77</v>
      </c>
      <c r="B56" s="1">
        <f>+'American Community'!B56+'Confed Life &amp; Annty (CLIAC)'!B56+'Fidelity Mutual'!B56+'First Capital'!B56+Midcontinent!B56+'Pavonia Life'!B56+Settlers!B56+Shenandoah!B56</f>
        <v>1555756.2538217315</v>
      </c>
      <c r="C56" s="1">
        <f>+'American Community'!C56+'Confed Life &amp; Annty (CLIAC)'!C56+'Fidelity Mutual'!C56+'First Capital'!C56+Midcontinent!C56+'Pavonia Life'!C56+Settlers!C56+Shenandoah!C56</f>
        <v>3177.6556871016223</v>
      </c>
      <c r="D56" s="1">
        <f>+'American Community'!D56+'Confed Life &amp; Annty (CLIAC)'!D56+'Fidelity Mutual'!D56+'First Capital'!D56+Midcontinent!D56+'Pavonia Life'!D56+Settlers!D56+Shenandoah!D56</f>
        <v>33906.545813902419</v>
      </c>
      <c r="E56" s="1">
        <f>+'American Community'!E56+'Confed Life &amp; Annty (CLIAC)'!E56+'Fidelity Mutual'!E56+'First Capital'!E56+Midcontinent!E56+'Pavonia Life'!E56+Settlers!E56+Shenandoah!E56</f>
        <v>0</v>
      </c>
      <c r="F56" s="1">
        <f>+'American Community'!F56+'Confed Life &amp; Annty (CLIAC)'!F56+'Fidelity Mutual'!F56+'First Capital'!F56+Midcontinent!F56+'Pavonia Life'!F56+Settlers!F56+Shenandoah!F56</f>
        <v>0</v>
      </c>
      <c r="G56" s="1">
        <f t="shared" si="2"/>
        <v>1592840.4553227357</v>
      </c>
      <c r="H56" s="1">
        <f>+'American Community'!G56+'Confed Life &amp; Annty (CLIAC)'!G56+'Fidelity Mutual'!G56+'First Capital'!G56+Midcontinent!G56+'Pavonia Life'!G56+Settlers!G56+Shenandoah!G56</f>
        <v>1592840.4553227357</v>
      </c>
      <c r="I56" s="1">
        <f t="shared" si="3"/>
        <v>0</v>
      </c>
    </row>
    <row r="57" spans="1:9">
      <c r="A57" s="1" t="s">
        <v>78</v>
      </c>
      <c r="B57" s="1">
        <f>+'American Community'!B57+'Confed Life &amp; Annty (CLIAC)'!B57+'Fidelity Mutual'!B57+'First Capital'!B57+Midcontinent!B57+'Pavonia Life'!B57+Settlers!B57+Shenandoah!B57</f>
        <v>279827.58018132445</v>
      </c>
      <c r="C57" s="1">
        <f>+'American Community'!C57+'Confed Life &amp; Annty (CLIAC)'!C57+'Fidelity Mutual'!C57+'First Capital'!C57+Midcontinent!C57+'Pavonia Life'!C57+Settlers!C57+Shenandoah!C57</f>
        <v>18.717197970786913</v>
      </c>
      <c r="D57" s="1">
        <f>+'American Community'!D57+'Confed Life &amp; Annty (CLIAC)'!D57+'Fidelity Mutual'!D57+'First Capital'!D57+Midcontinent!D57+'Pavonia Life'!D57+Settlers!D57+Shenandoah!D57</f>
        <v>4969.1266646904023</v>
      </c>
      <c r="E57" s="1">
        <f>+'American Community'!E57+'Confed Life &amp; Annty (CLIAC)'!E57+'Fidelity Mutual'!E57+'First Capital'!E57+Midcontinent!E57+'Pavonia Life'!E57+Settlers!E57+Shenandoah!E57</f>
        <v>0</v>
      </c>
      <c r="F57" s="1">
        <f>+'American Community'!F57+'Confed Life &amp; Annty (CLIAC)'!F57+'Fidelity Mutual'!F57+'First Capital'!F57+Midcontinent!F57+'Pavonia Life'!F57+Settlers!F57+Shenandoah!F57</f>
        <v>0</v>
      </c>
      <c r="G57" s="1">
        <f t="shared" si="2"/>
        <v>284815.42404398561</v>
      </c>
      <c r="H57" s="1">
        <f>+'American Community'!G57+'Confed Life &amp; Annty (CLIAC)'!G57+'Fidelity Mutual'!G57+'First Capital'!G57+Midcontinent!G57+'Pavonia Life'!G57+Settlers!G57+Shenandoah!G57</f>
        <v>284815.42404398561</v>
      </c>
      <c r="I57" s="1">
        <f t="shared" si="3"/>
        <v>0</v>
      </c>
    </row>
    <row r="58" spans="1:9">
      <c r="A58" s="1" t="s">
        <v>79</v>
      </c>
      <c r="B58" s="1">
        <f>+'American Community'!B58+'Confed Life &amp; Annty (CLIAC)'!B58+'Fidelity Mutual'!B58+'First Capital'!B58+Midcontinent!B58+'Pavonia Life'!B58+Settlers!B58+Shenandoah!B58</f>
        <v>0</v>
      </c>
      <c r="C58" s="1">
        <f>+'American Community'!C58+'Confed Life &amp; Annty (CLIAC)'!C58+'Fidelity Mutual'!C58+'First Capital'!C58+Midcontinent!C58+'Pavonia Life'!C58+Settlers!C58+Shenandoah!C58</f>
        <v>0</v>
      </c>
      <c r="D58" s="1">
        <f>+'American Community'!D58+'Confed Life &amp; Annty (CLIAC)'!D58+'Fidelity Mutual'!D58+'First Capital'!D58+Midcontinent!D58+'Pavonia Life'!D58+Settlers!D58+Shenandoah!D58</f>
        <v>0</v>
      </c>
      <c r="E58" s="1">
        <f>+'American Community'!E58+'Confed Life &amp; Annty (CLIAC)'!E58+'Fidelity Mutual'!E58+'First Capital'!E58+Midcontinent!E58+'Pavonia Life'!E58+Settlers!E58+Shenandoah!E58</f>
        <v>0</v>
      </c>
      <c r="F58" s="1">
        <f>+'American Community'!F58+'Confed Life &amp; Annty (CLIAC)'!F58+'Fidelity Mutual'!F58+'First Capital'!F58+Midcontinent!F58+'Pavonia Life'!F58+Settlers!F58+Shenandoah!F58</f>
        <v>0</v>
      </c>
      <c r="G58" s="1">
        <f t="shared" si="2"/>
        <v>0</v>
      </c>
      <c r="H58" s="1">
        <f>+'American Community'!G58+'Confed Life &amp; Annty (CLIAC)'!G58+'Fidelity Mutual'!G58+'First Capital'!G58+Midcontinent!G58+'Pavonia Life'!G58+Settlers!G58+Shenandoah!G58</f>
        <v>0</v>
      </c>
      <c r="I58" s="1">
        <f t="shared" si="3"/>
        <v>0</v>
      </c>
    </row>
    <row r="61" spans="1:9">
      <c r="A61" s="1" t="s">
        <v>8</v>
      </c>
      <c r="B61" s="1">
        <f>SUM(LIFE)</f>
        <v>98177304.357450768</v>
      </c>
      <c r="C61" s="1">
        <f>SUM(ALLOCATED)</f>
        <v>305927.78861455363</v>
      </c>
      <c r="D61" s="1">
        <f>SUM(HEALTH)</f>
        <v>1913654.7380206569</v>
      </c>
      <c r="E61" s="1">
        <f>SUM(UNALLOCATED)</f>
        <v>28074.675914009502</v>
      </c>
      <c r="F61" s="1">
        <f>SUM(LTC)</f>
        <v>0</v>
      </c>
      <c r="G61" s="1">
        <f>SUM(TOTAL)</f>
        <v>100424961.56000002</v>
      </c>
      <c r="H61" s="1">
        <f>SUM(TOTAL_CROSSCHECK)</f>
        <v>100424961.56</v>
      </c>
      <c r="I61" s="1">
        <f>SUM(RECON)</f>
        <v>0</v>
      </c>
    </row>
  </sheetData>
  <mergeCells count="1">
    <mergeCell ref="A1:G1"/>
  </mergeCells>
  <pageMargins left="0" right="0" top="0.5" bottom="0.5" header="0.3" footer="0.3"/>
  <pageSetup paperSize="5" scale="60"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S61"/>
  <sheetViews>
    <sheetView zoomScale="75" workbookViewId="0">
      <selection activeCell="M49" sqref="M49"/>
    </sheetView>
  </sheetViews>
  <sheetFormatPr defaultColWidth="9.109375" defaultRowHeight="14.4"/>
  <cols>
    <col min="1" max="1" width="20" style="1" customWidth="1"/>
    <col min="2" max="7" width="15" style="1" customWidth="1"/>
    <col min="8" max="8" width="1" style="1" customWidth="1"/>
    <col min="9"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9.109375" style="1" customWidth="1"/>
    <col min="21" max="16384" width="9.109375" style="1"/>
  </cols>
  <sheetData>
    <row r="1" spans="1:19">
      <c r="A1" s="120" t="s">
        <v>704</v>
      </c>
      <c r="B1" s="120"/>
      <c r="C1" s="120"/>
      <c r="D1" s="120"/>
      <c r="E1" s="120"/>
      <c r="F1" s="120"/>
      <c r="G1" s="120"/>
    </row>
    <row r="3" spans="1:19">
      <c r="B3" s="121" t="s">
        <v>1</v>
      </c>
      <c r="C3" s="122"/>
      <c r="D3" s="122"/>
      <c r="E3" s="122"/>
      <c r="F3" s="122"/>
      <c r="G3" s="123"/>
      <c r="I3" s="124" t="s">
        <v>2</v>
      </c>
      <c r="J3" s="125"/>
      <c r="K3" s="125"/>
      <c r="L3" s="125"/>
      <c r="M3" s="125"/>
      <c r="N3" s="125"/>
      <c r="O3" s="125"/>
      <c r="P3" s="125"/>
      <c r="Q3" s="125"/>
      <c r="R3" s="125"/>
      <c r="S3" s="126"/>
    </row>
    <row r="4" spans="1:19">
      <c r="B4" s="6"/>
      <c r="G4" s="9"/>
      <c r="I4" s="127" t="s">
        <v>3</v>
      </c>
      <c r="J4" s="128"/>
      <c r="K4" s="3"/>
      <c r="L4" s="129" t="s">
        <v>4</v>
      </c>
      <c r="M4" s="128"/>
      <c r="N4" s="3"/>
      <c r="O4" s="129" t="s">
        <v>5</v>
      </c>
      <c r="P4" s="128"/>
      <c r="Q4" s="3"/>
      <c r="R4" s="129" t="s">
        <v>6</v>
      </c>
      <c r="S4" s="130"/>
    </row>
    <row r="5" spans="1:19" ht="60" customHeight="1">
      <c r="B5" s="7" t="s">
        <v>3</v>
      </c>
      <c r="C5" s="4" t="s">
        <v>4</v>
      </c>
      <c r="D5" s="4" t="s">
        <v>5</v>
      </c>
      <c r="E5" s="4" t="s">
        <v>6</v>
      </c>
      <c r="F5" s="4" t="s">
        <v>7</v>
      </c>
      <c r="G5" s="10" t="s">
        <v>8</v>
      </c>
      <c r="I5" s="19" t="s">
        <v>9</v>
      </c>
      <c r="J5" s="18" t="s">
        <v>10</v>
      </c>
      <c r="K5" s="18"/>
      <c r="L5" s="18" t="s">
        <v>9</v>
      </c>
      <c r="M5" s="18" t="s">
        <v>10</v>
      </c>
      <c r="N5" s="18"/>
      <c r="O5" s="18" t="s">
        <v>9</v>
      </c>
      <c r="P5" s="18" t="s">
        <v>10</v>
      </c>
      <c r="Q5" s="18"/>
      <c r="R5" s="18" t="s">
        <v>9</v>
      </c>
      <c r="S5" s="20" t="s">
        <v>10</v>
      </c>
    </row>
    <row r="6" spans="1:19">
      <c r="A6" s="1" t="s">
        <v>11</v>
      </c>
      <c r="B6" s="6">
        <f>+'Pre-Liquidation Summary'!B6+'Open Summary'!B6+'Closed Summary'!B6+'Estate Closed Summary'!B6+'Released from Oversight Summary'!B6</f>
        <v>91694387.746230051</v>
      </c>
      <c r="C6" s="1">
        <f>+'Pre-Liquidation Summary'!C6+'Open Summary'!C6+'Closed Summary'!C6+'Estate Closed Summary'!C6+'Released from Oversight Summary'!C6</f>
        <v>40470183.29315304</v>
      </c>
      <c r="D6" s="1">
        <f>+'Pre-Liquidation Summary'!D6+'Open Summary'!D6+'Closed Summary'!D6+'Estate Closed Summary'!D6+'Released from Oversight Summary'!D6</f>
        <v>10340952.074731492</v>
      </c>
      <c r="E6" s="1">
        <f>+'Pre-Liquidation Summary'!E6+'Open Summary'!E6+'Closed Summary'!E6+'Estate Closed Summary'!E6+'Released from Oversight Summary'!E6</f>
        <v>0</v>
      </c>
      <c r="F6" s="1">
        <f>+'Pre-Liquidation Summary'!F6+'Open Summary'!F6+'Closed Summary'!F6+'Estate Closed Summary'!F6+'Released from Oversight Summary'!F6</f>
        <v>0</v>
      </c>
      <c r="G6" s="9">
        <f>SUM(AL_FINANCIAL)</f>
        <v>142505523.11411458</v>
      </c>
      <c r="I6" s="6">
        <f>SUM('Alabama Life:Villanova'!L6)</f>
        <v>22368855</v>
      </c>
      <c r="J6" s="1">
        <f>SUM('Alabama Life:Villanova'!M6)</f>
        <v>0</v>
      </c>
      <c r="L6" s="1">
        <f>SUM('Alabama Life:Villanova'!O6)</f>
        <v>33937732</v>
      </c>
      <c r="M6" s="1">
        <f>SUM('Alabama Life:Villanova'!P6)</f>
        <v>0</v>
      </c>
      <c r="O6" s="1">
        <f>SUM('Alabama Life:Villanova'!R6)</f>
        <v>2060000</v>
      </c>
      <c r="P6" s="1">
        <f>SUM('Alabama Life:Villanova'!S6)</f>
        <v>0</v>
      </c>
      <c r="R6" s="1">
        <f>SUM('Alabama Life:Villanova'!U6)</f>
        <v>0</v>
      </c>
      <c r="S6" s="9">
        <f>SUM('Alabama Life:Villanova'!V6)</f>
        <v>0</v>
      </c>
    </row>
    <row r="7" spans="1:19">
      <c r="A7" s="1" t="s">
        <v>12</v>
      </c>
      <c r="B7" s="6">
        <f>+'Pre-Liquidation Summary'!B7+'Open Summary'!B7+'Closed Summary'!B7+'Estate Closed Summary'!B7+'Released from Oversight Summary'!B7</f>
        <v>927271.43709209305</v>
      </c>
      <c r="C7" s="1">
        <f>+'Pre-Liquidation Summary'!C7+'Open Summary'!C7+'Closed Summary'!C7+'Estate Closed Summary'!C7+'Released from Oversight Summary'!C7</f>
        <v>6753451.9581478201</v>
      </c>
      <c r="D7" s="1">
        <f>+'Pre-Liquidation Summary'!D7+'Open Summary'!D7+'Closed Summary'!D7+'Estate Closed Summary'!D7+'Released from Oversight Summary'!D7</f>
        <v>1258894.4151931445</v>
      </c>
      <c r="E7" s="1">
        <f>+'Pre-Liquidation Summary'!E7+'Open Summary'!E7+'Closed Summary'!E7+'Estate Closed Summary'!E7+'Released from Oversight Summary'!E7</f>
        <v>-526.53156057171236</v>
      </c>
      <c r="F7" s="1">
        <f>+'Pre-Liquidation Summary'!F7+'Open Summary'!F7+'Closed Summary'!F7+'Estate Closed Summary'!F7+'Released from Oversight Summary'!F7</f>
        <v>0</v>
      </c>
      <c r="G7" s="9">
        <f>SUM(AK_FINANCIAL)</f>
        <v>8939091.2788724862</v>
      </c>
      <c r="I7" s="6">
        <f>SUM('Alabama Life:Villanova'!L7)</f>
        <v>2063342</v>
      </c>
      <c r="J7" s="1">
        <f>SUM('Alabama Life:Villanova'!M7)</f>
        <v>454500</v>
      </c>
      <c r="L7" s="1">
        <f>SUM('Alabama Life:Villanova'!O7)</f>
        <v>6747089</v>
      </c>
      <c r="M7" s="1">
        <f>SUM('Alabama Life:Villanova'!P7)</f>
        <v>333181</v>
      </c>
      <c r="O7" s="1">
        <f>SUM('Alabama Life:Villanova'!R7)</f>
        <v>1303415</v>
      </c>
      <c r="P7" s="1">
        <f>SUM('Alabama Life:Villanova'!S7)</f>
        <v>56000</v>
      </c>
      <c r="R7" s="1">
        <f>SUM('Alabama Life:Villanova'!U7)</f>
        <v>2428923</v>
      </c>
      <c r="S7" s="9">
        <f>SUM('Alabama Life:Villanova'!V7)</f>
        <v>29</v>
      </c>
    </row>
    <row r="8" spans="1:19">
      <c r="A8" s="1" t="s">
        <v>13</v>
      </c>
      <c r="B8" s="6">
        <f>+'Pre-Liquidation Summary'!B8+'Open Summary'!B8+'Closed Summary'!B8+'Estate Closed Summary'!B8+'Released from Oversight Summary'!B8</f>
        <v>31066967.489279911</v>
      </c>
      <c r="C8" s="1">
        <f>+'Pre-Liquidation Summary'!C8+'Open Summary'!C8+'Closed Summary'!C8+'Estate Closed Summary'!C8+'Released from Oversight Summary'!C8</f>
        <v>58798353.73899553</v>
      </c>
      <c r="D8" s="1">
        <f>+'Pre-Liquidation Summary'!D8+'Open Summary'!D8+'Closed Summary'!D8+'Estate Closed Summary'!D8+'Released from Oversight Summary'!D8</f>
        <v>135043299.60564464</v>
      </c>
      <c r="E8" s="1">
        <f>+'Pre-Liquidation Summary'!E8+'Open Summary'!E8+'Closed Summary'!E8+'Estate Closed Summary'!E8+'Released from Oversight Summary'!E8</f>
        <v>0</v>
      </c>
      <c r="F8" s="1">
        <f>+'Pre-Liquidation Summary'!F8+'Open Summary'!F8+'Closed Summary'!F8+'Estate Closed Summary'!F8+'Released from Oversight Summary'!F8</f>
        <v>1967856.5995589423</v>
      </c>
      <c r="G8" s="9">
        <f>SUM(AZ_FINANCIAL)</f>
        <v>226876477.43347904</v>
      </c>
      <c r="I8" s="6">
        <f>SUM('Alabama Life:Villanova'!L8)</f>
        <v>38214894</v>
      </c>
      <c r="J8" s="1">
        <f>SUM('Alabama Life:Villanova'!M8)</f>
        <v>0</v>
      </c>
      <c r="L8" s="1">
        <f>SUM('Alabama Life:Villanova'!O8)</f>
        <v>38206946</v>
      </c>
      <c r="M8" s="1">
        <f>SUM('Alabama Life:Villanova'!P8)</f>
        <v>0</v>
      </c>
      <c r="O8" s="1">
        <f>SUM('Alabama Life:Villanova'!R8)</f>
        <v>59059267</v>
      </c>
      <c r="P8" s="1">
        <f>SUM('Alabama Life:Villanova'!S8)</f>
        <v>3181</v>
      </c>
      <c r="R8" s="1">
        <f>SUM('Alabama Life:Villanova'!U8)</f>
        <v>0</v>
      </c>
      <c r="S8" s="9">
        <f>SUM('Alabama Life:Villanova'!V8)</f>
        <v>0</v>
      </c>
    </row>
    <row r="9" spans="1:19">
      <c r="A9" s="1" t="s">
        <v>15</v>
      </c>
      <c r="B9" s="6">
        <f>+'Pre-Liquidation Summary'!B9+'Open Summary'!B9+'Closed Summary'!B9+'Estate Closed Summary'!B9+'Released from Oversight Summary'!B9</f>
        <v>17615278.438051645</v>
      </c>
      <c r="C9" s="1">
        <f>+'Pre-Liquidation Summary'!C9+'Open Summary'!C9+'Closed Summary'!C9+'Estate Closed Summary'!C9+'Released from Oversight Summary'!C9</f>
        <v>17478922.601450201</v>
      </c>
      <c r="D9" s="1">
        <f>+'Pre-Liquidation Summary'!D9+'Open Summary'!D9+'Closed Summary'!D9+'Estate Closed Summary'!D9+'Released from Oversight Summary'!D9</f>
        <v>8164413.4462156519</v>
      </c>
      <c r="E9" s="1">
        <f>+'Pre-Liquidation Summary'!E9+'Open Summary'!E9+'Closed Summary'!E9+'Estate Closed Summary'!E9+'Released from Oversight Summary'!E9</f>
        <v>52664.556050031657</v>
      </c>
      <c r="F9" s="1">
        <f>+'Pre-Liquidation Summary'!F9+'Open Summary'!F9+'Closed Summary'!F9+'Estate Closed Summary'!F9+'Released from Oversight Summary'!F9</f>
        <v>0</v>
      </c>
      <c r="G9" s="9">
        <f>SUM(AR_FINANCIAL)</f>
        <v>43311279.04176753</v>
      </c>
      <c r="I9" s="6">
        <f>SUM('Alabama Life:Villanova'!L9)</f>
        <v>28121978</v>
      </c>
      <c r="J9" s="1">
        <f>SUM('Alabama Life:Villanova'!M9)</f>
        <v>0</v>
      </c>
      <c r="L9" s="1">
        <f>SUM('Alabama Life:Villanova'!O9)</f>
        <v>0</v>
      </c>
      <c r="M9" s="1">
        <f>SUM('Alabama Life:Villanova'!P9)</f>
        <v>0</v>
      </c>
      <c r="O9" s="1">
        <f>SUM('Alabama Life:Villanova'!R9)</f>
        <v>9736334</v>
      </c>
      <c r="P9" s="1">
        <f>SUM('Alabama Life:Villanova'!S9)</f>
        <v>0</v>
      </c>
      <c r="R9" s="1">
        <f>SUM('Alabama Life:Villanova'!U9)</f>
        <v>0</v>
      </c>
      <c r="S9" s="9">
        <f>SUM('Alabama Life:Villanova'!V9)</f>
        <v>0</v>
      </c>
    </row>
    <row r="10" spans="1:19">
      <c r="A10" s="1" t="s">
        <v>16</v>
      </c>
      <c r="B10" s="6">
        <f>+'Pre-Liquidation Summary'!B10+'Open Summary'!B10+'Closed Summary'!B10+'Estate Closed Summary'!B10+'Released from Oversight Summary'!B10</f>
        <v>319993393.07970423</v>
      </c>
      <c r="C10" s="1">
        <f>+'Pre-Liquidation Summary'!C10+'Open Summary'!C10+'Closed Summary'!C10+'Estate Closed Summary'!C10+'Released from Oversight Summary'!C10</f>
        <v>505033249.10386372</v>
      </c>
      <c r="D10" s="1">
        <f>+'Pre-Liquidation Summary'!D10+'Open Summary'!D10+'Closed Summary'!D10+'Estate Closed Summary'!D10+'Released from Oversight Summary'!D10</f>
        <v>437721567.34903902</v>
      </c>
      <c r="E10" s="1">
        <f>+'Pre-Liquidation Summary'!E10+'Open Summary'!E10+'Closed Summary'!E10+'Estate Closed Summary'!E10+'Released from Oversight Summary'!E10</f>
        <v>0</v>
      </c>
      <c r="F10" s="1">
        <f>+'Pre-Liquidation Summary'!F10+'Open Summary'!F10+'Closed Summary'!F10+'Estate Closed Summary'!F10+'Released from Oversight Summary'!F10</f>
        <v>0</v>
      </c>
      <c r="G10" s="9">
        <f>SUM(CA_FINANCIAL)</f>
        <v>1262748209.5326071</v>
      </c>
      <c r="I10" s="6">
        <f>SUM('Alabama Life:Villanova'!L10)</f>
        <v>313156930</v>
      </c>
      <c r="J10" s="1">
        <f>SUM('Alabama Life:Villanova'!M10)</f>
        <v>41665000</v>
      </c>
      <c r="L10" s="1">
        <f>SUM('Alabama Life:Villanova'!O10)</f>
        <v>514978212</v>
      </c>
      <c r="M10" s="1">
        <f>SUM('Alabama Life:Villanova'!P10)</f>
        <v>23273000</v>
      </c>
      <c r="O10" s="1">
        <f>SUM('Alabama Life:Villanova'!R10)</f>
        <v>361761272</v>
      </c>
      <c r="P10" s="1">
        <f>SUM('Alabama Life:Villanova'!S10)</f>
        <v>11275000</v>
      </c>
      <c r="R10" s="1">
        <f>SUM('Alabama Life:Villanova'!U10)</f>
        <v>0</v>
      </c>
      <c r="S10" s="9">
        <f>SUM('Alabama Life:Villanova'!V10)</f>
        <v>0</v>
      </c>
    </row>
    <row r="11" spans="1:19">
      <c r="A11" s="1" t="s">
        <v>18</v>
      </c>
      <c r="B11" s="6">
        <f>+'Pre-Liquidation Summary'!B11+'Open Summary'!B11+'Closed Summary'!B11+'Estate Closed Summary'!B11+'Released from Oversight Summary'!B11</f>
        <v>4477937.9260787424</v>
      </c>
      <c r="C11" s="1">
        <f>+'Pre-Liquidation Summary'!C11+'Open Summary'!C11+'Closed Summary'!C11+'Estate Closed Summary'!C11+'Released from Oversight Summary'!C11</f>
        <v>19945567.163142148</v>
      </c>
      <c r="D11" s="1">
        <f>+'Pre-Liquidation Summary'!D11+'Open Summary'!D11+'Closed Summary'!D11+'Estate Closed Summary'!D11+'Released from Oversight Summary'!D11</f>
        <v>157834711.76448688</v>
      </c>
      <c r="E11" s="1">
        <f>+'Pre-Liquidation Summary'!E11+'Open Summary'!E11+'Closed Summary'!E11+'Estate Closed Summary'!E11+'Released from Oversight Summary'!E11</f>
        <v>0</v>
      </c>
      <c r="F11" s="1">
        <f>+'Pre-Liquidation Summary'!F11+'Open Summary'!F11+'Closed Summary'!F11+'Estate Closed Summary'!F11+'Released from Oversight Summary'!F11</f>
        <v>0</v>
      </c>
      <c r="G11" s="9">
        <f>SUM(CO_FINANCIAL)</f>
        <v>182258216.85370776</v>
      </c>
      <c r="I11" s="6">
        <f>SUM('Alabama Life:Villanova'!L11)</f>
        <v>10004556</v>
      </c>
      <c r="J11" s="1">
        <f>SUM('Alabama Life:Villanova'!M11)</f>
        <v>18410470</v>
      </c>
      <c r="L11" s="1">
        <f>SUM('Alabama Life:Villanova'!O11)</f>
        <v>20644425</v>
      </c>
      <c r="M11" s="1">
        <f>SUM('Alabama Life:Villanova'!P11)</f>
        <v>39239670</v>
      </c>
      <c r="O11" s="1">
        <f>SUM('Alabama Life:Villanova'!R11)</f>
        <v>172020798</v>
      </c>
      <c r="P11" s="1">
        <f>SUM('Alabama Life:Villanova'!S11)</f>
        <v>54032143</v>
      </c>
      <c r="R11" s="1">
        <f>SUM('Alabama Life:Villanova'!U11)</f>
        <v>0</v>
      </c>
      <c r="S11" s="9">
        <f>SUM('Alabama Life:Villanova'!V11)</f>
        <v>0</v>
      </c>
    </row>
    <row r="12" spans="1:19">
      <c r="A12" s="1" t="s">
        <v>19</v>
      </c>
      <c r="B12" s="6">
        <f>+'Pre-Liquidation Summary'!B12+'Open Summary'!B12+'Closed Summary'!B12+'Estate Closed Summary'!B12+'Released from Oversight Summary'!B12</f>
        <v>1927161.73731894</v>
      </c>
      <c r="C12" s="1">
        <f>+'Pre-Liquidation Summary'!C12+'Open Summary'!C12+'Closed Summary'!C12+'Estate Closed Summary'!C12+'Released from Oversight Summary'!C12</f>
        <v>60412131.704738334</v>
      </c>
      <c r="D12" s="1">
        <f>+'Pre-Liquidation Summary'!D12+'Open Summary'!D12+'Closed Summary'!D12+'Estate Closed Summary'!D12+'Released from Oversight Summary'!D12</f>
        <v>29602755.094710972</v>
      </c>
      <c r="E12" s="1">
        <f>+'Pre-Liquidation Summary'!E12+'Open Summary'!E12+'Closed Summary'!E12+'Estate Closed Summary'!E12+'Released from Oversight Summary'!E12</f>
        <v>-1407.829435692176</v>
      </c>
      <c r="F12" s="1">
        <f>+'Pre-Liquidation Summary'!F12+'Open Summary'!F12+'Closed Summary'!F12+'Estate Closed Summary'!F12+'Released from Oversight Summary'!F12</f>
        <v>0</v>
      </c>
      <c r="G12" s="9">
        <f>SUM(CT_FINANCIAL)</f>
        <v>91940640.707332551</v>
      </c>
      <c r="I12" s="6">
        <f>SUM('Alabama Life:Villanova'!L12)</f>
        <v>4732230</v>
      </c>
      <c r="J12" s="1">
        <f>SUM('Alabama Life:Villanova'!M12)</f>
        <v>4154158</v>
      </c>
      <c r="L12" s="1">
        <f>SUM('Alabama Life:Villanova'!O12)</f>
        <v>20411169</v>
      </c>
      <c r="M12" s="1">
        <f>SUM('Alabama Life:Villanova'!P12)</f>
        <v>3421902</v>
      </c>
      <c r="O12" s="1">
        <f>SUM('Alabama Life:Villanova'!R12)</f>
        <v>45380793</v>
      </c>
      <c r="P12" s="1">
        <f>SUM('Alabama Life:Villanova'!S12)</f>
        <v>0</v>
      </c>
      <c r="R12" s="1">
        <f>SUM('Alabama Life:Villanova'!U12)</f>
        <v>1445000</v>
      </c>
      <c r="S12" s="9">
        <f>SUM('Alabama Life:Villanova'!V12)</f>
        <v>1444994</v>
      </c>
    </row>
    <row r="13" spans="1:19">
      <c r="A13" s="1" t="s">
        <v>21</v>
      </c>
      <c r="B13" s="6">
        <f>+'Pre-Liquidation Summary'!B13+'Open Summary'!B13+'Closed Summary'!B13+'Estate Closed Summary'!B13+'Released from Oversight Summary'!B13</f>
        <v>5247744.2783489572</v>
      </c>
      <c r="C13" s="1">
        <f>+'Pre-Liquidation Summary'!C13+'Open Summary'!C13+'Closed Summary'!C13+'Estate Closed Summary'!C13+'Released from Oversight Summary'!C13</f>
        <v>29885849.870599721</v>
      </c>
      <c r="D13" s="1">
        <f>+'Pre-Liquidation Summary'!D13+'Open Summary'!D13+'Closed Summary'!D13+'Estate Closed Summary'!D13+'Released from Oversight Summary'!D13</f>
        <v>5214555.1862879284</v>
      </c>
      <c r="E13" s="1">
        <f>+'Pre-Liquidation Summary'!E13+'Open Summary'!E13+'Closed Summary'!E13+'Estate Closed Summary'!E13+'Released from Oversight Summary'!E13</f>
        <v>334582.13489412412</v>
      </c>
      <c r="F13" s="1">
        <f>+'Pre-Liquidation Summary'!F13+'Open Summary'!F13+'Closed Summary'!F13+'Estate Closed Summary'!F13+'Released from Oversight Summary'!F13</f>
        <v>0</v>
      </c>
      <c r="G13" s="9">
        <f>SUM(DE_FINANCIAL)</f>
        <v>40682731.470130734</v>
      </c>
      <c r="I13" s="6">
        <f>SUM('Alabama Life:Villanova'!L13)</f>
        <v>8596303</v>
      </c>
      <c r="J13" s="1">
        <f>SUM('Alabama Life:Villanova'!M13)</f>
        <v>0</v>
      </c>
      <c r="L13" s="1">
        <f>SUM('Alabama Life:Villanova'!O13)</f>
        <v>20305910</v>
      </c>
      <c r="M13" s="1">
        <f>SUM('Alabama Life:Villanova'!P13)</f>
        <v>0</v>
      </c>
      <c r="O13" s="1">
        <f>SUM('Alabama Life:Villanova'!R13)</f>
        <v>6053000</v>
      </c>
      <c r="P13" s="1">
        <f>SUM('Alabama Life:Villanova'!S13)</f>
        <v>0</v>
      </c>
      <c r="R13" s="1">
        <f>SUM('Alabama Life:Villanova'!U13)</f>
        <v>984787</v>
      </c>
      <c r="S13" s="9">
        <f>SUM('Alabama Life:Villanova'!V13)</f>
        <v>0</v>
      </c>
    </row>
    <row r="14" spans="1:19">
      <c r="A14" s="1" t="s">
        <v>23</v>
      </c>
      <c r="B14" s="6">
        <f>+'Pre-Liquidation Summary'!B14+'Open Summary'!B14+'Closed Summary'!B14+'Estate Closed Summary'!B14+'Released from Oversight Summary'!B14</f>
        <v>3953730.9664042122</v>
      </c>
      <c r="C14" s="1">
        <f>+'Pre-Liquidation Summary'!C14+'Open Summary'!C14+'Closed Summary'!C14+'Estate Closed Summary'!C14+'Released from Oversight Summary'!C14</f>
        <v>1420232.1561005458</v>
      </c>
      <c r="D14" s="1">
        <f>+'Pre-Liquidation Summary'!D14+'Open Summary'!D14+'Closed Summary'!D14+'Estate Closed Summary'!D14+'Released from Oversight Summary'!D14</f>
        <v>1637812.6811434561</v>
      </c>
      <c r="E14" s="1">
        <f>+'Pre-Liquidation Summary'!E14+'Open Summary'!E14+'Closed Summary'!E14+'Estate Closed Summary'!E14+'Released from Oversight Summary'!E14</f>
        <v>0</v>
      </c>
      <c r="F14" s="1">
        <f>+'Pre-Liquidation Summary'!F14+'Open Summary'!F14+'Closed Summary'!F14+'Estate Closed Summary'!F14+'Released from Oversight Summary'!F14</f>
        <v>0</v>
      </c>
      <c r="G14" s="9">
        <f>SUM(DC_FINANCIAL)</f>
        <v>7011775.8036482139</v>
      </c>
      <c r="I14" s="6">
        <f>SUM('Alabama Life:Villanova'!L14)</f>
        <v>584826</v>
      </c>
      <c r="J14" s="1">
        <f>SUM('Alabama Life:Villanova'!M14)</f>
        <v>512527</v>
      </c>
      <c r="L14" s="1">
        <f>SUM('Alabama Life:Villanova'!O14)</f>
        <v>1754248</v>
      </c>
      <c r="M14" s="1">
        <f>SUM('Alabama Life:Villanova'!P14)</f>
        <v>1539695</v>
      </c>
      <c r="O14" s="1">
        <f>SUM('Alabama Life:Villanova'!R14)</f>
        <v>2029000</v>
      </c>
      <c r="P14" s="1">
        <f>SUM('Alabama Life:Villanova'!S14)</f>
        <v>259707</v>
      </c>
      <c r="R14" s="1">
        <f>SUM('Alabama Life:Villanova'!U14)</f>
        <v>0</v>
      </c>
      <c r="S14" s="9">
        <f>SUM('Alabama Life:Villanova'!V14)</f>
        <v>0</v>
      </c>
    </row>
    <row r="15" spans="1:19">
      <c r="A15" s="1" t="s">
        <v>25</v>
      </c>
      <c r="B15" s="6">
        <f>+'Pre-Liquidation Summary'!B15+'Open Summary'!B15+'Closed Summary'!B15+'Estate Closed Summary'!B15+'Released from Oversight Summary'!B15</f>
        <v>128802826.29386266</v>
      </c>
      <c r="C15" s="1">
        <f>+'Pre-Liquidation Summary'!C15+'Open Summary'!C15+'Closed Summary'!C15+'Estate Closed Summary'!C15+'Released from Oversight Summary'!C15</f>
        <v>316917029.26928174</v>
      </c>
      <c r="D15" s="1">
        <f>+'Pre-Liquidation Summary'!D15+'Open Summary'!D15+'Closed Summary'!D15+'Estate Closed Summary'!D15+'Released from Oversight Summary'!D15</f>
        <v>454506928.85851669</v>
      </c>
      <c r="E15" s="1">
        <f>+'Pre-Liquidation Summary'!E15+'Open Summary'!E15+'Closed Summary'!E15+'Estate Closed Summary'!E15+'Released from Oversight Summary'!E15</f>
        <v>5811.7582404316236</v>
      </c>
      <c r="F15" s="1">
        <f>+'Pre-Liquidation Summary'!F15+'Open Summary'!F15+'Closed Summary'!F15+'Estate Closed Summary'!F15+'Released from Oversight Summary'!F15</f>
        <v>2657463.5965794986</v>
      </c>
      <c r="G15" s="9">
        <f>SUM(FL_FINANCIAL)</f>
        <v>902890059.77648115</v>
      </c>
      <c r="I15" s="6">
        <f>SUM('Alabama Life:Villanova'!L15)</f>
        <v>125771479</v>
      </c>
      <c r="J15" s="1">
        <f>SUM('Alabama Life:Villanova'!M15)</f>
        <v>0</v>
      </c>
      <c r="L15" s="1">
        <f>SUM('Alabama Life:Villanova'!O15)</f>
        <v>225059474</v>
      </c>
      <c r="M15" s="1">
        <f>SUM('Alabama Life:Villanova'!P15)</f>
        <v>142450</v>
      </c>
      <c r="O15" s="1">
        <f>SUM('Alabama Life:Villanova'!R15)</f>
        <v>409889140</v>
      </c>
      <c r="P15" s="1">
        <f>SUM('Alabama Life:Villanova'!S15)</f>
        <v>0</v>
      </c>
      <c r="R15" s="1">
        <f>SUM('Alabama Life:Villanova'!U15)</f>
        <v>0</v>
      </c>
      <c r="S15" s="9">
        <f>SUM('Alabama Life:Villanova'!V15)</f>
        <v>0</v>
      </c>
    </row>
    <row r="16" spans="1:19">
      <c r="A16" s="1" t="s">
        <v>27</v>
      </c>
      <c r="B16" s="6">
        <f>+'Pre-Liquidation Summary'!B16+'Open Summary'!B16+'Closed Summary'!B16+'Estate Closed Summary'!B16+'Released from Oversight Summary'!B16</f>
        <v>50448184.703354619</v>
      </c>
      <c r="C16" s="1">
        <f>+'Pre-Liquidation Summary'!C16+'Open Summary'!C16+'Closed Summary'!C16+'Estate Closed Summary'!C16+'Released from Oversight Summary'!C16</f>
        <v>56486449.715107337</v>
      </c>
      <c r="D16" s="1">
        <f>+'Pre-Liquidation Summary'!D16+'Open Summary'!D16+'Closed Summary'!D16+'Estate Closed Summary'!D16+'Released from Oversight Summary'!D16</f>
        <v>94693340.542350441</v>
      </c>
      <c r="E16" s="1">
        <f>+'Pre-Liquidation Summary'!E16+'Open Summary'!E16+'Closed Summary'!E16+'Estate Closed Summary'!E16+'Released from Oversight Summary'!E16</f>
        <v>2407009.2508364813</v>
      </c>
      <c r="F16" s="1">
        <f>+'Pre-Liquidation Summary'!F16+'Open Summary'!F16+'Closed Summary'!F16+'Estate Closed Summary'!F16+'Released from Oversight Summary'!F16</f>
        <v>0</v>
      </c>
      <c r="G16" s="9">
        <f>SUM(GA_FINANCIAL)</f>
        <v>204034984.21164888</v>
      </c>
      <c r="I16" s="6">
        <f>SUM('Alabama Life:Villanova'!L16)</f>
        <v>43275908</v>
      </c>
      <c r="J16" s="1">
        <f>SUM('Alabama Life:Villanova'!M16)</f>
        <v>0</v>
      </c>
      <c r="L16" s="1">
        <f>SUM('Alabama Life:Villanova'!O16)</f>
        <v>44189138</v>
      </c>
      <c r="M16" s="1">
        <f>SUM('Alabama Life:Villanova'!P16)</f>
        <v>584662.33000000007</v>
      </c>
      <c r="O16" s="1">
        <f>SUM('Alabama Life:Villanova'!R16)</f>
        <v>97115785</v>
      </c>
      <c r="P16" s="1">
        <f>SUM('Alabama Life:Villanova'!S16)</f>
        <v>64528</v>
      </c>
      <c r="R16" s="1">
        <f>SUM('Alabama Life:Villanova'!U16)</f>
        <v>5870582</v>
      </c>
      <c r="S16" s="9">
        <f>SUM('Alabama Life:Villanova'!V16)</f>
        <v>-32978.18</v>
      </c>
    </row>
    <row r="17" spans="1:19">
      <c r="A17" s="1" t="s">
        <v>29</v>
      </c>
      <c r="B17" s="6">
        <f>+'Pre-Liquidation Summary'!B17+'Open Summary'!B17+'Closed Summary'!B17+'Estate Closed Summary'!B17+'Released from Oversight Summary'!B17</f>
        <v>28008026.05968618</v>
      </c>
      <c r="C17" s="1">
        <f>+'Pre-Liquidation Summary'!C17+'Open Summary'!C17+'Closed Summary'!C17+'Estate Closed Summary'!C17+'Released from Oversight Summary'!C17</f>
        <v>56341456.841766596</v>
      </c>
      <c r="D17" s="1">
        <f>+'Pre-Liquidation Summary'!D17+'Open Summary'!D17+'Closed Summary'!D17+'Estate Closed Summary'!D17+'Released from Oversight Summary'!D17</f>
        <v>9819383.2011583</v>
      </c>
      <c r="E17" s="1">
        <f>+'Pre-Liquidation Summary'!E17+'Open Summary'!E17+'Closed Summary'!E17+'Estate Closed Summary'!E17+'Released from Oversight Summary'!E17</f>
        <v>0</v>
      </c>
      <c r="F17" s="1">
        <f>+'Pre-Liquidation Summary'!F17+'Open Summary'!F17+'Closed Summary'!F17+'Estate Closed Summary'!F17+'Released from Oversight Summary'!F17</f>
        <v>0</v>
      </c>
      <c r="G17" s="9">
        <f>SUM(HI_FINANCIAL)</f>
        <v>94168866.10261108</v>
      </c>
      <c r="I17" s="6">
        <f>SUM('Alabama Life:Villanova'!L17)</f>
        <v>47538543</v>
      </c>
      <c r="J17" s="1">
        <f>SUM('Alabama Life:Villanova'!M17)</f>
        <v>21042109</v>
      </c>
      <c r="L17" s="1">
        <f>SUM('Alabama Life:Villanova'!O17)</f>
        <v>41818128</v>
      </c>
      <c r="M17" s="1">
        <f>SUM('Alabama Life:Villanova'!P17)</f>
        <v>15586534</v>
      </c>
      <c r="O17" s="1">
        <f>SUM('Alabama Life:Villanova'!R17)</f>
        <v>19382729</v>
      </c>
      <c r="P17" s="1">
        <f>SUM('Alabama Life:Villanova'!S17)</f>
        <v>11503683</v>
      </c>
      <c r="R17" s="1">
        <f>SUM('Alabama Life:Villanova'!U17)</f>
        <v>0</v>
      </c>
      <c r="S17" s="9">
        <f>SUM('Alabama Life:Villanova'!V17)</f>
        <v>0</v>
      </c>
    </row>
    <row r="18" spans="1:19">
      <c r="A18" s="1" t="s">
        <v>30</v>
      </c>
      <c r="B18" s="6">
        <f>+'Pre-Liquidation Summary'!B18+'Open Summary'!B18+'Closed Summary'!B18+'Estate Closed Summary'!B18+'Released from Oversight Summary'!B18</f>
        <v>8746550.7536317091</v>
      </c>
      <c r="C18" s="1">
        <f>+'Pre-Liquidation Summary'!C18+'Open Summary'!C18+'Closed Summary'!C18+'Estate Closed Summary'!C18+'Released from Oversight Summary'!C18</f>
        <v>13853227.170970909</v>
      </c>
      <c r="D18" s="1">
        <f>+'Pre-Liquidation Summary'!D18+'Open Summary'!D18+'Closed Summary'!D18+'Estate Closed Summary'!D18+'Released from Oversight Summary'!D18</f>
        <v>9155556.4923310671</v>
      </c>
      <c r="E18" s="1">
        <f>+'Pre-Liquidation Summary'!E18+'Open Summary'!E18+'Closed Summary'!E18+'Estate Closed Summary'!E18+'Released from Oversight Summary'!E18</f>
        <v>0</v>
      </c>
      <c r="F18" s="1">
        <f>+'Pre-Liquidation Summary'!F18+'Open Summary'!F18+'Closed Summary'!F18+'Estate Closed Summary'!F18+'Released from Oversight Summary'!F18</f>
        <v>0</v>
      </c>
      <c r="G18" s="9">
        <f>SUM(ID_FINANCIAL)</f>
        <v>31755334.416933686</v>
      </c>
      <c r="I18" s="6">
        <f>SUM('Alabama Life:Villanova'!L18)</f>
        <v>11714705</v>
      </c>
      <c r="J18" s="1">
        <f>SUM('Alabama Life:Villanova'!M18)</f>
        <v>2699795</v>
      </c>
      <c r="L18" s="1">
        <f>SUM('Alabama Life:Villanova'!O18)</f>
        <v>9940276</v>
      </c>
      <c r="M18" s="1">
        <f>SUM('Alabama Life:Villanova'!P18)</f>
        <v>0</v>
      </c>
      <c r="O18" s="1">
        <f>SUM('Alabama Life:Villanova'!R18)</f>
        <v>5379135</v>
      </c>
      <c r="P18" s="1">
        <f>SUM('Alabama Life:Villanova'!S18)</f>
        <v>0</v>
      </c>
      <c r="R18" s="1">
        <f>SUM('Alabama Life:Villanova'!U18)</f>
        <v>0</v>
      </c>
      <c r="S18" s="9">
        <f>SUM('Alabama Life:Villanova'!V18)</f>
        <v>0</v>
      </c>
    </row>
    <row r="19" spans="1:19">
      <c r="A19" s="1" t="s">
        <v>32</v>
      </c>
      <c r="B19" s="6">
        <f>+'Pre-Liquidation Summary'!B19+'Open Summary'!B19+'Closed Summary'!B19+'Estate Closed Summary'!B19+'Released from Oversight Summary'!B19</f>
        <v>150322563.3304514</v>
      </c>
      <c r="C19" s="1">
        <f>+'Pre-Liquidation Summary'!C19+'Open Summary'!C19+'Closed Summary'!C19+'Estate Closed Summary'!C19+'Released from Oversight Summary'!C19</f>
        <v>202514717.10181415</v>
      </c>
      <c r="D19" s="1">
        <f>+'Pre-Liquidation Summary'!D19+'Open Summary'!D19+'Closed Summary'!D19+'Estate Closed Summary'!D19+'Released from Oversight Summary'!D19</f>
        <v>122819564.39107412</v>
      </c>
      <c r="E19" s="1">
        <f>+'Pre-Liquidation Summary'!E19+'Open Summary'!E19+'Closed Summary'!E19+'Estate Closed Summary'!E19+'Released from Oversight Summary'!E19</f>
        <v>8869626.5423666779</v>
      </c>
      <c r="F19" s="1">
        <f>+'Pre-Liquidation Summary'!F19+'Open Summary'!F19+'Closed Summary'!F19+'Estate Closed Summary'!F19+'Released from Oversight Summary'!F19</f>
        <v>0</v>
      </c>
      <c r="G19" s="9">
        <f>SUM(IL_FINANCIAL)</f>
        <v>484526471.36570632</v>
      </c>
      <c r="I19" s="6">
        <f>SUM('Alabama Life:Villanova'!L19)</f>
        <v>205589738</v>
      </c>
      <c r="J19" s="1">
        <f>SUM('Alabama Life:Villanova'!M19)</f>
        <v>37995670</v>
      </c>
      <c r="L19" s="1">
        <f>SUM('Alabama Life:Villanova'!O19)</f>
        <v>228222147</v>
      </c>
      <c r="M19" s="1">
        <f>SUM('Alabama Life:Villanova'!P19)</f>
        <v>103530755</v>
      </c>
      <c r="O19" s="1">
        <f>SUM('Alabama Life:Villanova'!R19)</f>
        <v>111280000</v>
      </c>
      <c r="P19" s="1">
        <f>SUM('Alabama Life:Villanova'!S19)</f>
        <v>18748240</v>
      </c>
      <c r="R19" s="1">
        <f>SUM('Alabama Life:Villanova'!U19)</f>
        <v>77450410</v>
      </c>
      <c r="S19" s="9">
        <f>SUM('Alabama Life:Villanova'!V19)</f>
        <v>59759367</v>
      </c>
    </row>
    <row r="20" spans="1:19">
      <c r="A20" s="1" t="s">
        <v>34</v>
      </c>
      <c r="B20" s="6">
        <f>+'Pre-Liquidation Summary'!B20+'Open Summary'!B20+'Closed Summary'!B20+'Estate Closed Summary'!B20+'Released from Oversight Summary'!B20</f>
        <v>35898355.908382736</v>
      </c>
      <c r="C20" s="1">
        <f>+'Pre-Liquidation Summary'!C20+'Open Summary'!C20+'Closed Summary'!C20+'Estate Closed Summary'!C20+'Released from Oversight Summary'!C20</f>
        <v>76741531.926877692</v>
      </c>
      <c r="D20" s="1">
        <f>+'Pre-Liquidation Summary'!D20+'Open Summary'!D20+'Closed Summary'!D20+'Estate Closed Summary'!D20+'Released from Oversight Summary'!D20</f>
        <v>44358381.424460143</v>
      </c>
      <c r="E20" s="1">
        <f>+'Pre-Liquidation Summary'!E20+'Open Summary'!E20+'Closed Summary'!E20+'Estate Closed Summary'!E20+'Released from Oversight Summary'!E20</f>
        <v>4702466.7427132512</v>
      </c>
      <c r="F20" s="1">
        <f>+'Pre-Liquidation Summary'!F20+'Open Summary'!F20+'Closed Summary'!F20+'Estate Closed Summary'!F20+'Released from Oversight Summary'!F20</f>
        <v>0</v>
      </c>
      <c r="G20" s="9">
        <f>SUM(IN_FINANCIAL)</f>
        <v>161700736.00243381</v>
      </c>
      <c r="I20" s="6">
        <f>SUM('Alabama Life:Villanova'!L20)</f>
        <v>36726351</v>
      </c>
      <c r="J20" s="1">
        <f>SUM('Alabama Life:Villanova'!M20)</f>
        <v>5000000</v>
      </c>
      <c r="L20" s="1">
        <f>SUM('Alabama Life:Villanova'!O20)</f>
        <v>74412620</v>
      </c>
      <c r="M20" s="1">
        <f>SUM('Alabama Life:Villanova'!P20)</f>
        <v>4999960</v>
      </c>
      <c r="O20" s="1">
        <f>SUM('Alabama Life:Villanova'!R20)</f>
        <v>43846164</v>
      </c>
      <c r="P20" s="1">
        <f>SUM('Alabama Life:Villanova'!S20)</f>
        <v>0</v>
      </c>
      <c r="R20" s="1">
        <f>SUM('Alabama Life:Villanova'!U20)</f>
        <v>0</v>
      </c>
      <c r="S20" s="9">
        <f>SUM('Alabama Life:Villanova'!V20)</f>
        <v>0</v>
      </c>
    </row>
    <row r="21" spans="1:19">
      <c r="A21" s="1" t="s">
        <v>36</v>
      </c>
      <c r="B21" s="6">
        <f>+'Pre-Liquidation Summary'!B21+'Open Summary'!B21+'Closed Summary'!B21+'Estate Closed Summary'!B21+'Released from Oversight Summary'!B21</f>
        <v>34576814.980586335</v>
      </c>
      <c r="C21" s="1">
        <f>+'Pre-Liquidation Summary'!C21+'Open Summary'!C21+'Closed Summary'!C21+'Estate Closed Summary'!C21+'Released from Oversight Summary'!C21</f>
        <v>49482605.29147236</v>
      </c>
      <c r="D21" s="1">
        <f>+'Pre-Liquidation Summary'!D21+'Open Summary'!D21+'Closed Summary'!D21+'Estate Closed Summary'!D21+'Released from Oversight Summary'!D21</f>
        <v>100893367.57853328</v>
      </c>
      <c r="E21" s="1">
        <f>+'Pre-Liquidation Summary'!E21+'Open Summary'!E21+'Closed Summary'!E21+'Estate Closed Summary'!E21+'Released from Oversight Summary'!E21</f>
        <v>40277.794760386045</v>
      </c>
      <c r="F21" s="1">
        <f>+'Pre-Liquidation Summary'!F21+'Open Summary'!F21+'Closed Summary'!F21+'Estate Closed Summary'!F21+'Released from Oversight Summary'!F21</f>
        <v>0</v>
      </c>
      <c r="G21" s="9">
        <f>SUM(IA_FINANCIAL)</f>
        <v>184993065.64535233</v>
      </c>
      <c r="I21" s="6">
        <f>SUM('Alabama Life:Villanova'!L21)</f>
        <v>37559122</v>
      </c>
      <c r="J21" s="1">
        <f>SUM('Alabama Life:Villanova'!M21)</f>
        <v>0</v>
      </c>
      <c r="L21" s="1">
        <f>SUM('Alabama Life:Villanova'!O21)</f>
        <v>42014908</v>
      </c>
      <c r="M21" s="1">
        <f>SUM('Alabama Life:Villanova'!P21)</f>
        <v>0</v>
      </c>
      <c r="O21" s="1">
        <f>SUM('Alabama Life:Villanova'!R21)</f>
        <v>92495360</v>
      </c>
      <c r="P21" s="1">
        <f>SUM('Alabama Life:Villanova'!S21)</f>
        <v>0</v>
      </c>
      <c r="R21" s="1">
        <f>SUM('Alabama Life:Villanova'!U21)</f>
        <v>1280000</v>
      </c>
      <c r="S21" s="9">
        <f>SUM('Alabama Life:Villanova'!V21)</f>
        <v>0</v>
      </c>
    </row>
    <row r="22" spans="1:19">
      <c r="A22" s="1" t="s">
        <v>38</v>
      </c>
      <c r="B22" s="6">
        <f>+'Pre-Liquidation Summary'!B22+'Open Summary'!B22+'Closed Summary'!B22+'Estate Closed Summary'!B22+'Released from Oversight Summary'!B22</f>
        <v>39412338.038113169</v>
      </c>
      <c r="C22" s="1">
        <f>+'Pre-Liquidation Summary'!C22+'Open Summary'!C22+'Closed Summary'!C22+'Estate Closed Summary'!C22+'Released from Oversight Summary'!C22</f>
        <v>39262374.254019268</v>
      </c>
      <c r="D22" s="1">
        <f>+'Pre-Liquidation Summary'!D22+'Open Summary'!D22+'Closed Summary'!D22+'Estate Closed Summary'!D22+'Released from Oversight Summary'!D22</f>
        <v>15484318.567580894</v>
      </c>
      <c r="E22" s="1">
        <f>+'Pre-Liquidation Summary'!E22+'Open Summary'!E22+'Closed Summary'!E22+'Estate Closed Summary'!E22+'Released from Oversight Summary'!E22</f>
        <v>0</v>
      </c>
      <c r="F22" s="1">
        <f>+'Pre-Liquidation Summary'!F22+'Open Summary'!F22+'Closed Summary'!F22+'Estate Closed Summary'!F22+'Released from Oversight Summary'!F22</f>
        <v>0</v>
      </c>
      <c r="G22" s="9">
        <f>SUM(KS_FINANCIAL)</f>
        <v>94159030.859713331</v>
      </c>
      <c r="I22" s="6">
        <f>SUM('Alabama Life:Villanova'!L22)</f>
        <v>41561000</v>
      </c>
      <c r="J22" s="1">
        <f>SUM('Alabama Life:Villanova'!M22)</f>
        <v>0</v>
      </c>
      <c r="L22" s="1">
        <f>SUM('Alabama Life:Villanova'!O22)</f>
        <v>19115000</v>
      </c>
      <c r="M22" s="1">
        <f>SUM('Alabama Life:Villanova'!P22)</f>
        <v>0</v>
      </c>
      <c r="O22" s="1">
        <f>SUM('Alabama Life:Villanova'!R22)</f>
        <v>11450000</v>
      </c>
      <c r="P22" s="1">
        <f>SUM('Alabama Life:Villanova'!S22)</f>
        <v>0</v>
      </c>
      <c r="R22" s="1">
        <f>SUM('Alabama Life:Villanova'!U22)</f>
        <v>0</v>
      </c>
      <c r="S22" s="9">
        <f>SUM('Alabama Life:Villanova'!V22)</f>
        <v>0</v>
      </c>
    </row>
    <row r="23" spans="1:19">
      <c r="A23" s="1" t="s">
        <v>40</v>
      </c>
      <c r="B23" s="6">
        <f>+'Pre-Liquidation Summary'!B23+'Open Summary'!B23+'Closed Summary'!B23+'Estate Closed Summary'!B23+'Released from Oversight Summary'!B23</f>
        <v>24905830.575913787</v>
      </c>
      <c r="C23" s="1">
        <f>+'Pre-Liquidation Summary'!C23+'Open Summary'!C23+'Closed Summary'!C23+'Estate Closed Summary'!C23+'Released from Oversight Summary'!C23</f>
        <v>52363818.045830816</v>
      </c>
      <c r="D23" s="1">
        <f>+'Pre-Liquidation Summary'!D23+'Open Summary'!D23+'Closed Summary'!D23+'Estate Closed Summary'!D23+'Released from Oversight Summary'!D23</f>
        <v>47962224.390305862</v>
      </c>
      <c r="E23" s="1">
        <f>+'Pre-Liquidation Summary'!E23+'Open Summary'!E23+'Closed Summary'!E23+'Estate Closed Summary'!E23+'Released from Oversight Summary'!E23</f>
        <v>0</v>
      </c>
      <c r="F23" s="1">
        <f>+'Pre-Liquidation Summary'!F23+'Open Summary'!F23+'Closed Summary'!F23+'Estate Closed Summary'!F23+'Released from Oversight Summary'!F23</f>
        <v>0</v>
      </c>
      <c r="G23" s="9">
        <f>SUM(KY_FINANCIAL)</f>
        <v>125231873.01205046</v>
      </c>
      <c r="I23" s="6">
        <f>SUM('Alabama Life:Villanova'!L23)</f>
        <v>49916219</v>
      </c>
      <c r="J23" s="1">
        <f>SUM('Alabama Life:Villanova'!M23)</f>
        <v>16734637.4</v>
      </c>
      <c r="L23" s="1">
        <f>SUM('Alabama Life:Villanova'!O23)</f>
        <v>30006630</v>
      </c>
      <c r="M23" s="1">
        <f>SUM('Alabama Life:Villanova'!P23)</f>
        <v>4349723.96</v>
      </c>
      <c r="O23" s="1">
        <f>SUM('Alabama Life:Villanova'!R23)</f>
        <v>47067681</v>
      </c>
      <c r="P23" s="1">
        <f>SUM('Alabama Life:Villanova'!S23)</f>
        <v>1053336.01</v>
      </c>
      <c r="R23" s="1">
        <f>SUM('Alabama Life:Villanova'!U23)</f>
        <v>0</v>
      </c>
      <c r="S23" s="9">
        <f>SUM('Alabama Life:Villanova'!V23)</f>
        <v>0</v>
      </c>
    </row>
    <row r="24" spans="1:19">
      <c r="A24" s="1" t="s">
        <v>42</v>
      </c>
      <c r="B24" s="6">
        <f>+'Pre-Liquidation Summary'!B24+'Open Summary'!B24+'Closed Summary'!B24+'Estate Closed Summary'!B24+'Released from Oversight Summary'!B24</f>
        <v>49976236.422145218</v>
      </c>
      <c r="C24" s="1">
        <f>+'Pre-Liquidation Summary'!C24+'Open Summary'!C24+'Closed Summary'!C24+'Estate Closed Summary'!C24+'Released from Oversight Summary'!C24</f>
        <v>19069404.427207984</v>
      </c>
      <c r="D24" s="1">
        <f>+'Pre-Liquidation Summary'!D24+'Open Summary'!D24+'Closed Summary'!D24+'Estate Closed Summary'!D24+'Released from Oversight Summary'!D24</f>
        <v>17858494.509569768</v>
      </c>
      <c r="E24" s="1">
        <f>+'Pre-Liquidation Summary'!E24+'Open Summary'!E24+'Closed Summary'!E24+'Estate Closed Summary'!E24+'Released from Oversight Summary'!E24</f>
        <v>0</v>
      </c>
      <c r="F24" s="1">
        <f>+'Pre-Liquidation Summary'!F24+'Open Summary'!F24+'Closed Summary'!F24+'Estate Closed Summary'!F24+'Released from Oversight Summary'!F24</f>
        <v>9481337.9656316638</v>
      </c>
      <c r="G24" s="9">
        <f>SUM(LA_FINANCIAL)</f>
        <v>96385473.324554622</v>
      </c>
      <c r="I24" s="6">
        <f>SUM('Alabama Life:Villanova'!L24)</f>
        <v>11914508</v>
      </c>
      <c r="J24" s="1">
        <f>SUM('Alabama Life:Villanova'!M24)</f>
        <v>0</v>
      </c>
      <c r="L24" s="1">
        <f>SUM('Alabama Life:Villanova'!O24)</f>
        <v>14413707</v>
      </c>
      <c r="M24" s="1">
        <f>SUM('Alabama Life:Villanova'!P24)</f>
        <v>0</v>
      </c>
      <c r="O24" s="1">
        <f>SUM('Alabama Life:Villanova'!R24)</f>
        <v>23187832</v>
      </c>
      <c r="P24" s="1">
        <f>SUM('Alabama Life:Villanova'!S24)</f>
        <v>0</v>
      </c>
      <c r="R24" s="1">
        <f>SUM('Alabama Life:Villanova'!U24)</f>
        <v>0</v>
      </c>
      <c r="S24" s="9">
        <f>SUM('Alabama Life:Villanova'!V24)</f>
        <v>0</v>
      </c>
    </row>
    <row r="25" spans="1:19">
      <c r="A25" s="1" t="s">
        <v>44</v>
      </c>
      <c r="B25" s="6">
        <f>+'Pre-Liquidation Summary'!B25+'Open Summary'!B25+'Closed Summary'!B25+'Estate Closed Summary'!B25+'Released from Oversight Summary'!B25</f>
        <v>992514.05782237719</v>
      </c>
      <c r="C25" s="1">
        <f>+'Pre-Liquidation Summary'!C25+'Open Summary'!C25+'Closed Summary'!C25+'Estate Closed Summary'!C25+'Released from Oversight Summary'!C25</f>
        <v>5919755.0398808531</v>
      </c>
      <c r="D25" s="1">
        <f>+'Pre-Liquidation Summary'!D25+'Open Summary'!D25+'Closed Summary'!D25+'Estate Closed Summary'!D25+'Released from Oversight Summary'!D25</f>
        <v>1095089.5319458367</v>
      </c>
      <c r="E25" s="1">
        <f>+'Pre-Liquidation Summary'!E25+'Open Summary'!E25+'Closed Summary'!E25+'Estate Closed Summary'!E25+'Released from Oversight Summary'!E25</f>
        <v>63023.182327443486</v>
      </c>
      <c r="F25" s="1">
        <f>+'Pre-Liquidation Summary'!F25+'Open Summary'!F25+'Closed Summary'!F25+'Estate Closed Summary'!F25+'Released from Oversight Summary'!F25</f>
        <v>0</v>
      </c>
      <c r="G25" s="9">
        <f>SUM(ME_FINANCIAL)</f>
        <v>8070381.811976511</v>
      </c>
      <c r="I25" s="6">
        <f>SUM('Alabama Life:Villanova'!L25)</f>
        <v>2172639</v>
      </c>
      <c r="J25" s="1">
        <f>SUM('Alabama Life:Villanova'!M25)</f>
        <v>0</v>
      </c>
      <c r="L25" s="1">
        <f>SUM('Alabama Life:Villanova'!O25)</f>
        <v>2559361</v>
      </c>
      <c r="M25" s="1">
        <f>SUM('Alabama Life:Villanova'!P25)</f>
        <v>906</v>
      </c>
      <c r="O25" s="1">
        <f>SUM('Alabama Life:Villanova'!R25)</f>
        <v>1033496</v>
      </c>
      <c r="P25" s="1">
        <f>SUM('Alabama Life:Villanova'!S25)</f>
        <v>0</v>
      </c>
      <c r="R25" s="1">
        <f>SUM('Alabama Life:Villanova'!U25)</f>
        <v>0</v>
      </c>
      <c r="S25" s="9">
        <f>SUM('Alabama Life:Villanova'!V25)</f>
        <v>0</v>
      </c>
    </row>
    <row r="26" spans="1:19">
      <c r="A26" s="1" t="s">
        <v>45</v>
      </c>
      <c r="B26" s="6">
        <f>+'Pre-Liquidation Summary'!B26+'Open Summary'!B26+'Closed Summary'!B26+'Estate Closed Summary'!B26+'Released from Oversight Summary'!B26</f>
        <v>50473836.47818312</v>
      </c>
      <c r="C26" s="1">
        <f>+'Pre-Liquidation Summary'!C26+'Open Summary'!C26+'Closed Summary'!C26+'Estate Closed Summary'!C26+'Released from Oversight Summary'!C26</f>
        <v>54056313.775528476</v>
      </c>
      <c r="D26" s="1">
        <f>+'Pre-Liquidation Summary'!D26+'Open Summary'!D26+'Closed Summary'!D26+'Estate Closed Summary'!D26+'Released from Oversight Summary'!D26</f>
        <v>35653569.88035129</v>
      </c>
      <c r="E26" s="1">
        <f>+'Pre-Liquidation Summary'!E26+'Open Summary'!E26+'Closed Summary'!E26+'Estate Closed Summary'!E26+'Released from Oversight Summary'!E26</f>
        <v>5662486.4552166881</v>
      </c>
      <c r="F26" s="1">
        <f>+'Pre-Liquidation Summary'!F26+'Open Summary'!F26+'Closed Summary'!F26+'Estate Closed Summary'!F26+'Released from Oversight Summary'!F26</f>
        <v>0</v>
      </c>
      <c r="G26" s="9">
        <f>SUM(MD_FINANCIAL)</f>
        <v>145846206.58927956</v>
      </c>
      <c r="I26" s="6">
        <f>SUM('Alabama Life:Villanova'!L26)</f>
        <v>40137287</v>
      </c>
      <c r="J26" s="1">
        <f>SUM('Alabama Life:Villanova'!M26)</f>
        <v>0</v>
      </c>
      <c r="L26" s="1">
        <f>SUM('Alabama Life:Villanova'!O26)</f>
        <v>42062121</v>
      </c>
      <c r="M26" s="1">
        <f>SUM('Alabama Life:Villanova'!P26)</f>
        <v>0</v>
      </c>
      <c r="O26" s="1">
        <f>SUM('Alabama Life:Villanova'!R26)</f>
        <v>32700000</v>
      </c>
      <c r="P26" s="1">
        <f>SUM('Alabama Life:Villanova'!S26)</f>
        <v>0</v>
      </c>
      <c r="R26" s="1">
        <f>SUM('Alabama Life:Villanova'!U26)</f>
        <v>0</v>
      </c>
      <c r="S26" s="9">
        <f>SUM('Alabama Life:Villanova'!V26)</f>
        <v>0</v>
      </c>
    </row>
    <row r="27" spans="1:19">
      <c r="A27" s="1" t="s">
        <v>47</v>
      </c>
      <c r="B27" s="6">
        <f>+'Pre-Liquidation Summary'!B27+'Open Summary'!B27+'Closed Summary'!B27+'Estate Closed Summary'!B27+'Released from Oversight Summary'!B27</f>
        <v>46636026.798766255</v>
      </c>
      <c r="C27" s="1">
        <f>+'Pre-Liquidation Summary'!C27+'Open Summary'!C27+'Closed Summary'!C27+'Estate Closed Summary'!C27+'Released from Oversight Summary'!C27</f>
        <v>159422534.28216249</v>
      </c>
      <c r="D27" s="1">
        <f>+'Pre-Liquidation Summary'!D27+'Open Summary'!D27+'Closed Summary'!D27+'Estate Closed Summary'!D27+'Released from Oversight Summary'!D27</f>
        <v>5302832.3618537318</v>
      </c>
      <c r="E27" s="1">
        <f>+'Pre-Liquidation Summary'!E27+'Open Summary'!E27+'Closed Summary'!E27+'Estate Closed Summary'!E27+'Released from Oversight Summary'!E27</f>
        <v>0</v>
      </c>
      <c r="F27" s="1">
        <f>+'Pre-Liquidation Summary'!F27+'Open Summary'!F27+'Closed Summary'!F27+'Estate Closed Summary'!F27+'Released from Oversight Summary'!F27</f>
        <v>0</v>
      </c>
      <c r="G27" s="9">
        <f>SUM(MA_FINANCIAL)</f>
        <v>211361393.44278246</v>
      </c>
      <c r="I27" s="6">
        <f>SUM('Alabama Life:Villanova'!L27)</f>
        <v>47115000</v>
      </c>
      <c r="J27" s="1">
        <f>SUM('Alabama Life:Villanova'!M27)</f>
        <v>2125000</v>
      </c>
      <c r="L27" s="1">
        <f>SUM('Alabama Life:Villanova'!O27)</f>
        <v>40191000</v>
      </c>
      <c r="M27" s="1">
        <f>SUM('Alabama Life:Villanova'!P27)</f>
        <v>700000</v>
      </c>
      <c r="O27" s="1">
        <f>SUM('Alabama Life:Villanova'!R27)</f>
        <v>7554000</v>
      </c>
      <c r="P27" s="1">
        <f>SUM('Alabama Life:Villanova'!S27)</f>
        <v>1475000</v>
      </c>
      <c r="R27" s="1">
        <f>SUM('Alabama Life:Villanova'!U27)</f>
        <v>0</v>
      </c>
      <c r="S27" s="9">
        <f>SUM('Alabama Life:Villanova'!V27)</f>
        <v>0</v>
      </c>
    </row>
    <row r="28" spans="1:19">
      <c r="A28" s="1" t="s">
        <v>49</v>
      </c>
      <c r="B28" s="6">
        <f>+'Pre-Liquidation Summary'!B28+'Open Summary'!B28+'Closed Summary'!B28+'Estate Closed Summary'!B28+'Released from Oversight Summary'!B28</f>
        <v>20187153.044214334</v>
      </c>
      <c r="C28" s="1">
        <f>+'Pre-Liquidation Summary'!C28+'Open Summary'!C28+'Closed Summary'!C28+'Estate Closed Summary'!C28+'Released from Oversight Summary'!C28</f>
        <v>135204533.39346647</v>
      </c>
      <c r="D28" s="1">
        <f>+'Pre-Liquidation Summary'!D28+'Open Summary'!D28+'Closed Summary'!D28+'Estate Closed Summary'!D28+'Released from Oversight Summary'!D28</f>
        <v>40622036.005970873</v>
      </c>
      <c r="E28" s="1">
        <f>+'Pre-Liquidation Summary'!E28+'Open Summary'!E28+'Closed Summary'!E28+'Estate Closed Summary'!E28+'Released from Oversight Summary'!E28</f>
        <v>3315875.3324751477</v>
      </c>
      <c r="F28" s="1">
        <f>+'Pre-Liquidation Summary'!F28+'Open Summary'!F28+'Closed Summary'!F28+'Estate Closed Summary'!F28+'Released from Oversight Summary'!F28</f>
        <v>0</v>
      </c>
      <c r="G28" s="9">
        <f>SUM(MI_FINANCIAL)</f>
        <v>199329597.77612683</v>
      </c>
      <c r="I28" s="6">
        <f>SUM('Alabama Life:Villanova'!L28)</f>
        <v>23920700</v>
      </c>
      <c r="J28" s="1">
        <f>SUM('Alabama Life:Villanova'!M28)</f>
        <v>13088981</v>
      </c>
      <c r="L28" s="1">
        <f>SUM('Alabama Life:Villanova'!O28)</f>
        <v>79297501</v>
      </c>
      <c r="M28" s="1">
        <f>SUM('Alabama Life:Villanova'!P28)</f>
        <v>10100034</v>
      </c>
      <c r="O28" s="1">
        <f>SUM('Alabama Life:Villanova'!R28)</f>
        <v>36960311</v>
      </c>
      <c r="P28" s="1">
        <f>SUM('Alabama Life:Villanova'!S28)</f>
        <v>4998893</v>
      </c>
      <c r="R28" s="1">
        <f>SUM('Alabama Life:Villanova'!U28)</f>
        <v>34158333</v>
      </c>
      <c r="S28" s="9">
        <f>SUM('Alabama Life:Villanova'!V28)</f>
        <v>29297170</v>
      </c>
    </row>
    <row r="29" spans="1:19">
      <c r="A29" s="1" t="s">
        <v>50</v>
      </c>
      <c r="B29" s="6">
        <f>+'Pre-Liquidation Summary'!B29+'Open Summary'!B29+'Closed Summary'!B29+'Estate Closed Summary'!B29+'Released from Oversight Summary'!B29</f>
        <v>18063772.251510065</v>
      </c>
      <c r="C29" s="1">
        <f>+'Pre-Liquidation Summary'!C29+'Open Summary'!C29+'Closed Summary'!C29+'Estate Closed Summary'!C29+'Released from Oversight Summary'!C29</f>
        <v>77285187.180837721</v>
      </c>
      <c r="D29" s="1">
        <f>+'Pre-Liquidation Summary'!D29+'Open Summary'!D29+'Closed Summary'!D29+'Estate Closed Summary'!D29+'Released from Oversight Summary'!D29</f>
        <v>4968886.7258804878</v>
      </c>
      <c r="E29" s="1">
        <f>+'Pre-Liquidation Summary'!E29+'Open Summary'!E29+'Closed Summary'!E29+'Estate Closed Summary'!E29+'Released from Oversight Summary'!E29</f>
        <v>2406847.7137497566</v>
      </c>
      <c r="F29" s="1">
        <f>+'Pre-Liquidation Summary'!F29+'Open Summary'!F29+'Closed Summary'!F29+'Estate Closed Summary'!F29+'Released from Oversight Summary'!F29</f>
        <v>0</v>
      </c>
      <c r="G29" s="9">
        <f>SUM(MN_FINANCIAL)</f>
        <v>102724693.87197803</v>
      </c>
      <c r="I29" s="6">
        <f>SUM('Alabama Life:Villanova'!L29)</f>
        <v>24063000</v>
      </c>
      <c r="J29" s="1">
        <f>SUM('Alabama Life:Villanova'!M29)</f>
        <v>2144001</v>
      </c>
      <c r="L29" s="1">
        <f>SUM('Alabama Life:Villanova'!O29)</f>
        <v>120079500</v>
      </c>
      <c r="M29" s="1">
        <f>SUM('Alabama Life:Villanova'!P29)</f>
        <v>24707255</v>
      </c>
      <c r="O29" s="1">
        <f>SUM('Alabama Life:Villanova'!R29)</f>
        <v>4968500</v>
      </c>
      <c r="P29" s="1">
        <f>SUM('Alabama Life:Villanova'!S29)</f>
        <v>0</v>
      </c>
      <c r="R29" s="1">
        <f>SUM('Alabama Life:Villanova'!U29)</f>
        <v>5700000</v>
      </c>
      <c r="S29" s="9">
        <f>SUM('Alabama Life:Villanova'!V29)</f>
        <v>0</v>
      </c>
    </row>
    <row r="30" spans="1:19">
      <c r="A30" s="1" t="s">
        <v>51</v>
      </c>
      <c r="B30" s="6">
        <f>+'Pre-Liquidation Summary'!B30+'Open Summary'!B30+'Closed Summary'!B30+'Estate Closed Summary'!B30+'Released from Oversight Summary'!B30</f>
        <v>65611376.553274855</v>
      </c>
      <c r="C30" s="1">
        <f>+'Pre-Liquidation Summary'!C30+'Open Summary'!C30+'Closed Summary'!C30+'Estate Closed Summary'!C30+'Released from Oversight Summary'!C30</f>
        <v>22848015.686673284</v>
      </c>
      <c r="D30" s="1">
        <f>+'Pre-Liquidation Summary'!D30+'Open Summary'!D30+'Closed Summary'!D30+'Estate Closed Summary'!D30+'Released from Oversight Summary'!D30</f>
        <v>31575542.214432113</v>
      </c>
      <c r="E30" s="1">
        <f>+'Pre-Liquidation Summary'!E30+'Open Summary'!E30+'Closed Summary'!E30+'Estate Closed Summary'!E30+'Released from Oversight Summary'!E30</f>
        <v>94423.009801533408</v>
      </c>
      <c r="F30" s="1">
        <f>+'Pre-Liquidation Summary'!F30+'Open Summary'!F30+'Closed Summary'!F30+'Estate Closed Summary'!F30+'Released from Oversight Summary'!F30</f>
        <v>0</v>
      </c>
      <c r="G30" s="9">
        <f>SUM(MS_FINANCIAL)</f>
        <v>120129357.46418178</v>
      </c>
      <c r="I30" s="6">
        <f>SUM('Alabama Life:Villanova'!L30)</f>
        <v>50334095</v>
      </c>
      <c r="J30" s="1">
        <f>SUM('Alabama Life:Villanova'!M30)</f>
        <v>14626</v>
      </c>
      <c r="L30" s="1">
        <f>SUM('Alabama Life:Villanova'!O30)</f>
        <v>20172670</v>
      </c>
      <c r="M30" s="1">
        <f>SUM('Alabama Life:Villanova'!P30)</f>
        <v>0</v>
      </c>
      <c r="O30" s="1">
        <f>SUM('Alabama Life:Villanova'!R30)</f>
        <v>26034678</v>
      </c>
      <c r="P30" s="1">
        <f>SUM('Alabama Life:Villanova'!S30)</f>
        <v>30041</v>
      </c>
      <c r="R30" s="1">
        <f>SUM('Alabama Life:Villanova'!U30)</f>
        <v>6850139</v>
      </c>
      <c r="S30" s="9">
        <f>SUM('Alabama Life:Villanova'!V30)</f>
        <v>0</v>
      </c>
    </row>
    <row r="31" spans="1:19">
      <c r="A31" s="1" t="s">
        <v>52</v>
      </c>
      <c r="B31" s="6">
        <f>+'Pre-Liquidation Summary'!B31+'Open Summary'!B31+'Closed Summary'!B31+'Estate Closed Summary'!B31+'Released from Oversight Summary'!B31</f>
        <v>154156175.7398026</v>
      </c>
      <c r="C31" s="1">
        <f>+'Pre-Liquidation Summary'!C31+'Open Summary'!C31+'Closed Summary'!C31+'Estate Closed Summary'!C31+'Released from Oversight Summary'!C31</f>
        <v>55129904.370250612</v>
      </c>
      <c r="D31" s="1">
        <f>+'Pre-Liquidation Summary'!D31+'Open Summary'!D31+'Closed Summary'!D31+'Estate Closed Summary'!D31+'Released from Oversight Summary'!D31</f>
        <v>27164898.530166384</v>
      </c>
      <c r="E31" s="1">
        <f>+'Pre-Liquidation Summary'!E31+'Open Summary'!E31+'Closed Summary'!E31+'Estate Closed Summary'!E31+'Released from Oversight Summary'!E31</f>
        <v>27443.965790575112</v>
      </c>
      <c r="F31" s="1">
        <f>+'Pre-Liquidation Summary'!F31+'Open Summary'!F31+'Closed Summary'!F31+'Estate Closed Summary'!F31+'Released from Oversight Summary'!F31</f>
        <v>0</v>
      </c>
      <c r="G31" s="9">
        <f>SUM(MO_FINANCIAL)</f>
        <v>236478422.60601017</v>
      </c>
      <c r="I31" s="6">
        <f>SUM('Alabama Life:Villanova'!L31)</f>
        <v>166523552</v>
      </c>
      <c r="J31" s="1">
        <f>SUM('Alabama Life:Villanova'!M31)</f>
        <v>0</v>
      </c>
      <c r="L31" s="1">
        <f>SUM('Alabama Life:Villanova'!O31)</f>
        <v>37285110</v>
      </c>
      <c r="M31" s="1">
        <f>SUM('Alabama Life:Villanova'!P31)</f>
        <v>0</v>
      </c>
      <c r="O31" s="1">
        <f>SUM('Alabama Life:Villanova'!R31)</f>
        <v>26932629</v>
      </c>
      <c r="P31" s="1">
        <f>SUM('Alabama Life:Villanova'!S31)</f>
        <v>0</v>
      </c>
      <c r="R31" s="1">
        <f>SUM('Alabama Life:Villanova'!U31)</f>
        <v>0</v>
      </c>
      <c r="S31" s="9">
        <f>SUM('Alabama Life:Villanova'!V31)</f>
        <v>0</v>
      </c>
    </row>
    <row r="32" spans="1:19">
      <c r="A32" s="1" t="s">
        <v>53</v>
      </c>
      <c r="B32" s="6">
        <f>+'Pre-Liquidation Summary'!B32+'Open Summary'!B32+'Closed Summary'!B32+'Estate Closed Summary'!B32+'Released from Oversight Summary'!B32</f>
        <v>4761331.7434575865</v>
      </c>
      <c r="C32" s="1">
        <f>+'Pre-Liquidation Summary'!C32+'Open Summary'!C32+'Closed Summary'!C32+'Estate Closed Summary'!C32+'Released from Oversight Summary'!C32</f>
        <v>7802772.2549614869</v>
      </c>
      <c r="D32" s="1">
        <f>+'Pre-Liquidation Summary'!D32+'Open Summary'!D32+'Closed Summary'!D32+'Estate Closed Summary'!D32+'Released from Oversight Summary'!D32</f>
        <v>6514616.7626350205</v>
      </c>
      <c r="E32" s="1">
        <f>+'Pre-Liquidation Summary'!E32+'Open Summary'!E32+'Closed Summary'!E32+'Estate Closed Summary'!E32+'Released from Oversight Summary'!E32</f>
        <v>0</v>
      </c>
      <c r="F32" s="1">
        <f>+'Pre-Liquidation Summary'!F32+'Open Summary'!F32+'Closed Summary'!F32+'Estate Closed Summary'!F32+'Released from Oversight Summary'!F32</f>
        <v>0</v>
      </c>
      <c r="G32" s="9">
        <f>SUM(MT_FINANCIAL)</f>
        <v>19078720.761054091</v>
      </c>
      <c r="I32" s="6">
        <f>SUM('Alabama Life:Villanova'!L32)</f>
        <v>8060287</v>
      </c>
      <c r="J32" s="1">
        <f>SUM('Alabama Life:Villanova'!M32)</f>
        <v>0</v>
      </c>
      <c r="L32" s="1">
        <f>SUM('Alabama Life:Villanova'!O32)</f>
        <v>7723955</v>
      </c>
      <c r="M32" s="1">
        <f>SUM('Alabama Life:Villanova'!P32)</f>
        <v>0</v>
      </c>
      <c r="O32" s="1">
        <f>SUM('Alabama Life:Villanova'!R32)</f>
        <v>5457700</v>
      </c>
      <c r="P32" s="1">
        <f>SUM('Alabama Life:Villanova'!S32)</f>
        <v>0</v>
      </c>
      <c r="R32" s="1">
        <f>SUM('Alabama Life:Villanova'!U32)</f>
        <v>0</v>
      </c>
      <c r="S32" s="9">
        <f>SUM('Alabama Life:Villanova'!V32)</f>
        <v>0</v>
      </c>
    </row>
    <row r="33" spans="1:19">
      <c r="A33" s="1" t="s">
        <v>54</v>
      </c>
      <c r="B33" s="6">
        <f>+'Pre-Liquidation Summary'!B33+'Open Summary'!B33+'Closed Summary'!B33+'Estate Closed Summary'!B33+'Released from Oversight Summary'!B33</f>
        <v>15760927.014957391</v>
      </c>
      <c r="C33" s="1">
        <f>+'Pre-Liquidation Summary'!C33+'Open Summary'!C33+'Closed Summary'!C33+'Estate Closed Summary'!C33+'Released from Oversight Summary'!C33</f>
        <v>23063539.5679974</v>
      </c>
      <c r="D33" s="1">
        <f>+'Pre-Liquidation Summary'!D33+'Open Summary'!D33+'Closed Summary'!D33+'Estate Closed Summary'!D33+'Released from Oversight Summary'!D33</f>
        <v>48192448.697327241</v>
      </c>
      <c r="E33" s="1">
        <f>+'Pre-Liquidation Summary'!E33+'Open Summary'!E33+'Closed Summary'!E33+'Estate Closed Summary'!E33+'Released from Oversight Summary'!E33</f>
        <v>0</v>
      </c>
      <c r="F33" s="1">
        <f>+'Pre-Liquidation Summary'!F33+'Open Summary'!F33+'Closed Summary'!F33+'Estate Closed Summary'!F33+'Released from Oversight Summary'!F33</f>
        <v>0</v>
      </c>
      <c r="G33" s="9">
        <f>SUM(NE_FINANCIAL)</f>
        <v>87016915.280282035</v>
      </c>
      <c r="I33" s="6">
        <f>SUM('Alabama Life:Villanova'!L33)</f>
        <v>11938351</v>
      </c>
      <c r="J33" s="1">
        <f>SUM('Alabama Life:Villanova'!M33)</f>
        <v>532785</v>
      </c>
      <c r="L33" s="1">
        <f>SUM('Alabama Life:Villanova'!O33)</f>
        <v>17050339</v>
      </c>
      <c r="M33" s="1">
        <f>SUM('Alabama Life:Villanova'!P33)</f>
        <v>293315</v>
      </c>
      <c r="O33" s="1">
        <f>SUM('Alabama Life:Villanova'!R33)</f>
        <v>65724326</v>
      </c>
      <c r="P33" s="1">
        <f>SUM('Alabama Life:Villanova'!S33)</f>
        <v>5700000</v>
      </c>
      <c r="R33" s="1">
        <f>SUM('Alabama Life:Villanova'!U33)</f>
        <v>0</v>
      </c>
      <c r="S33" s="9">
        <f>SUM('Alabama Life:Villanova'!V33)</f>
        <v>0</v>
      </c>
    </row>
    <row r="34" spans="1:19">
      <c r="A34" s="1" t="s">
        <v>55</v>
      </c>
      <c r="B34" s="6">
        <f>+'Pre-Liquidation Summary'!B34+'Open Summary'!B34+'Closed Summary'!B34+'Estate Closed Summary'!B34+'Released from Oversight Summary'!B34</f>
        <v>14138099.282695772</v>
      </c>
      <c r="C34" s="1">
        <f>+'Pre-Liquidation Summary'!C34+'Open Summary'!C34+'Closed Summary'!C34+'Estate Closed Summary'!C34+'Released from Oversight Summary'!C34</f>
        <v>13359282.398067325</v>
      </c>
      <c r="D34" s="1">
        <f>+'Pre-Liquidation Summary'!D34+'Open Summary'!D34+'Closed Summary'!D34+'Estate Closed Summary'!D34+'Released from Oversight Summary'!D34</f>
        <v>21834790.175207917</v>
      </c>
      <c r="E34" s="1">
        <f>+'Pre-Liquidation Summary'!E34+'Open Summary'!E34+'Closed Summary'!E34+'Estate Closed Summary'!E34+'Released from Oversight Summary'!E34</f>
        <v>0</v>
      </c>
      <c r="F34" s="1">
        <f>+'Pre-Liquidation Summary'!F34+'Open Summary'!F34+'Closed Summary'!F34+'Estate Closed Summary'!F34+'Released from Oversight Summary'!F34</f>
        <v>0</v>
      </c>
      <c r="G34" s="9">
        <f>SUM(NV_FINANCIAL)</f>
        <v>49332171.855971009</v>
      </c>
      <c r="I34" s="6">
        <f>SUM('Alabama Life:Villanova'!L34)</f>
        <v>12262827</v>
      </c>
      <c r="J34" s="1">
        <f>SUM('Alabama Life:Villanova'!M34)</f>
        <v>337000</v>
      </c>
      <c r="L34" s="1">
        <f>SUM('Alabama Life:Villanova'!O34)</f>
        <v>8197685</v>
      </c>
      <c r="M34" s="1">
        <f>SUM('Alabama Life:Villanova'!P34)</f>
        <v>69630</v>
      </c>
      <c r="O34" s="1">
        <f>SUM('Alabama Life:Villanova'!R34)</f>
        <v>27839600</v>
      </c>
      <c r="P34" s="1">
        <f>SUM('Alabama Life:Villanova'!S34)</f>
        <v>178000</v>
      </c>
      <c r="R34" s="1">
        <f>SUM('Alabama Life:Villanova'!U34)</f>
        <v>0</v>
      </c>
      <c r="S34" s="9">
        <f>SUM('Alabama Life:Villanova'!V34)</f>
        <v>0</v>
      </c>
    </row>
    <row r="35" spans="1:19">
      <c r="A35" s="1" t="s">
        <v>56</v>
      </c>
      <c r="B35" s="6">
        <f>+'Pre-Liquidation Summary'!B35+'Open Summary'!B35+'Closed Summary'!B35+'Estate Closed Summary'!B35+'Released from Oversight Summary'!B35</f>
        <v>1024927.3401210097</v>
      </c>
      <c r="C35" s="1">
        <f>+'Pre-Liquidation Summary'!C35+'Open Summary'!C35+'Closed Summary'!C35+'Estate Closed Summary'!C35+'Released from Oversight Summary'!C35</f>
        <v>31237091.103357282</v>
      </c>
      <c r="D35" s="1">
        <f>+'Pre-Liquidation Summary'!D35+'Open Summary'!D35+'Closed Summary'!D35+'Estate Closed Summary'!D35+'Released from Oversight Summary'!D35</f>
        <v>8227318.5945724975</v>
      </c>
      <c r="E35" s="1">
        <f>+'Pre-Liquidation Summary'!E35+'Open Summary'!E35+'Closed Summary'!E35+'Estate Closed Summary'!E35+'Released from Oversight Summary'!E35</f>
        <v>607576.32708864158</v>
      </c>
      <c r="F35" s="1">
        <f>+'Pre-Liquidation Summary'!F35+'Open Summary'!F35+'Closed Summary'!F35+'Estate Closed Summary'!F35+'Released from Oversight Summary'!F35</f>
        <v>0</v>
      </c>
      <c r="G35" s="9">
        <f>SUM(NH_FINANCIAL)</f>
        <v>41096913.365139425</v>
      </c>
      <c r="I35" s="6">
        <f>SUM('Alabama Life:Villanova'!L35)</f>
        <v>2023542</v>
      </c>
      <c r="J35" s="1">
        <f>SUM('Alabama Life:Villanova'!M35)</f>
        <v>563123</v>
      </c>
      <c r="L35" s="1">
        <f>SUM('Alabama Life:Villanova'!O35)</f>
        <v>3781993</v>
      </c>
      <c r="M35" s="1">
        <f>SUM('Alabama Life:Villanova'!P35)</f>
        <v>996376</v>
      </c>
      <c r="O35" s="1">
        <f>SUM('Alabama Life:Villanova'!R35)</f>
        <v>6586065</v>
      </c>
      <c r="P35" s="1">
        <f>SUM('Alabama Life:Villanova'!S35)</f>
        <v>0</v>
      </c>
      <c r="R35" s="1">
        <f>SUM('Alabama Life:Villanova'!U35)</f>
        <v>0</v>
      </c>
      <c r="S35" s="9">
        <f>SUM('Alabama Life:Villanova'!V35)</f>
        <v>0</v>
      </c>
    </row>
    <row r="36" spans="1:19">
      <c r="A36" s="1" t="s">
        <v>57</v>
      </c>
      <c r="B36" s="6">
        <f>+'Pre-Liquidation Summary'!B36+'Open Summary'!B36+'Closed Summary'!B36+'Estate Closed Summary'!B36+'Released from Oversight Summary'!B36</f>
        <v>48078553.064651459</v>
      </c>
      <c r="C36" s="1">
        <f>+'Pre-Liquidation Summary'!C36+'Open Summary'!C36+'Closed Summary'!C36+'Estate Closed Summary'!C36+'Released from Oversight Summary'!C36</f>
        <v>133190272.1726764</v>
      </c>
      <c r="D36" s="1">
        <f>+'Pre-Liquidation Summary'!D36+'Open Summary'!D36+'Closed Summary'!D36+'Estate Closed Summary'!D36+'Released from Oversight Summary'!D36</f>
        <v>191646547.59833881</v>
      </c>
      <c r="E36" s="1">
        <f>+'Pre-Liquidation Summary'!E36+'Open Summary'!E36+'Closed Summary'!E36+'Estate Closed Summary'!E36+'Released from Oversight Summary'!E36</f>
        <v>4590836.7756620701</v>
      </c>
      <c r="F36" s="1">
        <f>+'Pre-Liquidation Summary'!F36+'Open Summary'!F36+'Closed Summary'!F36+'Estate Closed Summary'!F36+'Released from Oversight Summary'!F36</f>
        <v>0</v>
      </c>
      <c r="G36" s="9">
        <f>SUM(NJ_FINANCIAL)</f>
        <v>377506209.61132872</v>
      </c>
      <c r="I36" s="6">
        <f>SUM('Alabama Life:Villanova'!L36)</f>
        <v>45070487</v>
      </c>
      <c r="J36" s="1">
        <f>SUM('Alabama Life:Villanova'!M36)</f>
        <v>7892387</v>
      </c>
      <c r="L36" s="1">
        <f>SUM('Alabama Life:Villanova'!O36)</f>
        <v>120329985</v>
      </c>
      <c r="M36" s="1">
        <f>SUM('Alabama Life:Villanova'!P36)</f>
        <v>20136428</v>
      </c>
      <c r="O36" s="1">
        <f>SUM('Alabama Life:Villanova'!R36)</f>
        <v>153874000</v>
      </c>
      <c r="P36" s="1">
        <f>SUM('Alabama Life:Villanova'!S36)</f>
        <v>26750944</v>
      </c>
      <c r="R36" s="1">
        <f>SUM('Alabama Life:Villanova'!U36)</f>
        <v>23104352</v>
      </c>
      <c r="S36" s="9">
        <f>SUM('Alabama Life:Villanova'!V36)</f>
        <v>11865605</v>
      </c>
    </row>
    <row r="37" spans="1:19">
      <c r="A37" s="1" t="s">
        <v>58</v>
      </c>
      <c r="B37" s="6">
        <f>+'Pre-Liquidation Summary'!B37+'Open Summary'!B37+'Closed Summary'!B37+'Estate Closed Summary'!B37+'Released from Oversight Summary'!B37</f>
        <v>7151277.2558421474</v>
      </c>
      <c r="C37" s="1">
        <f>+'Pre-Liquidation Summary'!C37+'Open Summary'!C37+'Closed Summary'!C37+'Estate Closed Summary'!C37+'Released from Oversight Summary'!C37</f>
        <v>12691121.25587675</v>
      </c>
      <c r="D37" s="1">
        <f>+'Pre-Liquidation Summary'!D37+'Open Summary'!D37+'Closed Summary'!D37+'Estate Closed Summary'!D37+'Released from Oversight Summary'!D37</f>
        <v>10189870.557986494</v>
      </c>
      <c r="E37" s="1">
        <f>+'Pre-Liquidation Summary'!E37+'Open Summary'!E37+'Closed Summary'!E37+'Estate Closed Summary'!E37+'Released from Oversight Summary'!E37</f>
        <v>0</v>
      </c>
      <c r="F37" s="1">
        <f>+'Pre-Liquidation Summary'!F37+'Open Summary'!F37+'Closed Summary'!F37+'Estate Closed Summary'!F37+'Released from Oversight Summary'!F37</f>
        <v>0</v>
      </c>
      <c r="G37" s="9">
        <f>SUM(NM_FINANCIAL)</f>
        <v>30032269.069705393</v>
      </c>
      <c r="I37" s="6">
        <f>SUM('Alabama Life:Villanova'!L37)</f>
        <v>4924513</v>
      </c>
      <c r="J37" s="1">
        <f>SUM('Alabama Life:Villanova'!M37)</f>
        <v>120000</v>
      </c>
      <c r="L37" s="1">
        <f>SUM('Alabama Life:Villanova'!O37)</f>
        <v>8030525</v>
      </c>
      <c r="M37" s="1">
        <f>SUM('Alabama Life:Villanova'!P37)</f>
        <v>0</v>
      </c>
      <c r="O37" s="1">
        <f>SUM('Alabama Life:Villanova'!R37)</f>
        <v>9198590</v>
      </c>
      <c r="P37" s="1">
        <f>SUM('Alabama Life:Villanova'!S37)</f>
        <v>9982</v>
      </c>
      <c r="R37" s="1">
        <f>SUM('Alabama Life:Villanova'!U37)</f>
        <v>0</v>
      </c>
      <c r="S37" s="9">
        <f>SUM('Alabama Life:Villanova'!V37)</f>
        <v>0</v>
      </c>
    </row>
    <row r="38" spans="1:19">
      <c r="A38" s="1" t="s">
        <v>59</v>
      </c>
      <c r="B38" s="6">
        <f>+'Pre-Liquidation Summary'!B38+'Open Summary'!B38+'Closed Summary'!B38+'Estate Closed Summary'!B38+'Released from Oversight Summary'!B38</f>
        <v>56038.214969297696</v>
      </c>
      <c r="C38" s="1">
        <f>+'Pre-Liquidation Summary'!C38+'Open Summary'!C38+'Closed Summary'!C38+'Estate Closed Summary'!C38+'Released from Oversight Summary'!C38</f>
        <v>537729715.54211962</v>
      </c>
      <c r="D38" s="1">
        <f>+'Pre-Liquidation Summary'!D38+'Open Summary'!D38+'Closed Summary'!D38+'Estate Closed Summary'!D38+'Released from Oversight Summary'!D38</f>
        <v>-32893.485909750991</v>
      </c>
      <c r="E38" s="1">
        <f>+'Pre-Liquidation Summary'!E38+'Open Summary'!E38+'Closed Summary'!E38+'Estate Closed Summary'!E38+'Released from Oversight Summary'!E38</f>
        <v>-7021.3451492979402</v>
      </c>
      <c r="F38" s="1">
        <f>+'Pre-Liquidation Summary'!F38+'Open Summary'!F38+'Closed Summary'!F38+'Estate Closed Summary'!F38+'Released from Oversight Summary'!F38</f>
        <v>0</v>
      </c>
      <c r="G38" s="9">
        <f>SUM(NY_FINANCIAL)</f>
        <v>537745838.92602992</v>
      </c>
      <c r="I38" s="6">
        <f>SUM('Alabama Life:Villanova'!L38)</f>
        <v>647978179</v>
      </c>
      <c r="J38" s="1">
        <f>SUM('Alabama Life:Villanova'!M38)</f>
        <v>54000000</v>
      </c>
      <c r="L38" s="1">
        <f>SUM('Alabama Life:Villanova'!O38)</f>
        <v>0</v>
      </c>
      <c r="M38" s="1">
        <f>SUM('Alabama Life:Villanova'!P38)</f>
        <v>0</v>
      </c>
      <c r="O38" s="1">
        <f>SUM('Alabama Life:Villanova'!R38)</f>
        <v>0</v>
      </c>
      <c r="P38" s="1">
        <f>SUM('Alabama Life:Villanova'!S38)</f>
        <v>0</v>
      </c>
      <c r="R38" s="1">
        <f>SUM('Alabama Life:Villanova'!U38)</f>
        <v>0</v>
      </c>
      <c r="S38" s="9">
        <f>SUM('Alabama Life:Villanova'!V38)</f>
        <v>0</v>
      </c>
    </row>
    <row r="39" spans="1:19">
      <c r="A39" s="1" t="s">
        <v>60</v>
      </c>
      <c r="B39" s="6">
        <f>+'Pre-Liquidation Summary'!B39+'Open Summary'!B39+'Closed Summary'!B39+'Estate Closed Summary'!B39+'Released from Oversight Summary'!B39</f>
        <v>88629853.716537893</v>
      </c>
      <c r="C39" s="1">
        <f>+'Pre-Liquidation Summary'!C39+'Open Summary'!C39+'Closed Summary'!C39+'Estate Closed Summary'!C39+'Released from Oversight Summary'!C39</f>
        <v>135687681.29440176</v>
      </c>
      <c r="D39" s="1">
        <f>+'Pre-Liquidation Summary'!D39+'Open Summary'!D39+'Closed Summary'!D39+'Estate Closed Summary'!D39+'Released from Oversight Summary'!D39</f>
        <v>110317244.01382671</v>
      </c>
      <c r="E39" s="1">
        <f>+'Pre-Liquidation Summary'!E39+'Open Summary'!E39+'Closed Summary'!E39+'Estate Closed Summary'!E39+'Released from Oversight Summary'!E39</f>
        <v>222543.48911629638</v>
      </c>
      <c r="F39" s="1">
        <f>+'Pre-Liquidation Summary'!F39+'Open Summary'!F39+'Closed Summary'!F39+'Estate Closed Summary'!F39+'Released from Oversight Summary'!F39</f>
        <v>0</v>
      </c>
      <c r="G39" s="9">
        <f>SUM(NC_FINANCIAL)</f>
        <v>334857322.5138827</v>
      </c>
      <c r="I39" s="6">
        <f>SUM('Alabama Life:Villanova'!L39)</f>
        <v>53519217</v>
      </c>
      <c r="J39" s="1">
        <f>SUM('Alabama Life:Villanova'!M39)</f>
        <v>8308500</v>
      </c>
      <c r="L39" s="1">
        <f>SUM('Alabama Life:Villanova'!O39)</f>
        <v>199709283</v>
      </c>
      <c r="M39" s="1">
        <f>SUM('Alabama Life:Villanova'!P39)</f>
        <v>21068750</v>
      </c>
      <c r="O39" s="1">
        <f>SUM('Alabama Life:Villanova'!R39)</f>
        <v>102856500</v>
      </c>
      <c r="P39" s="1">
        <f>SUM('Alabama Life:Villanova'!S39)</f>
        <v>900000</v>
      </c>
      <c r="R39" s="1">
        <f>SUM('Alabama Life:Villanova'!U39)</f>
        <v>0</v>
      </c>
      <c r="S39" s="9">
        <f>SUM('Alabama Life:Villanova'!V39)</f>
        <v>0</v>
      </c>
    </row>
    <row r="40" spans="1:19">
      <c r="A40" s="1" t="s">
        <v>61</v>
      </c>
      <c r="B40" s="6">
        <f>+'Pre-Liquidation Summary'!B40+'Open Summary'!B40+'Closed Summary'!B40+'Estate Closed Summary'!B40+'Released from Oversight Summary'!B40</f>
        <v>4257176.5199946575</v>
      </c>
      <c r="C40" s="1">
        <f>+'Pre-Liquidation Summary'!C40+'Open Summary'!C40+'Closed Summary'!C40+'Estate Closed Summary'!C40+'Released from Oversight Summary'!C40</f>
        <v>15272874.43050256</v>
      </c>
      <c r="D40" s="1">
        <f>+'Pre-Liquidation Summary'!D40+'Open Summary'!D40+'Closed Summary'!D40+'Estate Closed Summary'!D40+'Released from Oversight Summary'!D40</f>
        <v>6273770.0419161934</v>
      </c>
      <c r="E40" s="1">
        <f>+'Pre-Liquidation Summary'!E40+'Open Summary'!E40+'Closed Summary'!E40+'Estate Closed Summary'!E40+'Released from Oversight Summary'!E40</f>
        <v>29121.126982202684</v>
      </c>
      <c r="F40" s="1">
        <f>+'Pre-Liquidation Summary'!F40+'Open Summary'!F40+'Closed Summary'!F40+'Estate Closed Summary'!F40+'Released from Oversight Summary'!F40</f>
        <v>0</v>
      </c>
      <c r="G40" s="9">
        <f>SUM(ND_FINANCIAL)</f>
        <v>25832942.11939561</v>
      </c>
      <c r="I40" s="6">
        <f>SUM('Alabama Life:Villanova'!L40)</f>
        <v>4999898</v>
      </c>
      <c r="J40" s="1">
        <f>SUM('Alabama Life:Villanova'!M40)</f>
        <v>423000</v>
      </c>
      <c r="L40" s="1">
        <f>SUM('Alabama Life:Villanova'!O40)</f>
        <v>7798336</v>
      </c>
      <c r="M40" s="1">
        <f>SUM('Alabama Life:Villanova'!P40)</f>
        <v>277400</v>
      </c>
      <c r="O40" s="1">
        <f>SUM('Alabama Life:Villanova'!R40)</f>
        <v>7828092</v>
      </c>
      <c r="P40" s="1">
        <f>SUM('Alabama Life:Villanova'!S40)</f>
        <v>924599</v>
      </c>
      <c r="R40" s="1">
        <f>SUM('Alabama Life:Villanova'!U40)</f>
        <v>104738</v>
      </c>
      <c r="S40" s="9">
        <f>SUM('Alabama Life:Villanova'!V40)</f>
        <v>0</v>
      </c>
    </row>
    <row r="41" spans="1:19">
      <c r="A41" s="1" t="s">
        <v>62</v>
      </c>
      <c r="B41" s="6">
        <f>+'Pre-Liquidation Summary'!B41+'Open Summary'!B41+'Closed Summary'!B41+'Estate Closed Summary'!B41+'Released from Oversight Summary'!B41</f>
        <v>58109711.849122383</v>
      </c>
      <c r="C41" s="1">
        <f>+'Pre-Liquidation Summary'!C41+'Open Summary'!C41+'Closed Summary'!C41+'Estate Closed Summary'!C41+'Released from Oversight Summary'!C41</f>
        <v>130028441.65861368</v>
      </c>
      <c r="D41" s="1">
        <f>+'Pre-Liquidation Summary'!D41+'Open Summary'!D41+'Closed Summary'!D41+'Estate Closed Summary'!D41+'Released from Oversight Summary'!D41</f>
        <v>91710079.41236487</v>
      </c>
      <c r="E41" s="1">
        <f>+'Pre-Liquidation Summary'!E41+'Open Summary'!E41+'Closed Summary'!E41+'Estate Closed Summary'!E41+'Released from Oversight Summary'!E41</f>
        <v>2334038.2889760416</v>
      </c>
      <c r="F41" s="1">
        <f>+'Pre-Liquidation Summary'!F41+'Open Summary'!F41+'Closed Summary'!F41+'Estate Closed Summary'!F41+'Released from Oversight Summary'!F41</f>
        <v>0</v>
      </c>
      <c r="G41" s="9">
        <f>SUM(OH_FINANCIAL)</f>
        <v>282182271.20907694</v>
      </c>
      <c r="I41" s="6">
        <f>SUM('Alabama Life:Villanova'!L41)</f>
        <v>46900000</v>
      </c>
      <c r="J41" s="1">
        <f>SUM('Alabama Life:Villanova'!M41)</f>
        <v>0</v>
      </c>
      <c r="L41" s="1">
        <f>SUM('Alabama Life:Villanova'!O41)</f>
        <v>60245000</v>
      </c>
      <c r="M41" s="1">
        <f>SUM('Alabama Life:Villanova'!P41)</f>
        <v>0</v>
      </c>
      <c r="O41" s="1">
        <f>SUM('Alabama Life:Villanova'!R41)</f>
        <v>100032912</v>
      </c>
      <c r="P41" s="1">
        <f>SUM('Alabama Life:Villanova'!S41)</f>
        <v>0</v>
      </c>
      <c r="R41" s="1">
        <f>SUM('Alabama Life:Villanova'!U41)</f>
        <v>7875000</v>
      </c>
      <c r="S41" s="9">
        <f>SUM('Alabama Life:Villanova'!V41)</f>
        <v>7300000</v>
      </c>
    </row>
    <row r="42" spans="1:19">
      <c r="A42" s="1" t="s">
        <v>63</v>
      </c>
      <c r="B42" s="6">
        <f>+'Pre-Liquidation Summary'!B42+'Open Summary'!B42+'Closed Summary'!B42+'Estate Closed Summary'!B42+'Released from Oversight Summary'!B42</f>
        <v>35669276.66156742</v>
      </c>
      <c r="C42" s="1">
        <f>+'Pre-Liquidation Summary'!C42+'Open Summary'!C42+'Closed Summary'!C42+'Estate Closed Summary'!C42+'Released from Oversight Summary'!C42</f>
        <v>40987826.203091547</v>
      </c>
      <c r="D42" s="1">
        <f>+'Pre-Liquidation Summary'!D42+'Open Summary'!D42+'Closed Summary'!D42+'Estate Closed Summary'!D42+'Released from Oversight Summary'!D42</f>
        <v>17560823.562672991</v>
      </c>
      <c r="E42" s="1">
        <f>+'Pre-Liquidation Summary'!E42+'Open Summary'!E42+'Closed Summary'!E42+'Estate Closed Summary'!E42+'Released from Oversight Summary'!E42</f>
        <v>0</v>
      </c>
      <c r="F42" s="1">
        <f>+'Pre-Liquidation Summary'!F42+'Open Summary'!F42+'Closed Summary'!F42+'Estate Closed Summary'!F42+'Released from Oversight Summary'!F42</f>
        <v>0</v>
      </c>
      <c r="G42" s="9">
        <f>SUM(OK_FINANCIAL)</f>
        <v>94217926.427331954</v>
      </c>
      <c r="I42" s="6">
        <f>SUM('Alabama Life:Villanova'!L42)</f>
        <v>49469843</v>
      </c>
      <c r="J42" s="1">
        <f>SUM('Alabama Life:Villanova'!M42)</f>
        <v>14456850</v>
      </c>
      <c r="L42" s="1">
        <f>SUM('Alabama Life:Villanova'!O42)</f>
        <v>36318738</v>
      </c>
      <c r="M42" s="1">
        <f>SUM('Alabama Life:Villanova'!P42)</f>
        <v>5517650</v>
      </c>
      <c r="O42" s="1">
        <f>SUM('Alabama Life:Villanova'!R42)</f>
        <v>27035550</v>
      </c>
      <c r="P42" s="1">
        <f>SUM('Alabama Life:Villanova'!S42)</f>
        <v>7852000</v>
      </c>
      <c r="R42" s="1">
        <f>SUM('Alabama Life:Villanova'!U42)</f>
        <v>0</v>
      </c>
      <c r="S42" s="9">
        <f>SUM('Alabama Life:Villanova'!V42)</f>
        <v>0</v>
      </c>
    </row>
    <row r="43" spans="1:19">
      <c r="A43" s="1" t="s">
        <v>64</v>
      </c>
      <c r="B43" s="6">
        <f>+'Pre-Liquidation Summary'!B43+'Open Summary'!B43+'Closed Summary'!B43+'Estate Closed Summary'!B43+'Released from Oversight Summary'!B43</f>
        <v>18446673.281528596</v>
      </c>
      <c r="C43" s="1">
        <f>+'Pre-Liquidation Summary'!C43+'Open Summary'!C43+'Closed Summary'!C43+'Estate Closed Summary'!C43+'Released from Oversight Summary'!C43</f>
        <v>25677890.844656616</v>
      </c>
      <c r="D43" s="1">
        <f>+'Pre-Liquidation Summary'!D43+'Open Summary'!D43+'Closed Summary'!D43+'Estate Closed Summary'!D43+'Released from Oversight Summary'!D43</f>
        <v>13180748.820118584</v>
      </c>
      <c r="E43" s="1">
        <f>+'Pre-Liquidation Summary'!E43+'Open Summary'!E43+'Closed Summary'!E43+'Estate Closed Summary'!E43+'Released from Oversight Summary'!E43</f>
        <v>0</v>
      </c>
      <c r="F43" s="1">
        <f>+'Pre-Liquidation Summary'!F43+'Open Summary'!F43+'Closed Summary'!F43+'Estate Closed Summary'!F43+'Released from Oversight Summary'!F43</f>
        <v>0</v>
      </c>
      <c r="G43" s="9">
        <f>SUM(OR_FINANCIAL)</f>
        <v>57305312.946303792</v>
      </c>
      <c r="I43" s="6">
        <f>SUM('Alabama Life:Villanova'!L43)</f>
        <v>19068901</v>
      </c>
      <c r="J43" s="1">
        <f>SUM('Alabama Life:Villanova'!M43)</f>
        <v>0</v>
      </c>
      <c r="L43" s="1">
        <f>SUM('Alabama Life:Villanova'!O43)</f>
        <v>20140366</v>
      </c>
      <c r="M43" s="1">
        <f>SUM('Alabama Life:Villanova'!P43)</f>
        <v>0</v>
      </c>
      <c r="O43" s="1">
        <f>SUM('Alabama Life:Villanova'!R43)</f>
        <v>10733644</v>
      </c>
      <c r="P43" s="1">
        <f>SUM('Alabama Life:Villanova'!S43)</f>
        <v>0</v>
      </c>
      <c r="R43" s="1">
        <f>SUM('Alabama Life:Villanova'!U43)</f>
        <v>0</v>
      </c>
      <c r="S43" s="9">
        <f>SUM('Alabama Life:Villanova'!V43)</f>
        <v>0</v>
      </c>
    </row>
    <row r="44" spans="1:19">
      <c r="A44" s="1" t="s">
        <v>65</v>
      </c>
      <c r="B44" s="6">
        <f>+'Pre-Liquidation Summary'!B44+'Open Summary'!B44+'Closed Summary'!B44+'Estate Closed Summary'!B44+'Released from Oversight Summary'!B44</f>
        <v>83732540.870044693</v>
      </c>
      <c r="C44" s="1">
        <f>+'Pre-Liquidation Summary'!C44+'Open Summary'!C44+'Closed Summary'!C44+'Estate Closed Summary'!C44+'Released from Oversight Summary'!C44</f>
        <v>591174164.34577441</v>
      </c>
      <c r="D44" s="1">
        <f>+'Pre-Liquidation Summary'!D44+'Open Summary'!D44+'Closed Summary'!D44+'Estate Closed Summary'!D44+'Released from Oversight Summary'!D44</f>
        <v>282208469.31027108</v>
      </c>
      <c r="E44" s="1">
        <f>+'Pre-Liquidation Summary'!E44+'Open Summary'!E44+'Closed Summary'!E44+'Estate Closed Summary'!E44+'Released from Oversight Summary'!E44</f>
        <v>1542360.7154458794</v>
      </c>
      <c r="F44" s="1">
        <f>+'Pre-Liquidation Summary'!F44+'Open Summary'!F44+'Closed Summary'!F44+'Estate Closed Summary'!F44+'Released from Oversight Summary'!F44</f>
        <v>0</v>
      </c>
      <c r="G44" s="9">
        <f>SUM(PA_FINANCIAL)</f>
        <v>958657535.24153602</v>
      </c>
      <c r="I44" s="6">
        <f>SUM('Alabama Life:Villanova'!L44)</f>
        <v>157512407</v>
      </c>
      <c r="J44" s="1">
        <f>SUM('Alabama Life:Villanova'!M44)</f>
        <v>0</v>
      </c>
      <c r="L44" s="1">
        <f>SUM('Alabama Life:Villanova'!O44)</f>
        <v>234061862</v>
      </c>
      <c r="M44" s="1">
        <f>SUM('Alabama Life:Villanova'!P44)</f>
        <v>0</v>
      </c>
      <c r="O44" s="1">
        <f>SUM('Alabama Life:Villanova'!R44)</f>
        <v>304059856</v>
      </c>
      <c r="P44" s="1">
        <f>SUM('Alabama Life:Villanova'!S44)</f>
        <v>21428276</v>
      </c>
      <c r="R44" s="1">
        <f>SUM('Alabama Life:Villanova'!U44)</f>
        <v>100058938</v>
      </c>
      <c r="S44" s="9">
        <f>SUM('Alabama Life:Villanova'!V44)</f>
        <v>0</v>
      </c>
    </row>
    <row r="45" spans="1:19">
      <c r="A45" s="1" t="s">
        <v>66</v>
      </c>
      <c r="B45" s="6">
        <f>+'Pre-Liquidation Summary'!B45+'Open Summary'!B45+'Closed Summary'!B45+'Estate Closed Summary'!B45+'Released from Oversight Summary'!B45</f>
        <v>605809.24644376512</v>
      </c>
      <c r="C45" s="1">
        <f>+'Pre-Liquidation Summary'!C45+'Open Summary'!C45+'Closed Summary'!C45+'Estate Closed Summary'!C45+'Released from Oversight Summary'!C45</f>
        <v>484467.64456741803</v>
      </c>
      <c r="D45" s="1">
        <f>+'Pre-Liquidation Summary'!D45+'Open Summary'!D45+'Closed Summary'!D45+'Estate Closed Summary'!D45+'Released from Oversight Summary'!D45</f>
        <v>-7567.2698410309822</v>
      </c>
      <c r="E45" s="1">
        <f>+'Pre-Liquidation Summary'!E45+'Open Summary'!E45+'Closed Summary'!E45+'Estate Closed Summary'!E45+'Released from Oversight Summary'!E45</f>
        <v>0</v>
      </c>
      <c r="F45" s="1">
        <f>+'Pre-Liquidation Summary'!F45+'Open Summary'!F45+'Closed Summary'!F45+'Estate Closed Summary'!F45+'Released from Oversight Summary'!F45</f>
        <v>0</v>
      </c>
      <c r="G45" s="9">
        <f>SUM(PR_FINANCIAL)</f>
        <v>1082709.6211701522</v>
      </c>
      <c r="I45" s="6">
        <f>SUM('Alabama Life:Villanova'!L45)</f>
        <v>622778</v>
      </c>
      <c r="J45" s="1">
        <f>SUM('Alabama Life:Villanova'!M45)</f>
        <v>0</v>
      </c>
      <c r="L45" s="1">
        <f>SUM('Alabama Life:Villanova'!O45)</f>
        <v>387497</v>
      </c>
      <c r="M45" s="1">
        <f>SUM('Alabama Life:Villanova'!P45)</f>
        <v>0</v>
      </c>
      <c r="O45" s="1">
        <f>SUM('Alabama Life:Villanova'!R45)</f>
        <v>108788</v>
      </c>
      <c r="P45" s="1">
        <f>SUM('Alabama Life:Villanova'!S45)</f>
        <v>0</v>
      </c>
      <c r="R45" s="1">
        <f>SUM('Alabama Life:Villanova'!U45)</f>
        <v>0</v>
      </c>
      <c r="S45" s="9">
        <f>SUM('Alabama Life:Villanova'!V45)</f>
        <v>0</v>
      </c>
    </row>
    <row r="46" spans="1:19">
      <c r="A46" s="1" t="s">
        <v>67</v>
      </c>
      <c r="B46" s="6">
        <f>+'Pre-Liquidation Summary'!B46+'Open Summary'!B46+'Closed Summary'!B46+'Estate Closed Summary'!B46+'Released from Oversight Summary'!B46</f>
        <v>3776608.3941375874</v>
      </c>
      <c r="C46" s="1">
        <f>+'Pre-Liquidation Summary'!C46+'Open Summary'!C46+'Closed Summary'!C46+'Estate Closed Summary'!C46+'Released from Oversight Summary'!C46</f>
        <v>89491217.260114253</v>
      </c>
      <c r="D46" s="1">
        <f>+'Pre-Liquidation Summary'!D46+'Open Summary'!D46+'Closed Summary'!D46+'Estate Closed Summary'!D46+'Released from Oversight Summary'!D46</f>
        <v>1919677.8482630954</v>
      </c>
      <c r="E46" s="1">
        <f>+'Pre-Liquidation Summary'!E46+'Open Summary'!E46+'Closed Summary'!E46+'Estate Closed Summary'!E46+'Released from Oversight Summary'!E46</f>
        <v>0</v>
      </c>
      <c r="F46" s="1">
        <f>+'Pre-Liquidation Summary'!F46+'Open Summary'!F46+'Closed Summary'!F46+'Estate Closed Summary'!F46+'Released from Oversight Summary'!F46</f>
        <v>0</v>
      </c>
      <c r="G46" s="9">
        <f>SUM(RI_FINANCIAL)</f>
        <v>95187503.502514943</v>
      </c>
      <c r="I46" s="6">
        <f>SUM('Alabama Life:Villanova'!L46)</f>
        <v>3145036</v>
      </c>
      <c r="J46" s="1">
        <f>SUM('Alabama Life:Villanova'!M46)</f>
        <v>0</v>
      </c>
      <c r="L46" s="1">
        <f>SUM('Alabama Life:Villanova'!O46)</f>
        <v>22503256</v>
      </c>
      <c r="M46" s="1">
        <f>SUM('Alabama Life:Villanova'!P46)</f>
        <v>0</v>
      </c>
      <c r="O46" s="1">
        <f>SUM('Alabama Life:Villanova'!R46)</f>
        <v>2717811</v>
      </c>
      <c r="P46" s="1">
        <f>SUM('Alabama Life:Villanova'!S46)</f>
        <v>0</v>
      </c>
      <c r="R46" s="1">
        <f>SUM('Alabama Life:Villanova'!U46)</f>
        <v>0</v>
      </c>
      <c r="S46" s="9">
        <f>SUM('Alabama Life:Villanova'!V46)</f>
        <v>0</v>
      </c>
    </row>
    <row r="47" spans="1:19">
      <c r="A47" s="1" t="s">
        <v>68</v>
      </c>
      <c r="B47" s="6">
        <f>+'Pre-Liquidation Summary'!B47+'Open Summary'!B47+'Closed Summary'!B47+'Estate Closed Summary'!B47+'Released from Oversight Summary'!B47</f>
        <v>31222645.512790583</v>
      </c>
      <c r="C47" s="1">
        <f>+'Pre-Liquidation Summary'!C47+'Open Summary'!C47+'Closed Summary'!C47+'Estate Closed Summary'!C47+'Released from Oversight Summary'!C47</f>
        <v>44864244.852673374</v>
      </c>
      <c r="D47" s="1">
        <f>+'Pre-Liquidation Summary'!D47+'Open Summary'!D47+'Closed Summary'!D47+'Estate Closed Summary'!D47+'Released from Oversight Summary'!D47</f>
        <v>60828294.40438883</v>
      </c>
      <c r="E47" s="1">
        <f>+'Pre-Liquidation Summary'!E47+'Open Summary'!E47+'Closed Summary'!E47+'Estate Closed Summary'!E47+'Released from Oversight Summary'!E47</f>
        <v>0</v>
      </c>
      <c r="F47" s="1">
        <f>+'Pre-Liquidation Summary'!F47+'Open Summary'!F47+'Closed Summary'!F47+'Estate Closed Summary'!F47+'Released from Oversight Summary'!F47</f>
        <v>0</v>
      </c>
      <c r="G47" s="9">
        <f>SUM(SC_FINANCIAL)</f>
        <v>136915184.76985279</v>
      </c>
      <c r="I47" s="6">
        <f>SUM('Alabama Life:Villanova'!L47)</f>
        <v>22736843</v>
      </c>
      <c r="J47" s="1">
        <f>SUM('Alabama Life:Villanova'!M47)</f>
        <v>0</v>
      </c>
      <c r="L47" s="1">
        <f>SUM('Alabama Life:Villanova'!O47)</f>
        <v>29314306</v>
      </c>
      <c r="M47" s="1">
        <f>SUM('Alabama Life:Villanova'!P47)</f>
        <v>0</v>
      </c>
      <c r="O47" s="1">
        <f>SUM('Alabama Life:Villanova'!R47)</f>
        <v>82850200</v>
      </c>
      <c r="P47" s="1">
        <f>SUM('Alabama Life:Villanova'!S47)</f>
        <v>12548122</v>
      </c>
      <c r="R47" s="1">
        <f>SUM('Alabama Life:Villanova'!U47)</f>
        <v>0</v>
      </c>
      <c r="S47" s="9">
        <f>SUM('Alabama Life:Villanova'!V47)</f>
        <v>0</v>
      </c>
    </row>
    <row r="48" spans="1:19">
      <c r="A48" s="1" t="s">
        <v>69</v>
      </c>
      <c r="B48" s="6">
        <f>+'Pre-Liquidation Summary'!B48+'Open Summary'!B48+'Closed Summary'!B48+'Estate Closed Summary'!B48+'Released from Oversight Summary'!B48</f>
        <v>7602589.2439059243</v>
      </c>
      <c r="C48" s="1">
        <f>+'Pre-Liquidation Summary'!C48+'Open Summary'!C48+'Closed Summary'!C48+'Estate Closed Summary'!C48+'Released from Oversight Summary'!C48</f>
        <v>9580473.5857111793</v>
      </c>
      <c r="D48" s="1">
        <f>+'Pre-Liquidation Summary'!D48+'Open Summary'!D48+'Closed Summary'!D48+'Estate Closed Summary'!D48+'Released from Oversight Summary'!D48</f>
        <v>46751926.906123795</v>
      </c>
      <c r="E48" s="1">
        <f>+'Pre-Liquidation Summary'!E48+'Open Summary'!E48+'Closed Summary'!E48+'Estate Closed Summary'!E48+'Released from Oversight Summary'!E48</f>
        <v>0</v>
      </c>
      <c r="F48" s="1">
        <f>+'Pre-Liquidation Summary'!F48+'Open Summary'!F48+'Closed Summary'!F48+'Estate Closed Summary'!F48+'Released from Oversight Summary'!F48</f>
        <v>0</v>
      </c>
      <c r="G48" s="9">
        <f>SUM(SD_FINANCIAL)</f>
        <v>63934989.7357409</v>
      </c>
      <c r="I48" s="6">
        <f>SUM('Alabama Life:Villanova'!L48)</f>
        <v>11820802</v>
      </c>
      <c r="J48" s="1">
        <f>SUM('Alabama Life:Villanova'!M48)</f>
        <v>3424576</v>
      </c>
      <c r="L48" s="1">
        <f>SUM('Alabama Life:Villanova'!O48)</f>
        <v>8920701</v>
      </c>
      <c r="M48" s="1">
        <f>SUM('Alabama Life:Villanova'!P48)</f>
        <v>2698921</v>
      </c>
      <c r="O48" s="1">
        <f>SUM('Alabama Life:Villanova'!R48)</f>
        <v>45669433</v>
      </c>
      <c r="P48" s="1">
        <f>SUM('Alabama Life:Villanova'!S48)</f>
        <v>1634436</v>
      </c>
      <c r="R48" s="1">
        <f>SUM('Alabama Life:Villanova'!U48)</f>
        <v>0</v>
      </c>
      <c r="S48" s="9">
        <f>SUM('Alabama Life:Villanova'!V48)</f>
        <v>0</v>
      </c>
    </row>
    <row r="49" spans="1:19">
      <c r="A49" s="1" t="s">
        <v>70</v>
      </c>
      <c r="B49" s="6">
        <f>+'Pre-Liquidation Summary'!B49+'Open Summary'!B49+'Closed Summary'!B49+'Estate Closed Summary'!B49+'Released from Oversight Summary'!B49</f>
        <v>53449715.361724705</v>
      </c>
      <c r="C49" s="1">
        <f>+'Pre-Liquidation Summary'!C49+'Open Summary'!C49+'Closed Summary'!C49+'Estate Closed Summary'!C49+'Released from Oversight Summary'!C49</f>
        <v>64126954.814168222</v>
      </c>
      <c r="D49" s="1">
        <f>+'Pre-Liquidation Summary'!D49+'Open Summary'!D49+'Closed Summary'!D49+'Estate Closed Summary'!D49+'Released from Oversight Summary'!D49</f>
        <v>55344349.469497718</v>
      </c>
      <c r="E49" s="1">
        <f>+'Pre-Liquidation Summary'!E49+'Open Summary'!E49+'Closed Summary'!E49+'Estate Closed Summary'!E49+'Released from Oversight Summary'!E49</f>
        <v>0</v>
      </c>
      <c r="F49" s="1">
        <f>+'Pre-Liquidation Summary'!F49+'Open Summary'!F49+'Closed Summary'!F49+'Estate Closed Summary'!F49+'Released from Oversight Summary'!F49</f>
        <v>0</v>
      </c>
      <c r="G49" s="9">
        <f>SUM(TN_FINANCIAL)</f>
        <v>172921019.64539063</v>
      </c>
      <c r="I49" s="6">
        <f>SUM('Alabama Life:Villanova'!L49)</f>
        <v>32793000</v>
      </c>
      <c r="J49" s="1">
        <f>SUM('Alabama Life:Villanova'!M49)</f>
        <v>0</v>
      </c>
      <c r="L49" s="1">
        <f>SUM('Alabama Life:Villanova'!O49)</f>
        <v>41502000</v>
      </c>
      <c r="M49" s="1">
        <f>SUM('Alabama Life:Villanova'!P49)</f>
        <v>0</v>
      </c>
      <c r="O49" s="1">
        <f>SUM('Alabama Life:Villanova'!R49)</f>
        <v>54253516</v>
      </c>
      <c r="P49" s="1">
        <f>SUM('Alabama Life:Villanova'!S49)</f>
        <v>320700</v>
      </c>
      <c r="R49" s="1">
        <f>SUM('Alabama Life:Villanova'!U49)</f>
        <v>0</v>
      </c>
      <c r="S49" s="9">
        <f>SUM('Alabama Life:Villanova'!V49)</f>
        <v>0</v>
      </c>
    </row>
    <row r="50" spans="1:19">
      <c r="A50" s="1" t="s">
        <v>71</v>
      </c>
      <c r="B50" s="6">
        <f>+'Pre-Liquidation Summary'!B50+'Open Summary'!B50+'Closed Summary'!B50+'Estate Closed Summary'!B50+'Released from Oversight Summary'!B50</f>
        <v>210929558.87715274</v>
      </c>
      <c r="C50" s="1">
        <f>+'Pre-Liquidation Summary'!C50+'Open Summary'!C50+'Closed Summary'!C50+'Estate Closed Summary'!C50+'Released from Oversight Summary'!C50</f>
        <v>258719064.69424817</v>
      </c>
      <c r="D50" s="1">
        <f>+'Pre-Liquidation Summary'!D50+'Open Summary'!D50+'Closed Summary'!D50+'Estate Closed Summary'!D50+'Released from Oversight Summary'!D50</f>
        <v>156931193.59880915</v>
      </c>
      <c r="E50" s="1">
        <f>+'Pre-Liquidation Summary'!E50+'Open Summary'!E50+'Closed Summary'!E50+'Estate Closed Summary'!E50+'Released from Oversight Summary'!E50</f>
        <v>14531709.480860604</v>
      </c>
      <c r="F50" s="1">
        <f>+'Pre-Liquidation Summary'!F50+'Open Summary'!F50+'Closed Summary'!F50+'Estate Closed Summary'!F50+'Released from Oversight Summary'!F50</f>
        <v>111090.629</v>
      </c>
      <c r="G50" s="9">
        <f>SUM(TX_FINANCIAL)</f>
        <v>641222617.28007054</v>
      </c>
      <c r="I50" s="6">
        <f>SUM('Alabama Life:Villanova'!L50)</f>
        <v>302411792</v>
      </c>
      <c r="J50" s="1">
        <f>SUM('Alabama Life:Villanova'!M50)</f>
        <v>42767050.775959566</v>
      </c>
      <c r="L50" s="1">
        <f>SUM('Alabama Life:Villanova'!O50)</f>
        <v>142668069</v>
      </c>
      <c r="M50" s="1">
        <f>SUM('Alabama Life:Villanova'!P50)</f>
        <v>22332155.894278437</v>
      </c>
      <c r="O50" s="1">
        <f>SUM('Alabama Life:Villanova'!R50)</f>
        <v>194868662.5</v>
      </c>
      <c r="P50" s="1">
        <f>SUM('Alabama Life:Villanova'!S50)</f>
        <v>28788923.929761998</v>
      </c>
      <c r="R50" s="1">
        <f>SUM('Alabama Life:Villanova'!U50)</f>
        <v>0</v>
      </c>
      <c r="S50" s="9">
        <f>SUM('Alabama Life:Villanova'!V50)</f>
        <v>2500000</v>
      </c>
    </row>
    <row r="51" spans="1:19">
      <c r="A51" s="1" t="s">
        <v>72</v>
      </c>
      <c r="B51" s="6">
        <f>+'Pre-Liquidation Summary'!B51+'Open Summary'!B51+'Closed Summary'!B51+'Estate Closed Summary'!B51+'Released from Oversight Summary'!B51</f>
        <v>9975954.2174240686</v>
      </c>
      <c r="C51" s="1">
        <f>+'Pre-Liquidation Summary'!C51+'Open Summary'!C51+'Closed Summary'!C51+'Estate Closed Summary'!C51+'Released from Oversight Summary'!C51</f>
        <v>30376403.580173694</v>
      </c>
      <c r="D51" s="1">
        <f>+'Pre-Liquidation Summary'!D51+'Open Summary'!D51+'Closed Summary'!D51+'Estate Closed Summary'!D51+'Released from Oversight Summary'!D51</f>
        <v>12534375.723435776</v>
      </c>
      <c r="E51" s="1">
        <f>+'Pre-Liquidation Summary'!E51+'Open Summary'!E51+'Closed Summary'!E51+'Estate Closed Summary'!E51+'Released from Oversight Summary'!E51</f>
        <v>246424.57828424143</v>
      </c>
      <c r="F51" s="1">
        <f>+'Pre-Liquidation Summary'!F51+'Open Summary'!F51+'Closed Summary'!F51+'Estate Closed Summary'!F51+'Released from Oversight Summary'!F51</f>
        <v>0</v>
      </c>
      <c r="G51" s="9">
        <f>SUM(UT_FINANCIAL)</f>
        <v>53133158.099317782</v>
      </c>
      <c r="I51" s="6">
        <f>SUM('Alabama Life:Villanova'!L51)</f>
        <v>18361495</v>
      </c>
      <c r="J51" s="1">
        <f>SUM('Alabama Life:Villanova'!M51)</f>
        <v>7669846</v>
      </c>
      <c r="L51" s="1">
        <f>SUM('Alabama Life:Villanova'!O51)</f>
        <v>14510801</v>
      </c>
      <c r="M51" s="1">
        <f>SUM('Alabama Life:Villanova'!P51)</f>
        <v>4124184</v>
      </c>
      <c r="O51" s="1">
        <f>SUM('Alabama Life:Villanova'!R51)</f>
        <v>10832396</v>
      </c>
      <c r="P51" s="1">
        <f>SUM('Alabama Life:Villanova'!S51)</f>
        <v>0</v>
      </c>
      <c r="R51" s="1">
        <f>SUM('Alabama Life:Villanova'!U51)</f>
        <v>3050000</v>
      </c>
      <c r="S51" s="9">
        <f>SUM('Alabama Life:Villanova'!V51)</f>
        <v>4549252</v>
      </c>
    </row>
    <row r="52" spans="1:19">
      <c r="A52" s="1" t="s">
        <v>73</v>
      </c>
      <c r="B52" s="6">
        <f>+'Pre-Liquidation Summary'!B52+'Open Summary'!B52+'Closed Summary'!B52+'Estate Closed Summary'!B52+'Released from Oversight Summary'!B52</f>
        <v>360577.01475191372</v>
      </c>
      <c r="C52" s="1">
        <f>+'Pre-Liquidation Summary'!C52+'Open Summary'!C52+'Closed Summary'!C52+'Estate Closed Summary'!C52+'Released from Oversight Summary'!C52</f>
        <v>4102478.3027269095</v>
      </c>
      <c r="D52" s="1">
        <f>+'Pre-Liquidation Summary'!D52+'Open Summary'!D52+'Closed Summary'!D52+'Estate Closed Summary'!D52+'Released from Oversight Summary'!D52</f>
        <v>11588845.070607889</v>
      </c>
      <c r="E52" s="1">
        <f>+'Pre-Liquidation Summary'!E52+'Open Summary'!E52+'Closed Summary'!E52+'Estate Closed Summary'!E52+'Released from Oversight Summary'!E52</f>
        <v>-3903.7641015315021</v>
      </c>
      <c r="F52" s="1">
        <f>+'Pre-Liquidation Summary'!F52+'Open Summary'!F52+'Closed Summary'!F52+'Estate Closed Summary'!F52+'Released from Oversight Summary'!F52</f>
        <v>0</v>
      </c>
      <c r="G52" s="9">
        <f>SUM(VT_FINANCIAL)</f>
        <v>16047996.623985182</v>
      </c>
      <c r="I52" s="6">
        <f>SUM('Alabama Life:Villanova'!L52)</f>
        <v>428664</v>
      </c>
      <c r="J52" s="1">
        <f>SUM('Alabama Life:Villanova'!M52)</f>
        <v>0</v>
      </c>
      <c r="L52" s="1">
        <f>SUM('Alabama Life:Villanova'!O52)</f>
        <v>1319856</v>
      </c>
      <c r="M52" s="1">
        <f>SUM('Alabama Life:Villanova'!P52)</f>
        <v>0</v>
      </c>
      <c r="O52" s="1">
        <f>SUM('Alabama Life:Villanova'!R52)</f>
        <v>10177500</v>
      </c>
      <c r="P52" s="1">
        <f>SUM('Alabama Life:Villanova'!S52)</f>
        <v>0</v>
      </c>
      <c r="R52" s="1">
        <f>SUM('Alabama Life:Villanova'!U52)</f>
        <v>0</v>
      </c>
      <c r="S52" s="9">
        <f>SUM('Alabama Life:Villanova'!V52)</f>
        <v>0</v>
      </c>
    </row>
    <row r="53" spans="1:19">
      <c r="A53" s="1" t="s">
        <v>74</v>
      </c>
      <c r="B53" s="6">
        <f>+'Pre-Liquidation Summary'!B53+'Open Summary'!B53+'Closed Summary'!B53+'Estate Closed Summary'!B53+'Released from Oversight Summary'!B53</f>
        <v>29882131.848575011</v>
      </c>
      <c r="C53" s="1">
        <f>+'Pre-Liquidation Summary'!C53+'Open Summary'!C53+'Closed Summary'!C53+'Estate Closed Summary'!C53+'Released from Oversight Summary'!C53</f>
        <v>50238523.073997259</v>
      </c>
      <c r="D53" s="1">
        <f>+'Pre-Liquidation Summary'!D53+'Open Summary'!D53+'Closed Summary'!D53+'Estate Closed Summary'!D53+'Released from Oversight Summary'!D53</f>
        <v>211643116.19363859</v>
      </c>
      <c r="E53" s="1">
        <f>+'Pre-Liquidation Summary'!E53+'Open Summary'!E53+'Closed Summary'!E53+'Estate Closed Summary'!E53+'Released from Oversight Summary'!E53</f>
        <v>0</v>
      </c>
      <c r="F53" s="1">
        <f>+'Pre-Liquidation Summary'!F53+'Open Summary'!F53+'Closed Summary'!F53+'Estate Closed Summary'!F53+'Released from Oversight Summary'!F53</f>
        <v>-7452.9221187548828</v>
      </c>
      <c r="G53" s="9">
        <f>SUM(VA_FINANCIAL)</f>
        <v>291756318.19409209</v>
      </c>
      <c r="I53" s="6">
        <f>SUM('Alabama Life:Villanova'!L53)</f>
        <v>26188697</v>
      </c>
      <c r="J53" s="1">
        <f>SUM('Alabama Life:Villanova'!M53)</f>
        <v>9858881</v>
      </c>
      <c r="L53" s="1">
        <f>SUM('Alabama Life:Villanova'!O53)</f>
        <v>40317690</v>
      </c>
      <c r="M53" s="1">
        <f>SUM('Alabama Life:Villanova'!P53)</f>
        <v>15978803</v>
      </c>
      <c r="O53" s="1">
        <f>SUM('Alabama Life:Villanova'!R53)</f>
        <v>201026086</v>
      </c>
      <c r="P53" s="1">
        <f>SUM('Alabama Life:Villanova'!S53)</f>
        <v>1863481</v>
      </c>
      <c r="R53" s="1">
        <f>SUM('Alabama Life:Villanova'!U53)</f>
        <v>0</v>
      </c>
      <c r="S53" s="9">
        <f>SUM('Alabama Life:Villanova'!V53)</f>
        <v>0</v>
      </c>
    </row>
    <row r="54" spans="1:19">
      <c r="A54" s="1" t="s">
        <v>75</v>
      </c>
      <c r="B54" s="6">
        <f>+'Pre-Liquidation Summary'!B54+'Open Summary'!B54+'Closed Summary'!B54+'Estate Closed Summary'!B54+'Released from Oversight Summary'!B54</f>
        <v>40888017.072801985</v>
      </c>
      <c r="C54" s="1">
        <f>+'Pre-Liquidation Summary'!C54+'Open Summary'!C54+'Closed Summary'!C54+'Estate Closed Summary'!C54+'Released from Oversight Summary'!C54</f>
        <v>101961243.55046546</v>
      </c>
      <c r="D54" s="1">
        <f>+'Pre-Liquidation Summary'!D54+'Open Summary'!D54+'Closed Summary'!D54+'Estate Closed Summary'!D54+'Released from Oversight Summary'!D54</f>
        <v>146283719.22776753</v>
      </c>
      <c r="E54" s="1">
        <f>+'Pre-Liquidation Summary'!E54+'Open Summary'!E54+'Closed Summary'!E54+'Estate Closed Summary'!E54+'Released from Oversight Summary'!E54</f>
        <v>2198904.5845510331</v>
      </c>
      <c r="F54" s="1">
        <f>+'Pre-Liquidation Summary'!F54+'Open Summary'!F54+'Closed Summary'!F54+'Estate Closed Summary'!F54+'Released from Oversight Summary'!F54</f>
        <v>0</v>
      </c>
      <c r="G54" s="9">
        <f>SUM(WA_FINANCIAL)</f>
        <v>291331884.43558604</v>
      </c>
      <c r="I54" s="6">
        <f>SUM('Alabama Life:Villanova'!L54)</f>
        <v>59933397</v>
      </c>
      <c r="J54" s="1">
        <f>SUM('Alabama Life:Villanova'!M54)</f>
        <v>10230633</v>
      </c>
      <c r="L54" s="1">
        <f>SUM('Alabama Life:Villanova'!O54)</f>
        <v>68105810</v>
      </c>
      <c r="M54" s="1">
        <f>SUM('Alabama Life:Villanova'!P54)</f>
        <v>2094396</v>
      </c>
      <c r="O54" s="1">
        <f>SUM('Alabama Life:Villanova'!R54)</f>
        <v>80836516</v>
      </c>
      <c r="P54" s="1">
        <f>SUM('Alabama Life:Villanova'!S54)</f>
        <v>2646855</v>
      </c>
      <c r="R54" s="1">
        <f>SUM('Alabama Life:Villanova'!U54)</f>
        <v>7600000</v>
      </c>
      <c r="S54" s="9">
        <f>SUM('Alabama Life:Villanova'!V54)</f>
        <v>5000000</v>
      </c>
    </row>
    <row r="55" spans="1:19">
      <c r="A55" s="1" t="s">
        <v>76</v>
      </c>
      <c r="B55" s="6">
        <f>+'Pre-Liquidation Summary'!B55+'Open Summary'!B55+'Closed Summary'!B55+'Estate Closed Summary'!B55+'Released from Oversight Summary'!B55</f>
        <v>3532850.7533653998</v>
      </c>
      <c r="C55" s="1">
        <f>+'Pre-Liquidation Summary'!C55+'Open Summary'!C55+'Closed Summary'!C55+'Estate Closed Summary'!C55+'Released from Oversight Summary'!C55</f>
        <v>11854927.289021058</v>
      </c>
      <c r="D55" s="1">
        <f>+'Pre-Liquidation Summary'!D55+'Open Summary'!D55+'Closed Summary'!D55+'Estate Closed Summary'!D55+'Released from Oversight Summary'!D55</f>
        <v>4669766.3331797719</v>
      </c>
      <c r="E55" s="1">
        <f>+'Pre-Liquidation Summary'!E55+'Open Summary'!E55+'Closed Summary'!E55+'Estate Closed Summary'!E55+'Released from Oversight Summary'!E55</f>
        <v>0</v>
      </c>
      <c r="F55" s="1">
        <f>+'Pre-Liquidation Summary'!F55+'Open Summary'!F55+'Closed Summary'!F55+'Estate Closed Summary'!F55+'Released from Oversight Summary'!F55</f>
        <v>0</v>
      </c>
      <c r="G55" s="9">
        <f>SUM(WV_FINANCIAL)</f>
        <v>20057544.375566229</v>
      </c>
      <c r="I55" s="6">
        <f>SUM('Alabama Life:Villanova'!L55)</f>
        <v>6818408</v>
      </c>
      <c r="J55" s="1">
        <f>SUM('Alabama Life:Villanova'!M55)</f>
        <v>4048871</v>
      </c>
      <c r="L55" s="1">
        <f>SUM('Alabama Life:Villanova'!O55)</f>
        <v>13179699</v>
      </c>
      <c r="M55" s="1">
        <f>SUM('Alabama Life:Villanova'!P55)</f>
        <v>5230641</v>
      </c>
      <c r="O55" s="1">
        <f>SUM('Alabama Life:Villanova'!R55)</f>
        <v>8262781</v>
      </c>
      <c r="P55" s="1">
        <f>SUM('Alabama Life:Villanova'!S55)</f>
        <v>5464841</v>
      </c>
      <c r="R55" s="1">
        <f>SUM('Alabama Life:Villanova'!U55)</f>
        <v>51813</v>
      </c>
      <c r="S55" s="9">
        <f>SUM('Alabama Life:Villanova'!V55)</f>
        <v>0</v>
      </c>
    </row>
    <row r="56" spans="1:19">
      <c r="A56" s="1" t="s">
        <v>77</v>
      </c>
      <c r="B56" s="6">
        <f>+'Pre-Liquidation Summary'!B56+'Open Summary'!B56+'Closed Summary'!B56+'Estate Closed Summary'!B56+'Released from Oversight Summary'!B56</f>
        <v>31671972.074050266</v>
      </c>
      <c r="C56" s="1">
        <f>+'Pre-Liquidation Summary'!C56+'Open Summary'!C56+'Closed Summary'!C56+'Estate Closed Summary'!C56+'Released from Oversight Summary'!C56</f>
        <v>73880924.762208462</v>
      </c>
      <c r="D56" s="1">
        <f>+'Pre-Liquidation Summary'!D56+'Open Summary'!D56+'Closed Summary'!D56+'Estate Closed Summary'!D56+'Released from Oversight Summary'!D56</f>
        <v>20494678.378449954</v>
      </c>
      <c r="E56" s="1">
        <f>+'Pre-Liquidation Summary'!E56+'Open Summary'!E56+'Closed Summary'!E56+'Estate Closed Summary'!E56+'Released from Oversight Summary'!E56</f>
        <v>80317.446396894622</v>
      </c>
      <c r="F56" s="1">
        <f>+'Pre-Liquidation Summary'!F56+'Open Summary'!F56+'Closed Summary'!F56+'Estate Closed Summary'!F56+'Released from Oversight Summary'!F56</f>
        <v>0</v>
      </c>
      <c r="G56" s="9">
        <f>SUM(WI_FINANCIAL)</f>
        <v>126127892.66110557</v>
      </c>
      <c r="I56" s="6">
        <f>SUM('Alabama Life:Villanova'!L56)</f>
        <v>32700000</v>
      </c>
      <c r="J56" s="1">
        <f>SUM('Alabama Life:Villanova'!M56)</f>
        <v>0</v>
      </c>
      <c r="L56" s="1">
        <f>SUM('Alabama Life:Villanova'!O56)</f>
        <v>51547843</v>
      </c>
      <c r="M56" s="1">
        <f>SUM('Alabama Life:Villanova'!P56)</f>
        <v>0</v>
      </c>
      <c r="O56" s="1">
        <f>SUM('Alabama Life:Villanova'!R56)</f>
        <v>19500000</v>
      </c>
      <c r="P56" s="1">
        <f>SUM('Alabama Life:Villanova'!S56)</f>
        <v>0</v>
      </c>
      <c r="R56" s="1">
        <f>SUM('Alabama Life:Villanova'!U56)</f>
        <v>0</v>
      </c>
      <c r="S56" s="9">
        <f>SUM('Alabama Life:Villanova'!V56)</f>
        <v>0</v>
      </c>
    </row>
    <row r="57" spans="1:19">
      <c r="A57" s="1" t="s">
        <v>78</v>
      </c>
      <c r="B57" s="6">
        <f>+'Pre-Liquidation Summary'!B57+'Open Summary'!B57+'Closed Summary'!B57+'Estate Closed Summary'!B57+'Released from Oversight Summary'!B57</f>
        <v>4297941.8565947767</v>
      </c>
      <c r="C57" s="1">
        <f>+'Pre-Liquidation Summary'!C57+'Open Summary'!C57+'Closed Summary'!C57+'Estate Closed Summary'!C57+'Released from Oversight Summary'!C57</f>
        <v>8138609.6879072422</v>
      </c>
      <c r="D57" s="1">
        <f>+'Pre-Liquidation Summary'!D57+'Open Summary'!D57+'Closed Summary'!D57+'Estate Closed Summary'!D57+'Released from Oversight Summary'!D57</f>
        <v>3273971.9777403707</v>
      </c>
      <c r="E57" s="1">
        <f>+'Pre-Liquidation Summary'!E57+'Open Summary'!E57+'Closed Summary'!E57+'Estate Closed Summary'!E57+'Released from Oversight Summary'!E57</f>
        <v>0</v>
      </c>
      <c r="F57" s="1">
        <f>+'Pre-Liquidation Summary'!F57+'Open Summary'!F57+'Closed Summary'!F57+'Estate Closed Summary'!F57+'Released from Oversight Summary'!F57</f>
        <v>0</v>
      </c>
      <c r="G57" s="9">
        <f>SUM(WY_FINANCIAL)</f>
        <v>15710523.52224239</v>
      </c>
      <c r="I57" s="6">
        <f>SUM('Alabama Life:Villanova'!L57)</f>
        <v>5147984</v>
      </c>
      <c r="J57" s="1">
        <f>SUM('Alabama Life:Villanova'!M57)</f>
        <v>1423081</v>
      </c>
      <c r="L57" s="1">
        <f>SUM('Alabama Life:Villanova'!O57)</f>
        <v>8578921</v>
      </c>
      <c r="M57" s="1">
        <f>SUM('Alabama Life:Villanova'!P57)</f>
        <v>2995415</v>
      </c>
      <c r="O57" s="1">
        <f>SUM('Alabama Life:Villanova'!R57)</f>
        <v>1010787</v>
      </c>
      <c r="P57" s="1">
        <f>SUM('Alabama Life:Villanova'!S57)</f>
        <v>781612</v>
      </c>
      <c r="R57" s="1">
        <f>SUM('Alabama Life:Villanova'!U57)</f>
        <v>0</v>
      </c>
      <c r="S57" s="9">
        <f>SUM('Alabama Life:Villanova'!V57)</f>
        <v>0</v>
      </c>
    </row>
    <row r="58" spans="1:19">
      <c r="A58" s="1" t="s">
        <v>79</v>
      </c>
      <c r="B58" s="6">
        <f>+'Pre-Liquidation Summary'!B58+'Open Summary'!B58+'Closed Summary'!B58+'Estate Closed Summary'!B58+'Released from Oversight Summary'!B58</f>
        <v>1</v>
      </c>
      <c r="C58" s="1">
        <f>+'Pre-Liquidation Summary'!C58+'Open Summary'!C58+'Closed Summary'!C58+'Estate Closed Summary'!C58+'Released from Oversight Summary'!C58</f>
        <v>0</v>
      </c>
      <c r="D58" s="1">
        <f>+'Pre-Liquidation Summary'!D58+'Open Summary'!D58+'Closed Summary'!D58+'Estate Closed Summary'!D58+'Released from Oversight Summary'!D58</f>
        <v>13543.189376251059</v>
      </c>
      <c r="E58" s="1">
        <f>+'Pre-Liquidation Summary'!E58+'Open Summary'!E58+'Closed Summary'!E58+'Estate Closed Summary'!E58+'Released from Oversight Summary'!E58</f>
        <v>0</v>
      </c>
      <c r="F58" s="1">
        <f>+'Pre-Liquidation Summary'!F58+'Open Summary'!F58+'Closed Summary'!F58+'Estate Closed Summary'!F58+'Released from Oversight Summary'!F58</f>
        <v>0</v>
      </c>
      <c r="G58" s="9">
        <f>SUM(OT_FINANCIAL)</f>
        <v>13544.189376251059</v>
      </c>
      <c r="I58" s="6">
        <f>SUM('Alabama Life:Villanova'!L58)</f>
        <v>0</v>
      </c>
      <c r="J58" s="1">
        <f>SUM('Alabama Life:Villanova'!M58)</f>
        <v>0</v>
      </c>
      <c r="L58" s="1">
        <f>SUM('Alabama Life:Villanova'!O58)</f>
        <v>0</v>
      </c>
      <c r="M58" s="1">
        <f>SUM('Alabama Life:Villanova'!P58)</f>
        <v>0</v>
      </c>
      <c r="O58" s="1">
        <f>SUM('Alabama Life:Villanova'!R58)</f>
        <v>0</v>
      </c>
      <c r="P58" s="1">
        <f>SUM('Alabama Life:Villanova'!S58)</f>
        <v>0</v>
      </c>
      <c r="R58" s="1">
        <f>SUM('Alabama Life:Villanova'!U58)</f>
        <v>0</v>
      </c>
      <c r="S58" s="9">
        <f>SUM('Alabama Life:Villanova'!V58)</f>
        <v>0</v>
      </c>
    </row>
    <row r="59" spans="1:19">
      <c r="B59" s="6"/>
      <c r="G59" s="9"/>
      <c r="I59" s="6"/>
      <c r="S59" s="9"/>
    </row>
    <row r="60" spans="1:19">
      <c r="A60" s="1" t="s">
        <v>8</v>
      </c>
      <c r="B60" s="6">
        <f>SUM(LIFE)</f>
        <v>2192135214.3774199</v>
      </c>
      <c r="C60" s="1">
        <f>SUM(ALLOCATED)</f>
        <v>4578819005.5334196</v>
      </c>
      <c r="D60" s="1">
        <f>SUM(HEALTH)</f>
        <v>3390847101.9367013</v>
      </c>
      <c r="E60" s="1">
        <f>SUM(UNALLOCATED)</f>
        <v>54353511.782339334</v>
      </c>
      <c r="F60" s="1">
        <f>SUM(LTC)</f>
        <v>14210295.868651351</v>
      </c>
      <c r="G60" s="9">
        <f>SUM(ALL_BLOCKS)</f>
        <v>10230365129.498531</v>
      </c>
      <c r="I60" s="6">
        <f>SUM(LIFE_CALLED)</f>
        <v>2980515108</v>
      </c>
      <c r="J60" s="1">
        <f>SUM(LIFE_REFUNDED)</f>
        <v>332098058.17595959</v>
      </c>
      <c r="L60" s="1">
        <f>SUM(ALLOC_CALLED)</f>
        <v>2894069538</v>
      </c>
      <c r="M60" s="1">
        <f>SUM(ALLOC_REFUNDED)</f>
        <v>336323793.18427837</v>
      </c>
      <c r="O60" s="1">
        <f>SUM(HEALTH_CALLED)</f>
        <v>3190022630.5</v>
      </c>
      <c r="P60" s="1">
        <f>SUM(HEALTH_REFUNDED)</f>
        <v>221292523.939762</v>
      </c>
      <c r="R60" s="1">
        <f>SUM(UNALLOC_CALLED)</f>
        <v>278013015</v>
      </c>
      <c r="S60" s="9">
        <f>SUM(UNALLOC_REFUNDED)</f>
        <v>121683438.81999999</v>
      </c>
    </row>
    <row r="61" spans="1:19">
      <c r="B61" s="8"/>
      <c r="C61" s="5"/>
      <c r="D61" s="5"/>
      <c r="E61" s="5"/>
      <c r="F61" s="5"/>
      <c r="G61" s="11"/>
      <c r="I61" s="8"/>
      <c r="J61" s="5"/>
      <c r="K61" s="5"/>
      <c r="L61" s="5"/>
      <c r="M61" s="5"/>
      <c r="N61" s="5"/>
      <c r="O61" s="5"/>
      <c r="P61" s="5"/>
      <c r="Q61" s="5"/>
      <c r="R61" s="5"/>
      <c r="S61" s="11"/>
    </row>
  </sheetData>
  <mergeCells count="7">
    <mergeCell ref="A1:G1"/>
    <mergeCell ref="B3:G3"/>
    <mergeCell ref="I3:S3"/>
    <mergeCell ref="I4:J4"/>
    <mergeCell ref="L4:M4"/>
    <mergeCell ref="O4:P4"/>
    <mergeCell ref="R4:S4"/>
  </mergeCells>
  <pageMargins left="0" right="0" top="0.5" bottom="0.5" header="0.3" footer="0.3"/>
  <pageSetup paperSize="5" scale="57"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2C2CE-4205-451B-86B2-F77BEB258DE1}">
  <dimension ref="A1:Z2113"/>
  <sheetViews>
    <sheetView zoomScale="80" zoomScaleNormal="80" workbookViewId="0">
      <selection sqref="A1:L1"/>
    </sheetView>
  </sheetViews>
  <sheetFormatPr defaultColWidth="9.33203125" defaultRowHeight="14.4"/>
  <cols>
    <col min="1" max="1" width="17.109375" style="76" customWidth="1"/>
    <col min="2" max="2" width="14.88671875" style="51" customWidth="1"/>
    <col min="3" max="3" width="14.88671875" style="51" hidden="1" customWidth="1"/>
    <col min="4" max="4" width="11.6640625" style="53" customWidth="1"/>
    <col min="5" max="8" width="21.44140625" style="76" customWidth="1"/>
    <col min="9" max="9" width="22.6640625" style="76" bestFit="1" customWidth="1"/>
    <col min="10" max="10" width="21.44140625" style="54" hidden="1" customWidth="1"/>
    <col min="11" max="11" width="21.44140625" style="106" hidden="1" customWidth="1"/>
    <col min="12" max="12" width="21.44140625" style="76" customWidth="1"/>
    <col min="13" max="13" width="84.5546875" bestFit="1" customWidth="1"/>
    <col min="14" max="14" width="3.109375" customWidth="1"/>
    <col min="15" max="15" width="18.88671875" style="34" customWidth="1"/>
    <col min="16" max="17" width="18.88671875" style="35" hidden="1" customWidth="1"/>
    <col min="18" max="18" width="3.109375" hidden="1" customWidth="1"/>
    <col min="19" max="19" width="18.88671875" style="36" hidden="1" customWidth="1"/>
    <col min="20" max="20" width="5.6640625" style="36" hidden="1" customWidth="1"/>
    <col min="21" max="21" width="7.44140625" style="36" hidden="1" customWidth="1"/>
    <col min="22" max="22" width="5.6640625" hidden="1" customWidth="1"/>
    <col min="23" max="26" width="18.88671875" style="37" hidden="1" customWidth="1"/>
    <col min="27" max="33" width="0" hidden="1" customWidth="1"/>
  </cols>
  <sheetData>
    <row r="1" spans="1:26" ht="15.6">
      <c r="A1" s="136" t="s">
        <v>706</v>
      </c>
      <c r="B1" s="136"/>
      <c r="C1" s="136"/>
      <c r="D1" s="136"/>
      <c r="E1" s="136"/>
      <c r="F1" s="136"/>
      <c r="G1" s="136"/>
      <c r="H1" s="136"/>
      <c r="I1" s="136"/>
      <c r="J1" s="136"/>
      <c r="K1" s="136"/>
      <c r="L1" s="136"/>
    </row>
    <row r="2" spans="1:26" ht="15.6">
      <c r="A2" s="136" t="s">
        <v>707</v>
      </c>
      <c r="B2" s="136"/>
      <c r="C2" s="136"/>
      <c r="D2" s="136"/>
      <c r="E2" s="136"/>
      <c r="F2" s="136"/>
      <c r="G2" s="136"/>
      <c r="H2" s="136"/>
      <c r="I2" s="136"/>
      <c r="J2" s="136"/>
      <c r="K2" s="136"/>
      <c r="L2" s="136"/>
      <c r="O2" s="35"/>
    </row>
    <row r="3" spans="1:26">
      <c r="A3"/>
      <c r="B3" s="38"/>
      <c r="C3" s="38"/>
      <c r="D3" s="38"/>
      <c r="E3" s="39"/>
      <c r="F3" s="39"/>
      <c r="G3" s="39"/>
      <c r="H3" s="39" t="s">
        <v>708</v>
      </c>
      <c r="I3" s="40" t="s">
        <v>709</v>
      </c>
      <c r="J3" s="41" t="s">
        <v>710</v>
      </c>
      <c r="K3" s="40"/>
      <c r="L3" s="42" t="s">
        <v>708</v>
      </c>
      <c r="P3" s="137" t="s">
        <v>711</v>
      </c>
      <c r="Q3" s="137"/>
    </row>
    <row r="4" spans="1:26" s="38" customFormat="1">
      <c r="A4" s="42"/>
      <c r="B4" s="42" t="s">
        <v>712</v>
      </c>
      <c r="C4" s="42"/>
      <c r="D4" s="43"/>
      <c r="E4" s="42"/>
      <c r="F4" s="42" t="s">
        <v>696</v>
      </c>
      <c r="G4" s="42"/>
      <c r="H4" s="42" t="s">
        <v>697</v>
      </c>
      <c r="I4" s="42" t="s">
        <v>713</v>
      </c>
      <c r="J4" s="41" t="s">
        <v>697</v>
      </c>
      <c r="K4" s="42" t="s">
        <v>714</v>
      </c>
      <c r="L4" s="42" t="s">
        <v>708</v>
      </c>
      <c r="O4" s="44" t="s">
        <v>715</v>
      </c>
      <c r="P4" s="137"/>
      <c r="Q4" s="137"/>
      <c r="S4" s="40" t="s">
        <v>716</v>
      </c>
      <c r="T4" s="40"/>
      <c r="U4" s="40" t="s">
        <v>717</v>
      </c>
      <c r="W4" s="41" t="s">
        <v>718</v>
      </c>
      <c r="X4" s="34"/>
      <c r="Y4" s="34"/>
      <c r="Z4" s="34"/>
    </row>
    <row r="5" spans="1:26" s="38" customFormat="1" ht="15" thickBot="1">
      <c r="A5" s="45" t="s">
        <v>712</v>
      </c>
      <c r="B5" s="45" t="s">
        <v>719</v>
      </c>
      <c r="C5" s="45" t="s">
        <v>720</v>
      </c>
      <c r="D5" s="46" t="s">
        <v>721</v>
      </c>
      <c r="E5" s="45" t="s">
        <v>3</v>
      </c>
      <c r="F5" s="45" t="s">
        <v>698</v>
      </c>
      <c r="G5" s="45" t="s">
        <v>5</v>
      </c>
      <c r="H5" s="45" t="s">
        <v>698</v>
      </c>
      <c r="I5" s="45" t="s">
        <v>8</v>
      </c>
      <c r="J5" s="47" t="s">
        <v>698</v>
      </c>
      <c r="K5" s="45" t="s">
        <v>8</v>
      </c>
      <c r="L5" s="45" t="s">
        <v>722</v>
      </c>
      <c r="M5" s="45" t="s">
        <v>723</v>
      </c>
      <c r="N5" s="45"/>
      <c r="O5" s="48" t="s">
        <v>724</v>
      </c>
      <c r="P5" s="41" t="s">
        <v>725</v>
      </c>
      <c r="Q5" s="41" t="s">
        <v>726</v>
      </c>
      <c r="R5" s="42"/>
      <c r="S5" s="40" t="s">
        <v>708</v>
      </c>
      <c r="T5" s="40"/>
      <c r="U5" s="40" t="s">
        <v>727</v>
      </c>
      <c r="W5" s="49" t="s">
        <v>728</v>
      </c>
      <c r="X5" s="49" t="s">
        <v>696</v>
      </c>
      <c r="Y5" s="49" t="s">
        <v>729</v>
      </c>
      <c r="Z5" s="49" t="s">
        <v>697</v>
      </c>
    </row>
    <row r="6" spans="1:26">
      <c r="A6" s="50" t="s">
        <v>11</v>
      </c>
      <c r="B6" s="51" t="s">
        <v>208</v>
      </c>
      <c r="C6" s="52" t="s">
        <v>730</v>
      </c>
      <c r="D6" s="53">
        <v>1988</v>
      </c>
      <c r="E6" s="37">
        <v>970835828</v>
      </c>
      <c r="F6" s="37">
        <v>443818753</v>
      </c>
      <c r="G6" s="37">
        <v>755579803</v>
      </c>
      <c r="H6" s="54">
        <v>0</v>
      </c>
      <c r="I6" s="55">
        <f>SUM(E6:H6)</f>
        <v>2170234384</v>
      </c>
      <c r="J6" s="54">
        <v>-490001</v>
      </c>
      <c r="K6" s="56">
        <f>SUM(I6:J6)</f>
        <v>2169744383</v>
      </c>
      <c r="L6" s="37">
        <v>0</v>
      </c>
      <c r="O6" s="38" t="str">
        <f>IF([1]totrevprm!O7="","",[1]totrevprm!O7)</f>
        <v/>
      </c>
      <c r="Z6" s="57"/>
    </row>
    <row r="7" spans="1:26">
      <c r="A7" s="50" t="s">
        <v>11</v>
      </c>
      <c r="B7" s="51" t="s">
        <v>208</v>
      </c>
      <c r="C7" s="52" t="s">
        <v>731</v>
      </c>
      <c r="D7" s="53">
        <v>1989</v>
      </c>
      <c r="E7" s="37">
        <v>961872838</v>
      </c>
      <c r="F7" s="37">
        <v>408511068</v>
      </c>
      <c r="G7" s="37">
        <v>812933944</v>
      </c>
      <c r="H7" s="54">
        <v>0</v>
      </c>
      <c r="I7" s="55">
        <f t="shared" ref="I7:I41" si="0">SUM(E7:H7)</f>
        <v>2183317850</v>
      </c>
      <c r="J7" s="54">
        <v>-16148618</v>
      </c>
      <c r="K7" s="56">
        <f t="shared" ref="K7:K26" si="1">SUM(I7:J7)</f>
        <v>2167169232</v>
      </c>
      <c r="L7" s="37">
        <v>0</v>
      </c>
      <c r="O7" s="38" t="str">
        <f>IF([1]totrevprm!O8="","",[1]totrevprm!O8)</f>
        <v/>
      </c>
    </row>
    <row r="8" spans="1:26">
      <c r="A8" s="50" t="s">
        <v>11</v>
      </c>
      <c r="B8" s="51" t="s">
        <v>208</v>
      </c>
      <c r="C8" s="52" t="s">
        <v>731</v>
      </c>
      <c r="D8" s="53">
        <v>1990</v>
      </c>
      <c r="E8" s="37">
        <v>989979831</v>
      </c>
      <c r="F8" s="37">
        <v>452536894.07999998</v>
      </c>
      <c r="G8" s="37">
        <v>834467504</v>
      </c>
      <c r="H8" s="54">
        <v>0</v>
      </c>
      <c r="I8" s="55">
        <f t="shared" si="0"/>
        <v>2276984229.0799999</v>
      </c>
      <c r="J8" s="54">
        <v>-17497743</v>
      </c>
      <c r="K8" s="56">
        <f t="shared" si="1"/>
        <v>2259486486.0799999</v>
      </c>
      <c r="L8" s="37">
        <v>0</v>
      </c>
      <c r="O8" s="38" t="str">
        <f>IF([1]totrevprm!O9="","",[1]totrevprm!O9)</f>
        <v/>
      </c>
    </row>
    <row r="9" spans="1:26">
      <c r="A9" s="50" t="s">
        <v>11</v>
      </c>
      <c r="B9" s="51" t="s">
        <v>208</v>
      </c>
      <c r="C9" s="52" t="s">
        <v>731</v>
      </c>
      <c r="D9" s="53">
        <v>1991</v>
      </c>
      <c r="E9" s="37">
        <v>1051877423</v>
      </c>
      <c r="F9" s="37">
        <v>402815551</v>
      </c>
      <c r="G9" s="37">
        <v>839729815</v>
      </c>
      <c r="H9" s="54">
        <v>0</v>
      </c>
      <c r="I9" s="55">
        <f t="shared" si="0"/>
        <v>2294422789</v>
      </c>
      <c r="J9" s="54">
        <v>-597624</v>
      </c>
      <c r="K9" s="56">
        <f t="shared" si="1"/>
        <v>2293825165</v>
      </c>
      <c r="L9" s="37">
        <v>0</v>
      </c>
      <c r="O9" s="38" t="str">
        <f>IF([1]totrevprm!O10="","",[1]totrevprm!O10)</f>
        <v/>
      </c>
    </row>
    <row r="10" spans="1:26">
      <c r="A10" s="50" t="s">
        <v>11</v>
      </c>
      <c r="B10" s="51" t="s">
        <v>208</v>
      </c>
      <c r="C10" s="52" t="s">
        <v>731</v>
      </c>
      <c r="D10" s="53">
        <v>1992</v>
      </c>
      <c r="E10" s="37">
        <v>1106095824</v>
      </c>
      <c r="F10" s="37">
        <v>428907893.44</v>
      </c>
      <c r="G10" s="37">
        <v>829216722</v>
      </c>
      <c r="H10" s="54">
        <v>0</v>
      </c>
      <c r="I10" s="55">
        <f t="shared" si="0"/>
        <v>2364220439.4400001</v>
      </c>
      <c r="J10" s="54">
        <v>-370392</v>
      </c>
      <c r="K10" s="56">
        <f t="shared" si="1"/>
        <v>2363850047.4400001</v>
      </c>
      <c r="L10" s="37">
        <v>0</v>
      </c>
      <c r="O10" s="38" t="str">
        <f>IF([1]totrevprm!O11="","",[1]totrevprm!O11)</f>
        <v/>
      </c>
    </row>
    <row r="11" spans="1:26">
      <c r="A11" s="50" t="s">
        <v>11</v>
      </c>
      <c r="B11" s="51" t="s">
        <v>208</v>
      </c>
      <c r="C11" s="52" t="s">
        <v>731</v>
      </c>
      <c r="D11" s="53">
        <v>1993</v>
      </c>
      <c r="E11" s="37">
        <v>1161309120</v>
      </c>
      <c r="F11" s="37">
        <v>381576205</v>
      </c>
      <c r="G11" s="37">
        <v>841132013</v>
      </c>
      <c r="H11" s="54">
        <v>0</v>
      </c>
      <c r="I11" s="55">
        <f t="shared" si="0"/>
        <v>2384017338</v>
      </c>
      <c r="J11" s="54">
        <v>-174675</v>
      </c>
      <c r="K11" s="56">
        <f t="shared" si="1"/>
        <v>2383842663</v>
      </c>
      <c r="L11" s="37">
        <v>0</v>
      </c>
      <c r="O11" s="38" t="str">
        <f>IF([1]totrevprm!O12="","",[1]totrevprm!O12)</f>
        <v/>
      </c>
    </row>
    <row r="12" spans="1:26">
      <c r="A12" s="50" t="s">
        <v>11</v>
      </c>
      <c r="B12" s="51" t="s">
        <v>208</v>
      </c>
      <c r="C12" s="52" t="s">
        <v>731</v>
      </c>
      <c r="D12" s="53">
        <v>1994</v>
      </c>
      <c r="E12" s="37">
        <v>1263827052</v>
      </c>
      <c r="F12" s="37">
        <v>531556069</v>
      </c>
      <c r="G12" s="37">
        <v>845718962</v>
      </c>
      <c r="H12" s="54">
        <v>0</v>
      </c>
      <c r="I12" s="55">
        <f t="shared" si="0"/>
        <v>2641102083</v>
      </c>
      <c r="J12" s="54">
        <v>-290201352</v>
      </c>
      <c r="K12" s="56">
        <f t="shared" si="1"/>
        <v>2350900731</v>
      </c>
      <c r="L12" s="37">
        <v>0</v>
      </c>
      <c r="O12" s="38" t="str">
        <f>IF([1]totrevprm!O13="","",[1]totrevprm!O13)</f>
        <v/>
      </c>
    </row>
    <row r="13" spans="1:26">
      <c r="A13" s="50" t="s">
        <v>11</v>
      </c>
      <c r="B13" s="51" t="s">
        <v>208</v>
      </c>
      <c r="C13" s="52" t="s">
        <v>731</v>
      </c>
      <c r="D13" s="53">
        <v>1995</v>
      </c>
      <c r="E13" s="37">
        <v>1296860047</v>
      </c>
      <c r="F13" s="37">
        <v>548569570</v>
      </c>
      <c r="G13" s="37">
        <v>848012082</v>
      </c>
      <c r="H13" s="54">
        <v>0</v>
      </c>
      <c r="I13" s="55">
        <f t="shared" si="0"/>
        <v>2693441699</v>
      </c>
      <c r="J13" s="54">
        <v>-2420266</v>
      </c>
      <c r="K13" s="56">
        <f t="shared" si="1"/>
        <v>2691021433</v>
      </c>
      <c r="L13" s="37">
        <v>0</v>
      </c>
      <c r="O13" s="38" t="str">
        <f>IF([1]totrevprm!O14="","",[1]totrevprm!O14)</f>
        <v/>
      </c>
    </row>
    <row r="14" spans="1:26">
      <c r="A14" s="50" t="s">
        <v>11</v>
      </c>
      <c r="B14" s="51" t="s">
        <v>208</v>
      </c>
      <c r="C14" s="52" t="s">
        <v>731</v>
      </c>
      <c r="D14" s="53">
        <v>1996</v>
      </c>
      <c r="E14" s="37">
        <v>1277829767</v>
      </c>
      <c r="F14" s="37">
        <v>494741984</v>
      </c>
      <c r="G14" s="37">
        <v>828155819</v>
      </c>
      <c r="H14" s="54">
        <v>0</v>
      </c>
      <c r="I14" s="55">
        <f t="shared" si="0"/>
        <v>2600727570</v>
      </c>
      <c r="J14" s="54">
        <v>-6</v>
      </c>
      <c r="K14" s="56">
        <f t="shared" si="1"/>
        <v>2600727564</v>
      </c>
      <c r="L14" s="37">
        <v>0</v>
      </c>
      <c r="O14" s="38" t="str">
        <f>IF([1]totrevprm!O15="","",[1]totrevprm!O15)</f>
        <v/>
      </c>
    </row>
    <row r="15" spans="1:26">
      <c r="A15" s="50" t="s">
        <v>11</v>
      </c>
      <c r="B15" s="51" t="s">
        <v>208</v>
      </c>
      <c r="C15" s="52" t="s">
        <v>731</v>
      </c>
      <c r="D15" s="53">
        <v>1997</v>
      </c>
      <c r="E15" s="37">
        <v>1527568976</v>
      </c>
      <c r="F15" s="37">
        <v>584143645</v>
      </c>
      <c r="G15" s="37">
        <v>809928972</v>
      </c>
      <c r="H15" s="54">
        <v>0</v>
      </c>
      <c r="I15" s="55">
        <f t="shared" si="0"/>
        <v>2921641593</v>
      </c>
      <c r="J15" s="54">
        <v>-814523</v>
      </c>
      <c r="K15" s="56">
        <f t="shared" si="1"/>
        <v>2920827070</v>
      </c>
      <c r="L15" s="37">
        <v>0</v>
      </c>
      <c r="O15" s="38" t="str">
        <f>IF([1]totrevprm!O16="","",[1]totrevprm!O16)</f>
        <v/>
      </c>
    </row>
    <row r="16" spans="1:26">
      <c r="A16" s="50" t="s">
        <v>11</v>
      </c>
      <c r="B16" s="51" t="s">
        <v>208</v>
      </c>
      <c r="C16" s="52" t="s">
        <v>731</v>
      </c>
      <c r="D16" s="53">
        <v>1998</v>
      </c>
      <c r="E16" s="54">
        <v>1765228816</v>
      </c>
      <c r="F16" s="54">
        <v>656412928</v>
      </c>
      <c r="G16" s="54">
        <v>801838709</v>
      </c>
      <c r="H16" s="54">
        <v>0</v>
      </c>
      <c r="I16" s="55">
        <f t="shared" si="0"/>
        <v>3223480453</v>
      </c>
      <c r="J16" s="54">
        <v>-741950</v>
      </c>
      <c r="K16" s="56">
        <f t="shared" si="1"/>
        <v>3222738503</v>
      </c>
      <c r="L16" s="37">
        <v>0</v>
      </c>
      <c r="O16" s="38" t="str">
        <f>IF([1]totrevprm!O17="","",[1]totrevprm!O17)</f>
        <v/>
      </c>
    </row>
    <row r="17" spans="1:26">
      <c r="A17" s="50" t="s">
        <v>11</v>
      </c>
      <c r="B17" s="51" t="s">
        <v>208</v>
      </c>
      <c r="C17" s="52" t="s">
        <v>731</v>
      </c>
      <c r="D17" s="53">
        <v>1999</v>
      </c>
      <c r="E17" s="54">
        <v>1522162487</v>
      </c>
      <c r="F17" s="54">
        <v>970984676</v>
      </c>
      <c r="G17" s="54">
        <v>832518202</v>
      </c>
      <c r="H17" s="54">
        <v>0</v>
      </c>
      <c r="I17" s="55">
        <f t="shared" si="0"/>
        <v>3325665365</v>
      </c>
      <c r="J17" s="54">
        <v>-824</v>
      </c>
      <c r="K17" s="56">
        <f t="shared" si="1"/>
        <v>3325664541</v>
      </c>
      <c r="L17" s="37">
        <v>0</v>
      </c>
      <c r="O17" s="38" t="str">
        <f>IF([1]totrevprm!O18="","",[1]totrevprm!O18)</f>
        <v/>
      </c>
    </row>
    <row r="18" spans="1:26">
      <c r="A18" s="50" t="s">
        <v>11</v>
      </c>
      <c r="B18" s="51" t="s">
        <v>208</v>
      </c>
      <c r="C18" s="52" t="s">
        <v>731</v>
      </c>
      <c r="D18" s="53">
        <v>2000</v>
      </c>
      <c r="E18" s="54">
        <v>1495584985</v>
      </c>
      <c r="F18" s="54">
        <v>1100140248</v>
      </c>
      <c r="G18" s="54">
        <v>839904048</v>
      </c>
      <c r="H18" s="54">
        <v>0</v>
      </c>
      <c r="I18" s="55">
        <f t="shared" si="0"/>
        <v>3435629281</v>
      </c>
      <c r="J18" s="54">
        <v>-347401</v>
      </c>
      <c r="K18" s="56">
        <f t="shared" si="1"/>
        <v>3435281880</v>
      </c>
      <c r="L18" s="37">
        <v>0</v>
      </c>
      <c r="O18" s="38" t="str">
        <f>IF([1]totrevprm!O19="","",[1]totrevprm!O19)</f>
        <v/>
      </c>
      <c r="V18" s="38" t="s">
        <v>208</v>
      </c>
      <c r="W18" s="58">
        <v>3582862</v>
      </c>
      <c r="X18" s="58">
        <v>4926219</v>
      </c>
      <c r="Y18" s="58">
        <v>23605455</v>
      </c>
      <c r="Z18" s="58">
        <v>0</v>
      </c>
    </row>
    <row r="19" spans="1:26">
      <c r="A19" s="50" t="s">
        <v>11</v>
      </c>
      <c r="B19" s="51" t="s">
        <v>208</v>
      </c>
      <c r="C19" s="52" t="s">
        <v>731</v>
      </c>
      <c r="D19" s="53">
        <v>2001</v>
      </c>
      <c r="E19" s="54">
        <v>1437218805</v>
      </c>
      <c r="F19" s="54">
        <v>1353545717.5999899</v>
      </c>
      <c r="G19" s="54">
        <v>851034121</v>
      </c>
      <c r="H19" s="54">
        <v>0</v>
      </c>
      <c r="I19" s="55">
        <f t="shared" si="0"/>
        <v>3641798643.5999899</v>
      </c>
      <c r="J19" s="54">
        <v>-28771938</v>
      </c>
      <c r="K19" s="56">
        <f t="shared" si="1"/>
        <v>3613026705.5999899</v>
      </c>
      <c r="L19" s="37">
        <v>0</v>
      </c>
      <c r="O19" s="38" t="str">
        <f>IF([1]totrevprm!O20="","",[1]totrevprm!O20)</f>
        <v/>
      </c>
      <c r="V19" s="38"/>
      <c r="W19" s="58"/>
      <c r="X19" s="58"/>
      <c r="Y19" s="58"/>
      <c r="Z19" s="58"/>
    </row>
    <row r="20" spans="1:26">
      <c r="A20" s="50" t="s">
        <v>11</v>
      </c>
      <c r="B20" s="51" t="s">
        <v>208</v>
      </c>
      <c r="C20" s="52" t="s">
        <v>731</v>
      </c>
      <c r="D20" s="53">
        <v>2002</v>
      </c>
      <c r="E20" s="54">
        <v>1476872679</v>
      </c>
      <c r="F20" s="54">
        <v>1688525889</v>
      </c>
      <c r="G20" s="54">
        <v>869103587</v>
      </c>
      <c r="H20" s="54">
        <v>0</v>
      </c>
      <c r="I20" s="55">
        <f t="shared" si="0"/>
        <v>4034502155</v>
      </c>
      <c r="J20" s="54">
        <v>-22643</v>
      </c>
      <c r="K20" s="56">
        <f t="shared" si="1"/>
        <v>4034479512</v>
      </c>
      <c r="L20" s="37">
        <v>0</v>
      </c>
      <c r="O20" s="38" t="str">
        <f>IF([1]totrevprm!O21="","",[1]totrevprm!O21)</f>
        <v/>
      </c>
      <c r="V20" s="38"/>
      <c r="W20" s="58"/>
      <c r="X20" s="58"/>
      <c r="Y20" s="58"/>
      <c r="Z20" s="58"/>
    </row>
    <row r="21" spans="1:26">
      <c r="A21" s="50" t="s">
        <v>11</v>
      </c>
      <c r="B21" s="51" t="s">
        <v>208</v>
      </c>
      <c r="C21" s="52" t="s">
        <v>731</v>
      </c>
      <c r="D21" s="53">
        <v>2003</v>
      </c>
      <c r="E21" s="59">
        <v>1599611950</v>
      </c>
      <c r="F21" s="59">
        <v>1597500288</v>
      </c>
      <c r="G21" s="59">
        <v>950050960</v>
      </c>
      <c r="H21" s="54">
        <v>0</v>
      </c>
      <c r="I21" s="55">
        <f t="shared" si="0"/>
        <v>4147163198</v>
      </c>
      <c r="J21" s="54">
        <v>-3571</v>
      </c>
      <c r="K21" s="56">
        <f t="shared" si="1"/>
        <v>4147159627</v>
      </c>
      <c r="L21" s="37">
        <v>0</v>
      </c>
      <c r="O21" s="38" t="str">
        <f>IF([1]totrevprm!O22="","",[1]totrevprm!O22)</f>
        <v/>
      </c>
      <c r="V21" s="38"/>
      <c r="W21" s="58"/>
      <c r="X21" s="58"/>
      <c r="Y21" s="58"/>
      <c r="Z21" s="58"/>
    </row>
    <row r="22" spans="1:26">
      <c r="A22" s="50" t="s">
        <v>11</v>
      </c>
      <c r="B22" s="51" t="s">
        <v>208</v>
      </c>
      <c r="C22" s="52" t="s">
        <v>731</v>
      </c>
      <c r="D22" s="53">
        <v>2004</v>
      </c>
      <c r="E22" s="59">
        <v>1580545670</v>
      </c>
      <c r="F22" s="59">
        <v>1409043866</v>
      </c>
      <c r="G22" s="59">
        <v>1002804803</v>
      </c>
      <c r="H22" s="54">
        <v>0</v>
      </c>
      <c r="I22" s="55">
        <f t="shared" si="0"/>
        <v>3992394339</v>
      </c>
      <c r="J22" s="54">
        <v>-599126</v>
      </c>
      <c r="K22" s="56">
        <f t="shared" si="1"/>
        <v>3991795213</v>
      </c>
      <c r="L22" s="37">
        <v>0</v>
      </c>
      <c r="O22" s="38" t="str">
        <f>IF([1]totrevprm!O23="","",[1]totrevprm!O23)</f>
        <v/>
      </c>
      <c r="V22" s="38"/>
      <c r="W22" s="58"/>
      <c r="X22" s="58"/>
      <c r="Y22" s="58"/>
      <c r="Z22" s="58"/>
    </row>
    <row r="23" spans="1:26">
      <c r="A23" s="50" t="s">
        <v>11</v>
      </c>
      <c r="B23" s="51" t="s">
        <v>208</v>
      </c>
      <c r="C23" s="52"/>
      <c r="D23" s="53">
        <v>2005</v>
      </c>
      <c r="E23" s="59">
        <v>1611639721</v>
      </c>
      <c r="F23" s="59">
        <v>1323709890</v>
      </c>
      <c r="G23" s="59">
        <v>1052387230.46</v>
      </c>
      <c r="H23" s="54">
        <v>0</v>
      </c>
      <c r="I23" s="55">
        <f t="shared" si="0"/>
        <v>3987736841.46</v>
      </c>
      <c r="J23" s="54">
        <v>-2996</v>
      </c>
      <c r="K23" s="56">
        <f>SUM(I23:J23)</f>
        <v>3987733845.46</v>
      </c>
      <c r="L23" s="37">
        <v>0</v>
      </c>
      <c r="O23" s="38" t="str">
        <f>IF([1]totrevprm!O24="","",[1]totrevprm!O24)</f>
        <v/>
      </c>
      <c r="V23" s="38"/>
      <c r="W23" s="58"/>
      <c r="X23" s="58"/>
      <c r="Y23" s="58"/>
      <c r="Z23" s="58"/>
    </row>
    <row r="24" spans="1:26">
      <c r="A24" s="50" t="s">
        <v>11</v>
      </c>
      <c r="B24" s="51" t="s">
        <v>208</v>
      </c>
      <c r="C24" s="52"/>
      <c r="D24" s="53">
        <v>2006</v>
      </c>
      <c r="E24" s="37">
        <v>1705149763</v>
      </c>
      <c r="F24" s="37">
        <v>1528232544</v>
      </c>
      <c r="G24" s="37">
        <v>1239555578</v>
      </c>
      <c r="H24" s="37">
        <v>0</v>
      </c>
      <c r="I24" s="55">
        <f t="shared" si="0"/>
        <v>4472937885</v>
      </c>
      <c r="J24" s="54">
        <v>-1540737</v>
      </c>
      <c r="K24" s="56">
        <f t="shared" si="1"/>
        <v>4471397148</v>
      </c>
      <c r="L24" s="37">
        <v>0</v>
      </c>
      <c r="O24" s="38" t="str">
        <f>IF([1]totrevprm!O25="","",[1]totrevprm!O25)</f>
        <v/>
      </c>
      <c r="V24" s="38"/>
      <c r="W24" s="58"/>
      <c r="X24" s="58"/>
      <c r="Y24" s="58"/>
      <c r="Z24" s="58"/>
    </row>
    <row r="25" spans="1:26">
      <c r="A25" s="50" t="s">
        <v>11</v>
      </c>
      <c r="B25" s="51" t="s">
        <v>208</v>
      </c>
      <c r="C25" s="52"/>
      <c r="D25" s="53">
        <v>2007</v>
      </c>
      <c r="E25" s="37">
        <v>1716976644</v>
      </c>
      <c r="F25" s="37">
        <v>1490878108</v>
      </c>
      <c r="G25" s="37">
        <v>1386765456</v>
      </c>
      <c r="H25" s="37">
        <v>0</v>
      </c>
      <c r="I25" s="55">
        <f t="shared" si="0"/>
        <v>4594620208</v>
      </c>
      <c r="J25" s="54">
        <v>-6</v>
      </c>
      <c r="K25" s="56">
        <f t="shared" si="1"/>
        <v>4594620202</v>
      </c>
      <c r="L25" s="37">
        <v>0</v>
      </c>
      <c r="O25" s="38" t="str">
        <f>IF([1]totrevprm!O26="","",[1]totrevprm!O26)</f>
        <v/>
      </c>
      <c r="V25" s="38"/>
      <c r="W25" s="58"/>
      <c r="X25" s="58"/>
      <c r="Y25" s="58"/>
      <c r="Z25" s="58"/>
    </row>
    <row r="26" spans="1:26">
      <c r="A26" s="50" t="s">
        <v>11</v>
      </c>
      <c r="B26" s="51" t="s">
        <v>208</v>
      </c>
      <c r="C26" s="52"/>
      <c r="D26" s="53">
        <v>2008</v>
      </c>
      <c r="E26" s="37">
        <v>1721718796</v>
      </c>
      <c r="F26" s="37">
        <v>2068735254</v>
      </c>
      <c r="G26" s="37">
        <v>1392087604</v>
      </c>
      <c r="H26" s="37">
        <v>0</v>
      </c>
      <c r="I26" s="55">
        <f t="shared" si="0"/>
        <v>5182541654</v>
      </c>
      <c r="J26" s="54">
        <v>-4</v>
      </c>
      <c r="K26" s="56">
        <f t="shared" si="1"/>
        <v>5182541650</v>
      </c>
      <c r="L26" s="37">
        <v>0</v>
      </c>
      <c r="O26" s="38" t="str">
        <f>IF([1]totrevprm!O27="","",[1]totrevprm!O27)</f>
        <v/>
      </c>
      <c r="V26" s="38"/>
      <c r="W26" s="58"/>
      <c r="X26" s="58"/>
      <c r="Y26" s="58"/>
      <c r="Z26" s="58"/>
    </row>
    <row r="27" spans="1:26">
      <c r="A27" s="50" t="s">
        <v>11</v>
      </c>
      <c r="B27" s="51" t="s">
        <v>208</v>
      </c>
      <c r="C27" s="52"/>
      <c r="D27" s="53">
        <v>2009</v>
      </c>
      <c r="E27" s="37">
        <v>1801381577</v>
      </c>
      <c r="F27" s="37">
        <v>2071513165</v>
      </c>
      <c r="G27" s="37">
        <v>1416706082</v>
      </c>
      <c r="H27" s="37">
        <v>0</v>
      </c>
      <c r="I27" s="55">
        <f t="shared" si="0"/>
        <v>5289600824</v>
      </c>
      <c r="J27" s="54">
        <v>-668006</v>
      </c>
      <c r="K27" s="56">
        <f t="shared" ref="K27:K40" si="2">SUM(I27:J27)</f>
        <v>5288932818</v>
      </c>
      <c r="L27" s="37">
        <v>0</v>
      </c>
      <c r="O27" s="38" t="str">
        <f>IF([1]totrevprm!O28="","",[1]totrevprm!O28)</f>
        <v/>
      </c>
      <c r="V27" s="38"/>
      <c r="W27" s="58"/>
      <c r="X27" s="58"/>
      <c r="Y27" s="58"/>
      <c r="Z27" s="58"/>
    </row>
    <row r="28" spans="1:26">
      <c r="A28" s="50" t="s">
        <v>11</v>
      </c>
      <c r="B28" s="51" t="s">
        <v>208</v>
      </c>
      <c r="C28" s="52"/>
      <c r="D28" s="53">
        <v>2010</v>
      </c>
      <c r="E28" s="37">
        <v>1820141971</v>
      </c>
      <c r="F28" s="37">
        <v>1704196131</v>
      </c>
      <c r="G28" s="37">
        <v>1454644461</v>
      </c>
      <c r="H28" s="37">
        <v>0</v>
      </c>
      <c r="I28" s="55">
        <f t="shared" si="0"/>
        <v>4978982563</v>
      </c>
      <c r="J28" s="54">
        <v>-2939</v>
      </c>
      <c r="K28" s="56">
        <f t="shared" si="2"/>
        <v>4978979624</v>
      </c>
      <c r="L28" s="37">
        <v>0</v>
      </c>
      <c r="O28" s="38" t="str">
        <f>IF([1]totrevprm!O29="","",[1]totrevprm!O29)</f>
        <v/>
      </c>
      <c r="V28" s="38"/>
      <c r="W28" s="58"/>
      <c r="X28" s="58"/>
      <c r="Y28" s="58"/>
      <c r="Z28" s="58"/>
    </row>
    <row r="29" spans="1:26">
      <c r="A29" s="50" t="s">
        <v>11</v>
      </c>
      <c r="B29" s="51" t="s">
        <v>208</v>
      </c>
      <c r="C29" s="52"/>
      <c r="D29" s="53">
        <v>2011</v>
      </c>
      <c r="E29" s="37">
        <v>1947668716</v>
      </c>
      <c r="F29" s="37">
        <v>1673224938</v>
      </c>
      <c r="G29" s="37">
        <v>1462025445.96</v>
      </c>
      <c r="H29" s="37">
        <v>0</v>
      </c>
      <c r="I29" s="55">
        <f t="shared" si="0"/>
        <v>5082919099.96</v>
      </c>
      <c r="J29" s="54">
        <v>-967421</v>
      </c>
      <c r="K29" s="56">
        <f t="shared" si="2"/>
        <v>5081951678.96</v>
      </c>
      <c r="L29" s="37">
        <v>0</v>
      </c>
      <c r="O29" s="38" t="str">
        <f>IF([1]totrevprm!O30="","",[1]totrevprm!O30)</f>
        <v/>
      </c>
      <c r="V29" s="38"/>
      <c r="W29" s="58"/>
      <c r="X29" s="58"/>
      <c r="Y29" s="58"/>
      <c r="Z29" s="58"/>
    </row>
    <row r="30" spans="1:26">
      <c r="A30" s="50" t="s">
        <v>11</v>
      </c>
      <c r="B30" s="51" t="s">
        <v>208</v>
      </c>
      <c r="C30" s="52"/>
      <c r="D30" s="53">
        <v>2012</v>
      </c>
      <c r="E30" s="37">
        <v>2024787258</v>
      </c>
      <c r="F30" s="37">
        <v>1711584871</v>
      </c>
      <c r="G30" s="37">
        <v>1447719607</v>
      </c>
      <c r="H30" s="37">
        <v>0</v>
      </c>
      <c r="I30" s="55">
        <f t="shared" si="0"/>
        <v>5184091736</v>
      </c>
      <c r="J30" s="54">
        <v>-1349638</v>
      </c>
      <c r="K30" s="56">
        <f t="shared" si="2"/>
        <v>5182742098</v>
      </c>
      <c r="L30" s="37">
        <v>0</v>
      </c>
      <c r="O30" s="38" t="str">
        <f>IF([1]totrevprm!O31="","",[1]totrevprm!O31)</f>
        <v/>
      </c>
      <c r="V30" s="38"/>
      <c r="W30" s="58"/>
      <c r="X30" s="58"/>
      <c r="Y30" s="58"/>
      <c r="Z30" s="58"/>
    </row>
    <row r="31" spans="1:26">
      <c r="A31" s="50" t="s">
        <v>11</v>
      </c>
      <c r="B31" s="51" t="s">
        <v>208</v>
      </c>
      <c r="C31" s="52"/>
      <c r="D31" s="53">
        <v>2013</v>
      </c>
      <c r="E31" s="37">
        <v>2048341878</v>
      </c>
      <c r="F31" s="37">
        <v>1698846231</v>
      </c>
      <c r="G31" s="37">
        <v>1359398387</v>
      </c>
      <c r="H31" s="37">
        <v>0</v>
      </c>
      <c r="I31" s="55">
        <f t="shared" si="0"/>
        <v>5106586496</v>
      </c>
      <c r="J31" s="54">
        <v>-1</v>
      </c>
      <c r="K31" s="56">
        <f t="shared" si="2"/>
        <v>5106586495</v>
      </c>
      <c r="L31" s="37">
        <v>0</v>
      </c>
      <c r="O31" s="38" t="str">
        <f>IF([1]totrevprm!O32="","",[1]totrevprm!O32)</f>
        <v/>
      </c>
      <c r="V31" s="38"/>
      <c r="W31" s="58"/>
      <c r="X31" s="58"/>
      <c r="Y31" s="58"/>
      <c r="Z31" s="58"/>
    </row>
    <row r="32" spans="1:26">
      <c r="A32" s="50" t="s">
        <v>11</v>
      </c>
      <c r="B32" s="51" t="s">
        <v>208</v>
      </c>
      <c r="C32" s="52"/>
      <c r="D32" s="53">
        <v>2014</v>
      </c>
      <c r="E32" s="37">
        <v>2271980928</v>
      </c>
      <c r="F32" s="37">
        <v>1781087625</v>
      </c>
      <c r="G32" s="37">
        <v>1421537577.53</v>
      </c>
      <c r="H32" s="37">
        <v>0</v>
      </c>
      <c r="I32" s="55">
        <f t="shared" si="0"/>
        <v>5474606130.5299997</v>
      </c>
      <c r="J32" s="54">
        <v>-79813</v>
      </c>
      <c r="K32" s="56">
        <f t="shared" si="2"/>
        <v>5474526317.5299997</v>
      </c>
      <c r="L32" s="37">
        <v>0</v>
      </c>
      <c r="O32" s="38" t="str">
        <f>IF([1]totrevprm!O33="","",[1]totrevprm!O33)</f>
        <v/>
      </c>
      <c r="V32" s="38"/>
      <c r="W32" s="58"/>
      <c r="X32" s="58"/>
      <c r="Y32" s="58"/>
      <c r="Z32" s="58"/>
    </row>
    <row r="33" spans="1:26">
      <c r="A33" s="50" t="s">
        <v>11</v>
      </c>
      <c r="B33" s="51" t="s">
        <v>208</v>
      </c>
      <c r="C33" s="52"/>
      <c r="D33" s="53">
        <v>2015</v>
      </c>
      <c r="E33" s="37">
        <v>2092459147</v>
      </c>
      <c r="F33" s="37">
        <v>2209753048</v>
      </c>
      <c r="G33" s="37">
        <v>1436399669</v>
      </c>
      <c r="H33" s="37">
        <v>0</v>
      </c>
      <c r="I33" s="55">
        <f t="shared" si="0"/>
        <v>5738611864</v>
      </c>
      <c r="J33" s="54">
        <v>-1943</v>
      </c>
      <c r="K33" s="56">
        <f t="shared" si="2"/>
        <v>5738609921</v>
      </c>
      <c r="L33" s="37">
        <v>0</v>
      </c>
      <c r="O33" s="38" t="str">
        <f>IF([1]totrevprm!O34="","",[1]totrevprm!O34)</f>
        <v/>
      </c>
      <c r="P33" s="35">
        <v>326984294.34544617</v>
      </c>
      <c r="Q33" s="35">
        <v>116649576.34</v>
      </c>
      <c r="V33" s="38"/>
      <c r="W33" s="58"/>
      <c r="X33" s="58"/>
      <c r="Y33" s="58"/>
      <c r="Z33" s="58"/>
    </row>
    <row r="34" spans="1:26">
      <c r="A34" s="50" t="s">
        <v>11</v>
      </c>
      <c r="B34" s="51" t="s">
        <v>208</v>
      </c>
      <c r="C34" s="52"/>
      <c r="D34" s="53">
        <v>2016</v>
      </c>
      <c r="E34" s="37">
        <v>2262705895</v>
      </c>
      <c r="F34" s="37">
        <v>2350627626</v>
      </c>
      <c r="G34" s="37">
        <v>1487172706</v>
      </c>
      <c r="H34" s="37">
        <v>0</v>
      </c>
      <c r="I34" s="55">
        <f t="shared" si="0"/>
        <v>6100506227</v>
      </c>
      <c r="J34" s="54">
        <v>-1444</v>
      </c>
      <c r="K34" s="56">
        <f t="shared" si="2"/>
        <v>6100504783</v>
      </c>
      <c r="L34" s="37">
        <v>0</v>
      </c>
      <c r="O34" s="38" t="str">
        <f>IF([1]totrevprm!O35="","",[1]totrevprm!O35)</f>
        <v/>
      </c>
      <c r="P34" s="35">
        <v>339786197.51762259</v>
      </c>
      <c r="Q34" s="35">
        <v>115059127.31</v>
      </c>
      <c r="V34" s="38"/>
      <c r="W34" s="58"/>
      <c r="X34" s="58"/>
      <c r="Y34" s="58"/>
      <c r="Z34" s="58"/>
    </row>
    <row r="35" spans="1:26">
      <c r="A35" s="50" t="str">
        <f t="shared" ref="A35:B41" si="3">A34</f>
        <v>Alabama</v>
      </c>
      <c r="B35" s="51" t="str">
        <f t="shared" si="3"/>
        <v>AL</v>
      </c>
      <c r="C35" s="52"/>
      <c r="D35" s="53">
        <f>D34+1</f>
        <v>2017</v>
      </c>
      <c r="E35" s="37">
        <v>2212137078</v>
      </c>
      <c r="F35" s="37">
        <v>2274028522</v>
      </c>
      <c r="G35" s="37">
        <v>1574392248.71</v>
      </c>
      <c r="H35" s="37">
        <v>0</v>
      </c>
      <c r="I35" s="55">
        <f t="shared" si="0"/>
        <v>6060557848.71</v>
      </c>
      <c r="J35" s="54">
        <v>-16955</v>
      </c>
      <c r="K35" s="56">
        <f t="shared" si="2"/>
        <v>6060540893.71</v>
      </c>
      <c r="L35" s="37">
        <v>0</v>
      </c>
      <c r="O35" s="38" t="str">
        <f>IF([1]totrevprm!O36="","",[1]totrevprm!O36)</f>
        <v/>
      </c>
      <c r="P35" s="35">
        <v>352402856.94659871</v>
      </c>
      <c r="Q35" s="35">
        <v>113233013.65913387</v>
      </c>
      <c r="V35" s="38"/>
      <c r="W35" s="58"/>
      <c r="X35" s="58"/>
      <c r="Y35" s="58"/>
      <c r="Z35" s="58"/>
    </row>
    <row r="36" spans="1:26">
      <c r="A36" s="50" t="str">
        <f t="shared" si="3"/>
        <v>Alabama</v>
      </c>
      <c r="B36" s="51" t="str">
        <f t="shared" si="3"/>
        <v>AL</v>
      </c>
      <c r="C36" s="52"/>
      <c r="D36" s="53">
        <v>2018</v>
      </c>
      <c r="E36" s="37">
        <v>2228234861</v>
      </c>
      <c r="F36" s="37">
        <v>2589422020</v>
      </c>
      <c r="G36" s="37">
        <v>1659171749.8</v>
      </c>
      <c r="H36" s="37">
        <v>0</v>
      </c>
      <c r="I36" s="55">
        <f t="shared" si="0"/>
        <v>6476828630.8000002</v>
      </c>
      <c r="J36" s="54">
        <v>-1443</v>
      </c>
      <c r="K36" s="56">
        <f t="shared" si="2"/>
        <v>6476827187.8000002</v>
      </c>
      <c r="L36" s="60">
        <v>0</v>
      </c>
      <c r="O36" s="38" t="str">
        <f>IF([1]totrevprm!O37="","",[1]totrevprm!O37)</f>
        <v/>
      </c>
      <c r="P36" s="35">
        <v>370421645.47266078</v>
      </c>
      <c r="Q36" s="35">
        <v>108522594.36137827</v>
      </c>
      <c r="V36" s="38"/>
      <c r="W36" s="58"/>
      <c r="X36" s="58"/>
      <c r="Y36" s="58"/>
      <c r="Z36" s="58"/>
    </row>
    <row r="37" spans="1:26">
      <c r="A37" s="50" t="str">
        <f t="shared" si="3"/>
        <v>Alabama</v>
      </c>
      <c r="B37" s="51" t="str">
        <f t="shared" si="3"/>
        <v>AL</v>
      </c>
      <c r="C37" s="52"/>
      <c r="D37" s="53">
        <v>2019</v>
      </c>
      <c r="E37" s="37">
        <v>2345209739</v>
      </c>
      <c r="F37" s="37">
        <v>2683505286</v>
      </c>
      <c r="G37" s="37">
        <v>1777335103.47</v>
      </c>
      <c r="H37" s="37">
        <v>0</v>
      </c>
      <c r="I37" s="55">
        <f t="shared" si="0"/>
        <v>6806050128.4700003</v>
      </c>
      <c r="J37" s="54">
        <v>-7232207</v>
      </c>
      <c r="K37" s="56">
        <f t="shared" si="2"/>
        <v>6798817921.4700003</v>
      </c>
      <c r="L37" s="60">
        <v>0</v>
      </c>
      <c r="O37" s="38" t="str">
        <f>IF([1]totrevprm!O38="","",[1]totrevprm!O38)</f>
        <v/>
      </c>
      <c r="P37" s="35">
        <v>390350050.41277939</v>
      </c>
      <c r="Q37" s="35">
        <v>114496381.32397121</v>
      </c>
      <c r="V37" s="38"/>
      <c r="W37" s="58"/>
      <c r="X37" s="58"/>
      <c r="Y37" s="58"/>
      <c r="Z37" s="58"/>
    </row>
    <row r="38" spans="1:26">
      <c r="A38" s="50" t="str">
        <f t="shared" si="3"/>
        <v>Alabama</v>
      </c>
      <c r="B38" s="51" t="str">
        <f t="shared" si="3"/>
        <v>AL</v>
      </c>
      <c r="C38" s="52"/>
      <c r="D38" s="53">
        <v>2020</v>
      </c>
      <c r="E38" s="37">
        <v>2622535841</v>
      </c>
      <c r="F38" s="37">
        <v>2675914410</v>
      </c>
      <c r="G38" s="37">
        <v>1719203126</v>
      </c>
      <c r="H38" s="37">
        <v>0</v>
      </c>
      <c r="I38" s="55">
        <f t="shared" si="0"/>
        <v>7017653377</v>
      </c>
      <c r="J38" s="54">
        <v>-1202</v>
      </c>
      <c r="K38" s="56">
        <f t="shared" si="2"/>
        <v>7017652175</v>
      </c>
      <c r="L38" s="60">
        <v>0</v>
      </c>
      <c r="O38" s="38" t="str">
        <f>IF([1]totrevprm!O39="","",[1]totrevprm!O39)</f>
        <v/>
      </c>
      <c r="P38" s="35">
        <v>402253728</v>
      </c>
      <c r="Q38" s="35">
        <v>110121587</v>
      </c>
      <c r="V38" s="38"/>
      <c r="W38" s="58"/>
      <c r="X38" s="58"/>
      <c r="Y38" s="58"/>
      <c r="Z38" s="58"/>
    </row>
    <row r="39" spans="1:26">
      <c r="A39" s="50" t="str">
        <f t="shared" si="3"/>
        <v>Alabama</v>
      </c>
      <c r="B39" s="51" t="str">
        <f t="shared" si="3"/>
        <v>AL</v>
      </c>
      <c r="C39" s="52"/>
      <c r="D39" s="53">
        <v>2021</v>
      </c>
      <c r="E39" s="37">
        <v>2523837878</v>
      </c>
      <c r="F39" s="37">
        <v>3227287111</v>
      </c>
      <c r="G39" s="37">
        <v>1778583156.49</v>
      </c>
      <c r="H39" s="37">
        <v>0</v>
      </c>
      <c r="I39" s="55">
        <f t="shared" si="0"/>
        <v>7529708145.4899998</v>
      </c>
      <c r="J39" s="54">
        <v>-3</v>
      </c>
      <c r="K39" s="56">
        <f t="shared" si="2"/>
        <v>7529708142.4899998</v>
      </c>
      <c r="L39" s="60">
        <v>0</v>
      </c>
      <c r="O39" s="38"/>
      <c r="P39" s="35">
        <v>384757222.03999996</v>
      </c>
      <c r="Q39" s="35">
        <v>123478808</v>
      </c>
      <c r="V39" s="38"/>
      <c r="W39" s="58"/>
      <c r="X39" s="58"/>
      <c r="Y39" s="58"/>
      <c r="Z39" s="58"/>
    </row>
    <row r="40" spans="1:26">
      <c r="A40" s="50" t="str">
        <f t="shared" si="3"/>
        <v>Alabama</v>
      </c>
      <c r="B40" s="51" t="str">
        <f t="shared" si="3"/>
        <v>AL</v>
      </c>
      <c r="C40" s="52"/>
      <c r="D40" s="53">
        <v>2022</v>
      </c>
      <c r="E40" s="37">
        <v>2596669545</v>
      </c>
      <c r="F40" s="37">
        <v>4009174625</v>
      </c>
      <c r="G40" s="37">
        <v>1918065900</v>
      </c>
      <c r="H40" s="37">
        <v>0</v>
      </c>
      <c r="I40" s="55">
        <f t="shared" si="0"/>
        <v>8523910070</v>
      </c>
      <c r="J40" s="54">
        <v>-5</v>
      </c>
      <c r="K40" s="56">
        <f t="shared" si="2"/>
        <v>8523910065</v>
      </c>
      <c r="L40" s="60">
        <v>0</v>
      </c>
      <c r="O40" s="38"/>
      <c r="P40" s="60">
        <v>395769042</v>
      </c>
      <c r="Q40" s="60">
        <v>116287990</v>
      </c>
      <c r="V40" s="38"/>
      <c r="W40" s="58"/>
      <c r="X40" s="58"/>
      <c r="Y40" s="58"/>
      <c r="Z40" s="58"/>
    </row>
    <row r="41" spans="1:26">
      <c r="A41" s="50" t="str">
        <f t="shared" si="3"/>
        <v>Alabama</v>
      </c>
      <c r="B41" s="51" t="str">
        <f t="shared" si="3"/>
        <v>AL</v>
      </c>
      <c r="C41" s="52"/>
      <c r="D41" s="53">
        <v>2023</v>
      </c>
      <c r="E41" s="57">
        <v>2600769646</v>
      </c>
      <c r="F41" s="57">
        <v>4834717802.7617998</v>
      </c>
      <c r="G41" s="57">
        <v>2406913343.2262001</v>
      </c>
      <c r="H41" s="57">
        <v>0</v>
      </c>
      <c r="I41" s="61">
        <f t="shared" si="0"/>
        <v>9842400791.987999</v>
      </c>
      <c r="J41" s="62">
        <v>-138005</v>
      </c>
      <c r="K41" s="63">
        <f>SUM(I41:J41)</f>
        <v>9842262786.987999</v>
      </c>
      <c r="L41" s="62">
        <v>0</v>
      </c>
      <c r="O41" s="38"/>
      <c r="P41" s="62">
        <v>445477960.20999998</v>
      </c>
      <c r="Q41" s="62">
        <v>114154971</v>
      </c>
      <c r="V41" s="38"/>
      <c r="W41" s="58"/>
      <c r="X41" s="58"/>
      <c r="Y41" s="58"/>
      <c r="Z41" s="58"/>
    </row>
    <row r="42" spans="1:26">
      <c r="A42" s="50"/>
      <c r="B42" s="52"/>
      <c r="C42" s="52"/>
      <c r="D42" s="64"/>
      <c r="E42" s="54"/>
      <c r="F42" s="54"/>
      <c r="G42" s="54"/>
      <c r="H42" s="54"/>
      <c r="I42" s="37"/>
      <c r="K42" s="65"/>
      <c r="L42" s="37"/>
      <c r="O42" s="38" t="str">
        <f>IF([1]totrevprm!O43="","",[1]totrevprm!O43)</f>
        <v/>
      </c>
    </row>
    <row r="43" spans="1:26">
      <c r="A43" s="50" t="s">
        <v>12</v>
      </c>
      <c r="B43" s="51" t="s">
        <v>732</v>
      </c>
      <c r="C43" s="52" t="s">
        <v>733</v>
      </c>
      <c r="D43" s="53">
        <v>1988</v>
      </c>
      <c r="E43" s="54">
        <v>108194556</v>
      </c>
      <c r="F43" s="54">
        <v>146027211</v>
      </c>
      <c r="G43" s="54">
        <v>165500532</v>
      </c>
      <c r="H43" s="54">
        <v>70708094</v>
      </c>
      <c r="I43" s="55">
        <f>SUM(E43:H43)</f>
        <v>490430393</v>
      </c>
      <c r="J43" s="54">
        <v>0</v>
      </c>
      <c r="K43" s="56">
        <f>SUM(I43:J43)</f>
        <v>490430393</v>
      </c>
      <c r="L43" s="37">
        <v>0</v>
      </c>
      <c r="O43" s="38" t="str">
        <f>IF([1]totrevprm!O44="","",[1]totrevprm!O44)</f>
        <v/>
      </c>
    </row>
    <row r="44" spans="1:26">
      <c r="A44" s="50" t="s">
        <v>12</v>
      </c>
      <c r="B44" s="51" t="s">
        <v>732</v>
      </c>
      <c r="C44" s="52" t="s">
        <v>731</v>
      </c>
      <c r="D44" s="53">
        <v>1989</v>
      </c>
      <c r="E44" s="54">
        <v>98720606</v>
      </c>
      <c r="F44" s="54">
        <v>80620637</v>
      </c>
      <c r="G44" s="54">
        <v>199478149</v>
      </c>
      <c r="H44" s="54">
        <v>133807535</v>
      </c>
      <c r="I44" s="55">
        <f t="shared" ref="I44:I107" si="4">SUM(E44:H44)</f>
        <v>512626927</v>
      </c>
      <c r="J44" s="54">
        <v>0</v>
      </c>
      <c r="K44" s="56">
        <f t="shared" ref="K44:K52" si="5">SUM(I44:J44)</f>
        <v>512626927</v>
      </c>
      <c r="L44" s="37">
        <v>0</v>
      </c>
      <c r="O44" s="38" t="str">
        <f>IF([1]totrevprm!O45="","",[1]totrevprm!O45)</f>
        <v/>
      </c>
    </row>
    <row r="45" spans="1:26">
      <c r="A45" s="50" t="s">
        <v>12</v>
      </c>
      <c r="B45" s="51" t="s">
        <v>732</v>
      </c>
      <c r="C45" s="52" t="s">
        <v>731</v>
      </c>
      <c r="D45" s="53">
        <v>1990</v>
      </c>
      <c r="E45" s="54">
        <v>105521489</v>
      </c>
      <c r="F45" s="54">
        <v>82639779.120000005</v>
      </c>
      <c r="G45" s="54">
        <v>211313179</v>
      </c>
      <c r="H45" s="54">
        <v>58817866</v>
      </c>
      <c r="I45" s="55">
        <f t="shared" si="4"/>
        <v>458292313.12</v>
      </c>
      <c r="J45" s="54">
        <v>0</v>
      </c>
      <c r="K45" s="56">
        <f t="shared" si="5"/>
        <v>458292313.12</v>
      </c>
      <c r="L45" s="37">
        <v>0</v>
      </c>
      <c r="O45" s="38" t="str">
        <f>IF([1]totrevprm!O46="","",[1]totrevprm!O46)</f>
        <v/>
      </c>
    </row>
    <row r="46" spans="1:26">
      <c r="A46" s="50" t="s">
        <v>12</v>
      </c>
      <c r="B46" s="51" t="s">
        <v>732</v>
      </c>
      <c r="C46" s="52" t="s">
        <v>731</v>
      </c>
      <c r="D46" s="53">
        <v>1991</v>
      </c>
      <c r="E46" s="54">
        <v>117021644</v>
      </c>
      <c r="F46" s="54">
        <v>74559241</v>
      </c>
      <c r="G46" s="54">
        <v>242267271</v>
      </c>
      <c r="H46" s="54">
        <v>71511693</v>
      </c>
      <c r="I46" s="55">
        <f t="shared" si="4"/>
        <v>505359849</v>
      </c>
      <c r="J46" s="54">
        <v>0</v>
      </c>
      <c r="K46" s="56">
        <f t="shared" si="5"/>
        <v>505359849</v>
      </c>
      <c r="L46" s="37">
        <v>0</v>
      </c>
      <c r="O46" s="38" t="str">
        <f>IF([1]totrevprm!O47="","",[1]totrevprm!O47)</f>
        <v/>
      </c>
    </row>
    <row r="47" spans="1:26">
      <c r="A47" s="50" t="s">
        <v>12</v>
      </c>
      <c r="B47" s="51" t="s">
        <v>732</v>
      </c>
      <c r="C47" s="52" t="s">
        <v>731</v>
      </c>
      <c r="D47" s="53">
        <v>1992</v>
      </c>
      <c r="E47" s="54">
        <v>118894951</v>
      </c>
      <c r="F47" s="54">
        <v>63469976.880000003</v>
      </c>
      <c r="G47" s="54">
        <v>195289258</v>
      </c>
      <c r="H47" s="54">
        <v>65045346</v>
      </c>
      <c r="I47" s="55">
        <f t="shared" si="4"/>
        <v>442699531.88</v>
      </c>
      <c r="J47" s="54">
        <v>0</v>
      </c>
      <c r="K47" s="56">
        <f t="shared" si="5"/>
        <v>442699531.88</v>
      </c>
      <c r="L47" s="37">
        <v>0</v>
      </c>
      <c r="O47" s="38" t="str">
        <f>IF([1]totrevprm!O48="","",[1]totrevprm!O48)</f>
        <v/>
      </c>
    </row>
    <row r="48" spans="1:26">
      <c r="A48" s="50" t="s">
        <v>12</v>
      </c>
      <c r="B48" s="51" t="s">
        <v>732</v>
      </c>
      <c r="C48" s="52" t="s">
        <v>731</v>
      </c>
      <c r="D48" s="53">
        <v>1993</v>
      </c>
      <c r="E48" s="54">
        <v>124823759</v>
      </c>
      <c r="F48" s="54">
        <v>54607616</v>
      </c>
      <c r="G48" s="54">
        <v>242415660</v>
      </c>
      <c r="H48" s="54">
        <v>72723507</v>
      </c>
      <c r="I48" s="55">
        <f t="shared" si="4"/>
        <v>494570542</v>
      </c>
      <c r="J48" s="54">
        <v>0</v>
      </c>
      <c r="K48" s="56">
        <f t="shared" si="5"/>
        <v>494570542</v>
      </c>
      <c r="L48" s="37">
        <v>0</v>
      </c>
      <c r="M48" s="66"/>
      <c r="N48" s="66"/>
      <c r="O48" s="38" t="str">
        <f>IF([1]totrevprm!O49="","",[1]totrevprm!O49)</f>
        <v/>
      </c>
      <c r="R48" s="66"/>
    </row>
    <row r="49" spans="1:26">
      <c r="A49" s="50" t="s">
        <v>12</v>
      </c>
      <c r="B49" s="51" t="s">
        <v>732</v>
      </c>
      <c r="C49" s="52" t="s">
        <v>731</v>
      </c>
      <c r="D49" s="53">
        <v>1994</v>
      </c>
      <c r="E49" s="54">
        <v>132580495</v>
      </c>
      <c r="F49" s="54">
        <v>69155054</v>
      </c>
      <c r="G49" s="54">
        <v>259965547</v>
      </c>
      <c r="H49" s="54">
        <v>56724285</v>
      </c>
      <c r="I49" s="55">
        <f t="shared" si="4"/>
        <v>518425381</v>
      </c>
      <c r="J49" s="54">
        <v>0</v>
      </c>
      <c r="K49" s="56">
        <f t="shared" si="5"/>
        <v>518425381</v>
      </c>
      <c r="L49" s="37">
        <v>0</v>
      </c>
      <c r="O49" s="38" t="str">
        <f>IF([1]totrevprm!O50="","",[1]totrevprm!O50)</f>
        <v/>
      </c>
    </row>
    <row r="50" spans="1:26">
      <c r="A50" s="50" t="s">
        <v>12</v>
      </c>
      <c r="B50" s="51" t="s">
        <v>732</v>
      </c>
      <c r="C50" s="52" t="s">
        <v>731</v>
      </c>
      <c r="D50" s="53">
        <v>1995</v>
      </c>
      <c r="E50" s="54">
        <v>136692524</v>
      </c>
      <c r="F50" s="54">
        <v>71601082</v>
      </c>
      <c r="G50" s="54">
        <v>265469085</v>
      </c>
      <c r="H50" s="54">
        <v>49273564</v>
      </c>
      <c r="I50" s="55">
        <f t="shared" si="4"/>
        <v>523036255</v>
      </c>
      <c r="J50" s="54">
        <v>0</v>
      </c>
      <c r="K50" s="56">
        <f t="shared" si="5"/>
        <v>523036255</v>
      </c>
      <c r="L50" s="37">
        <v>0</v>
      </c>
      <c r="O50" s="38" t="str">
        <f>IF([1]totrevprm!O51="","",[1]totrevprm!O51)</f>
        <v/>
      </c>
    </row>
    <row r="51" spans="1:26">
      <c r="A51" s="50" t="s">
        <v>12</v>
      </c>
      <c r="B51" s="51" t="s">
        <v>732</v>
      </c>
      <c r="C51" s="52" t="s">
        <v>731</v>
      </c>
      <c r="D51" s="53">
        <v>1996</v>
      </c>
      <c r="E51" s="54">
        <v>124780376</v>
      </c>
      <c r="F51" s="54">
        <v>45704264</v>
      </c>
      <c r="G51" s="54">
        <v>270885227</v>
      </c>
      <c r="H51" s="54">
        <v>40384762</v>
      </c>
      <c r="I51" s="55">
        <f t="shared" si="4"/>
        <v>481754629</v>
      </c>
      <c r="J51" s="54">
        <v>0</v>
      </c>
      <c r="K51" s="56">
        <f t="shared" si="5"/>
        <v>481754629</v>
      </c>
      <c r="L51" s="37">
        <v>0</v>
      </c>
      <c r="O51" s="38" t="str">
        <f>IF([1]totrevprm!O52="","",[1]totrevprm!O52)</f>
        <v/>
      </c>
    </row>
    <row r="52" spans="1:26">
      <c r="A52" s="50" t="s">
        <v>12</v>
      </c>
      <c r="B52" s="51" t="s">
        <v>732</v>
      </c>
      <c r="C52" s="52" t="s">
        <v>731</v>
      </c>
      <c r="D52" s="53">
        <v>1997</v>
      </c>
      <c r="E52" s="54">
        <v>125738063</v>
      </c>
      <c r="F52" s="54">
        <v>66860564</v>
      </c>
      <c r="G52" s="54">
        <v>191985698</v>
      </c>
      <c r="H52" s="54">
        <v>61100032</v>
      </c>
      <c r="I52" s="55">
        <f t="shared" si="4"/>
        <v>445684357</v>
      </c>
      <c r="J52" s="54">
        <v>0</v>
      </c>
      <c r="K52" s="56">
        <f t="shared" si="5"/>
        <v>445684357</v>
      </c>
      <c r="L52" s="37">
        <v>0</v>
      </c>
      <c r="O52" s="38" t="str">
        <f>IF([1]totrevprm!O53="","",[1]totrevprm!O53)</f>
        <v/>
      </c>
    </row>
    <row r="53" spans="1:26">
      <c r="A53" s="50" t="s">
        <v>12</v>
      </c>
      <c r="B53" s="51" t="s">
        <v>732</v>
      </c>
      <c r="C53" s="52" t="s">
        <v>731</v>
      </c>
      <c r="D53" s="53">
        <v>1998</v>
      </c>
      <c r="E53" s="54">
        <v>123945958</v>
      </c>
      <c r="F53" s="54">
        <v>59588328</v>
      </c>
      <c r="G53" s="54">
        <v>132772524</v>
      </c>
      <c r="H53" s="54">
        <v>42355593</v>
      </c>
      <c r="I53" s="55">
        <f t="shared" si="4"/>
        <v>358662403</v>
      </c>
      <c r="J53" s="54">
        <v>0</v>
      </c>
      <c r="K53" s="56">
        <f t="shared" ref="K53:K78" si="6">SUM(I53:J53)</f>
        <v>358662403</v>
      </c>
      <c r="L53" s="37">
        <v>0</v>
      </c>
      <c r="O53" s="38" t="str">
        <f>IF([1]totrevprm!O54="","",[1]totrevprm!O54)</f>
        <v/>
      </c>
    </row>
    <row r="54" spans="1:26">
      <c r="A54" s="50" t="s">
        <v>12</v>
      </c>
      <c r="B54" s="51" t="s">
        <v>732</v>
      </c>
      <c r="C54" s="52" t="s">
        <v>731</v>
      </c>
      <c r="D54" s="53">
        <v>1999</v>
      </c>
      <c r="E54" s="54">
        <v>131820177</v>
      </c>
      <c r="F54" s="54">
        <v>83350395</v>
      </c>
      <c r="G54" s="54">
        <v>140227309</v>
      </c>
      <c r="H54" s="54">
        <v>42102959</v>
      </c>
      <c r="I54" s="55">
        <f t="shared" si="4"/>
        <v>397500840</v>
      </c>
      <c r="J54" s="54">
        <v>0</v>
      </c>
      <c r="K54" s="56">
        <f t="shared" si="6"/>
        <v>397500840</v>
      </c>
      <c r="L54" s="37">
        <v>0</v>
      </c>
      <c r="O54" s="38" t="str">
        <f>IF([1]totrevprm!O55="","",[1]totrevprm!O55)</f>
        <v/>
      </c>
    </row>
    <row r="55" spans="1:26">
      <c r="A55" s="50" t="s">
        <v>12</v>
      </c>
      <c r="B55" s="51" t="s">
        <v>732</v>
      </c>
      <c r="C55" s="52" t="s">
        <v>734</v>
      </c>
      <c r="D55" s="53">
        <v>2000</v>
      </c>
      <c r="E55" s="54">
        <v>141314368</v>
      </c>
      <c r="F55" s="54">
        <v>122751017</v>
      </c>
      <c r="G55" s="54">
        <v>158093390</v>
      </c>
      <c r="H55" s="54">
        <v>7989596</v>
      </c>
      <c r="I55" s="55">
        <f t="shared" si="4"/>
        <v>430148371</v>
      </c>
      <c r="J55" s="54">
        <v>0</v>
      </c>
      <c r="K55" s="56">
        <f t="shared" si="6"/>
        <v>430148371</v>
      </c>
      <c r="L55" s="37">
        <v>14908166</v>
      </c>
      <c r="M55" s="67" t="s">
        <v>735</v>
      </c>
      <c r="N55" t="s">
        <v>708</v>
      </c>
      <c r="O55" s="38" t="str">
        <f>IF([1]totrevprm!O56="","",[1]totrevprm!O56)</f>
        <v/>
      </c>
      <c r="V55" s="38" t="s">
        <v>732</v>
      </c>
      <c r="W55" s="58">
        <v>5983</v>
      </c>
      <c r="X55" s="58">
        <v>2000</v>
      </c>
      <c r="Y55" s="58">
        <v>370275</v>
      </c>
      <c r="Z55" s="58">
        <v>0</v>
      </c>
    </row>
    <row r="56" spans="1:26">
      <c r="A56" s="50" t="s">
        <v>12</v>
      </c>
      <c r="B56" s="51" t="s">
        <v>732</v>
      </c>
      <c r="C56" s="52" t="s">
        <v>731</v>
      </c>
      <c r="D56" s="53">
        <v>2001</v>
      </c>
      <c r="E56" s="54">
        <v>173597642</v>
      </c>
      <c r="F56" s="54">
        <v>116820390</v>
      </c>
      <c r="G56" s="54">
        <v>150122514</v>
      </c>
      <c r="H56" s="54">
        <v>41824400</v>
      </c>
      <c r="I56" s="55">
        <f t="shared" si="4"/>
        <v>482364946</v>
      </c>
      <c r="J56" s="54">
        <v>0</v>
      </c>
      <c r="K56" s="56">
        <f t="shared" si="6"/>
        <v>482364946</v>
      </c>
      <c r="L56" s="35">
        <v>5569661</v>
      </c>
      <c r="M56" s="67" t="s">
        <v>735</v>
      </c>
      <c r="O56" s="38" t="str">
        <f>IF([1]totrevprm!O57="","",[1]totrevprm!O57)</f>
        <v/>
      </c>
      <c r="V56" s="38"/>
      <c r="W56" s="58"/>
      <c r="X56" s="58"/>
      <c r="Y56" s="58"/>
      <c r="Z56" s="58"/>
    </row>
    <row r="57" spans="1:26">
      <c r="A57" s="50" t="s">
        <v>12</v>
      </c>
      <c r="B57" s="51" t="s">
        <v>732</v>
      </c>
      <c r="C57" s="52" t="s">
        <v>731</v>
      </c>
      <c r="D57" s="53">
        <v>2002</v>
      </c>
      <c r="E57" s="54">
        <v>193663196</v>
      </c>
      <c r="F57" s="54">
        <v>171296638</v>
      </c>
      <c r="G57" s="54">
        <v>168182313</v>
      </c>
      <c r="H57" s="54">
        <v>15547458</v>
      </c>
      <c r="I57" s="55">
        <f t="shared" si="4"/>
        <v>548689605</v>
      </c>
      <c r="J57" s="54">
        <v>0</v>
      </c>
      <c r="K57" s="56">
        <f t="shared" si="6"/>
        <v>548689605</v>
      </c>
      <c r="L57" s="35">
        <v>4906199</v>
      </c>
      <c r="M57" s="67" t="s">
        <v>735</v>
      </c>
      <c r="O57" s="38" t="str">
        <f>IF([1]totrevprm!O58="","",[1]totrevprm!O58)</f>
        <v/>
      </c>
      <c r="V57" s="38"/>
      <c r="W57" s="58"/>
      <c r="X57" s="58"/>
      <c r="Y57" s="58"/>
      <c r="Z57" s="58"/>
    </row>
    <row r="58" spans="1:26">
      <c r="A58" s="50" t="s">
        <v>12</v>
      </c>
      <c r="B58" s="51" t="s">
        <v>732</v>
      </c>
      <c r="C58" s="52" t="s">
        <v>731</v>
      </c>
      <c r="D58" s="53">
        <v>2003</v>
      </c>
      <c r="E58" s="59">
        <v>139954280</v>
      </c>
      <c r="F58" s="59">
        <v>153221020</v>
      </c>
      <c r="G58" s="59">
        <v>170635372</v>
      </c>
      <c r="H58" s="59">
        <v>16610763</v>
      </c>
      <c r="I58" s="55">
        <f t="shared" si="4"/>
        <v>480421435</v>
      </c>
      <c r="J58" s="54">
        <v>0</v>
      </c>
      <c r="K58" s="56">
        <f t="shared" si="6"/>
        <v>480421435</v>
      </c>
      <c r="L58" s="37">
        <v>3996650</v>
      </c>
      <c r="M58" s="67" t="s">
        <v>735</v>
      </c>
      <c r="O58" s="38" t="str">
        <f>IF([1]totrevprm!O59="","",[1]totrevprm!O59)</f>
        <v/>
      </c>
    </row>
    <row r="59" spans="1:26">
      <c r="A59" s="50" t="s">
        <v>12</v>
      </c>
      <c r="B59" s="51" t="s">
        <v>732</v>
      </c>
      <c r="C59" s="52" t="s">
        <v>731</v>
      </c>
      <c r="D59" s="53">
        <v>2004</v>
      </c>
      <c r="E59" s="59">
        <v>147386672</v>
      </c>
      <c r="F59" s="59">
        <v>144998873</v>
      </c>
      <c r="G59" s="59">
        <v>177280241</v>
      </c>
      <c r="H59" s="59">
        <v>4960972</v>
      </c>
      <c r="I59" s="55">
        <f t="shared" si="4"/>
        <v>474626758</v>
      </c>
      <c r="J59" s="54">
        <v>0</v>
      </c>
      <c r="K59" s="56">
        <f t="shared" si="6"/>
        <v>474626758</v>
      </c>
      <c r="L59" s="37">
        <v>3566905</v>
      </c>
      <c r="M59" s="67" t="s">
        <v>735</v>
      </c>
      <c r="O59" s="38" t="str">
        <f>IF([1]totrevprm!O60="","",[1]totrevprm!O60)</f>
        <v/>
      </c>
      <c r="T59" s="68"/>
    </row>
    <row r="60" spans="1:26">
      <c r="A60" s="50" t="s">
        <v>12</v>
      </c>
      <c r="B60" s="51" t="s">
        <v>732</v>
      </c>
      <c r="C60" s="52"/>
      <c r="D60" s="53">
        <v>2005</v>
      </c>
      <c r="E60" s="59">
        <v>145601854</v>
      </c>
      <c r="F60" s="59">
        <v>159009772</v>
      </c>
      <c r="G60" s="59">
        <v>190560149.28</v>
      </c>
      <c r="H60" s="59">
        <v>8843589</v>
      </c>
      <c r="I60" s="55">
        <f t="shared" si="4"/>
        <v>504015364.27999997</v>
      </c>
      <c r="J60" s="54">
        <v>0</v>
      </c>
      <c r="K60" s="56">
        <f t="shared" si="6"/>
        <v>504015364.27999997</v>
      </c>
      <c r="L60" s="37">
        <v>1852360</v>
      </c>
      <c r="M60" s="67" t="s">
        <v>735</v>
      </c>
      <c r="O60" s="38" t="str">
        <f>IF([1]totrevprm!O61="","",[1]totrevprm!O61)</f>
        <v/>
      </c>
      <c r="T60" s="68"/>
    </row>
    <row r="61" spans="1:26">
      <c r="A61" s="50" t="s">
        <v>12</v>
      </c>
      <c r="B61" s="51" t="s">
        <v>732</v>
      </c>
      <c r="C61" s="52"/>
      <c r="D61" s="53">
        <v>2006</v>
      </c>
      <c r="E61" s="37">
        <v>174475329</v>
      </c>
      <c r="F61" s="37">
        <v>184705486</v>
      </c>
      <c r="G61" s="37">
        <v>221790985</v>
      </c>
      <c r="H61" s="37">
        <v>9483144</v>
      </c>
      <c r="I61" s="55">
        <f t="shared" si="4"/>
        <v>590454944</v>
      </c>
      <c r="J61" s="54">
        <v>0</v>
      </c>
      <c r="K61" s="56">
        <f t="shared" si="6"/>
        <v>590454944</v>
      </c>
      <c r="L61" s="37">
        <v>1821829</v>
      </c>
      <c r="M61" s="67" t="s">
        <v>735</v>
      </c>
      <c r="O61" s="38" t="str">
        <f>IF([1]totrevprm!O62="","",[1]totrevprm!O62)</f>
        <v/>
      </c>
      <c r="T61" s="68"/>
    </row>
    <row r="62" spans="1:26">
      <c r="A62" s="50" t="s">
        <v>12</v>
      </c>
      <c r="B62" s="51" t="s">
        <v>732</v>
      </c>
      <c r="C62" s="52"/>
      <c r="D62" s="53">
        <v>2007</v>
      </c>
      <c r="E62" s="37">
        <v>180292423</v>
      </c>
      <c r="F62" s="37">
        <v>231031591</v>
      </c>
      <c r="G62" s="37">
        <v>233570214</v>
      </c>
      <c r="H62" s="37">
        <v>15048615</v>
      </c>
      <c r="I62" s="55">
        <f t="shared" si="4"/>
        <v>659942843</v>
      </c>
      <c r="J62" s="54">
        <v>0</v>
      </c>
      <c r="K62" s="56">
        <f t="shared" si="6"/>
        <v>659942843</v>
      </c>
      <c r="L62" s="37">
        <v>1147809</v>
      </c>
      <c r="M62" s="67" t="s">
        <v>735</v>
      </c>
      <c r="O62" s="38" t="str">
        <f>IF([1]totrevprm!O63="","",[1]totrevprm!O63)</f>
        <v/>
      </c>
      <c r="T62" s="68"/>
    </row>
    <row r="63" spans="1:26">
      <c r="A63" s="50" t="s">
        <v>12</v>
      </c>
      <c r="B63" s="51" t="s">
        <v>732</v>
      </c>
      <c r="C63" s="52"/>
      <c r="D63" s="53">
        <v>2008</v>
      </c>
      <c r="E63" s="37">
        <v>212486382</v>
      </c>
      <c r="F63" s="37">
        <v>213904174</v>
      </c>
      <c r="G63" s="37">
        <v>252373069</v>
      </c>
      <c r="H63" s="37">
        <v>5099315</v>
      </c>
      <c r="I63" s="55">
        <f t="shared" si="4"/>
        <v>683862940</v>
      </c>
      <c r="J63" s="54">
        <v>0</v>
      </c>
      <c r="K63" s="56">
        <f t="shared" si="6"/>
        <v>683862940</v>
      </c>
      <c r="L63" s="37">
        <v>371582</v>
      </c>
      <c r="M63" s="67" t="s">
        <v>735</v>
      </c>
      <c r="O63" s="38" t="str">
        <f>IF([1]totrevprm!O64="","",[1]totrevprm!O64)</f>
        <v/>
      </c>
      <c r="T63" s="68"/>
    </row>
    <row r="64" spans="1:26">
      <c r="A64" s="50" t="s">
        <v>12</v>
      </c>
      <c r="B64" s="51" t="s">
        <v>732</v>
      </c>
      <c r="C64" s="52"/>
      <c r="D64" s="53">
        <v>2009</v>
      </c>
      <c r="E64" s="37">
        <v>266442943</v>
      </c>
      <c r="F64" s="37">
        <v>228527036</v>
      </c>
      <c r="G64" s="37">
        <v>281548760</v>
      </c>
      <c r="H64" s="37">
        <v>12409371</v>
      </c>
      <c r="I64" s="55">
        <f t="shared" si="4"/>
        <v>788928110</v>
      </c>
      <c r="J64" s="54">
        <v>0</v>
      </c>
      <c r="K64" s="56">
        <f t="shared" si="6"/>
        <v>788928110</v>
      </c>
      <c r="L64" s="37">
        <v>748877</v>
      </c>
      <c r="M64" s="67" t="s">
        <v>735</v>
      </c>
      <c r="O64" s="38" t="str">
        <f>IF([1]totrevprm!O65="","",[1]totrevprm!O65)</f>
        <v/>
      </c>
      <c r="T64" s="68"/>
    </row>
    <row r="65" spans="1:26">
      <c r="A65" s="50" t="s">
        <v>12</v>
      </c>
      <c r="B65" s="51" t="s">
        <v>732</v>
      </c>
      <c r="C65" s="52"/>
      <c r="D65" s="53">
        <v>2010</v>
      </c>
      <c r="E65" s="37">
        <v>281673668</v>
      </c>
      <c r="F65" s="37">
        <v>220667006</v>
      </c>
      <c r="G65" s="37">
        <v>308685000</v>
      </c>
      <c r="H65" s="37">
        <v>4839573</v>
      </c>
      <c r="I65" s="55">
        <f t="shared" si="4"/>
        <v>815865247</v>
      </c>
      <c r="J65" s="54">
        <v>0</v>
      </c>
      <c r="K65" s="56">
        <f t="shared" si="6"/>
        <v>815865247</v>
      </c>
      <c r="L65" s="37">
        <v>1079945</v>
      </c>
      <c r="M65" s="67" t="s">
        <v>735</v>
      </c>
      <c r="O65" s="38" t="str">
        <f>IF([1]totrevprm!O66="","",[1]totrevprm!O66)</f>
        <v/>
      </c>
      <c r="T65" s="68"/>
    </row>
    <row r="66" spans="1:26">
      <c r="A66" s="50" t="s">
        <v>12</v>
      </c>
      <c r="B66" s="51" t="s">
        <v>732</v>
      </c>
      <c r="C66" s="52"/>
      <c r="D66" s="53">
        <v>2011</v>
      </c>
      <c r="E66" s="37">
        <v>276572479</v>
      </c>
      <c r="F66" s="37">
        <v>197547077</v>
      </c>
      <c r="G66" s="37">
        <v>317137286.25</v>
      </c>
      <c r="H66" s="37">
        <v>5858989</v>
      </c>
      <c r="I66" s="55">
        <f t="shared" si="4"/>
        <v>797115831.25</v>
      </c>
      <c r="J66" s="54">
        <v>0</v>
      </c>
      <c r="K66" s="56">
        <f t="shared" si="6"/>
        <v>797115831.25</v>
      </c>
      <c r="L66" s="37">
        <v>597037</v>
      </c>
      <c r="M66" s="67" t="s">
        <v>735</v>
      </c>
      <c r="O66" s="38" t="str">
        <f>IF([1]totrevprm!O67="","",[1]totrevprm!O67)</f>
        <v/>
      </c>
      <c r="T66" s="68"/>
    </row>
    <row r="67" spans="1:26">
      <c r="A67" s="50" t="s">
        <v>12</v>
      </c>
      <c r="B67" s="51" t="s">
        <v>732</v>
      </c>
      <c r="C67" s="52"/>
      <c r="D67" s="53">
        <v>2012</v>
      </c>
      <c r="E67" s="37">
        <v>321895443</v>
      </c>
      <c r="F67" s="37">
        <v>221068561</v>
      </c>
      <c r="G67" s="37">
        <v>319589038</v>
      </c>
      <c r="H67" s="37">
        <v>10197104</v>
      </c>
      <c r="I67" s="55">
        <f t="shared" si="4"/>
        <v>872750146</v>
      </c>
      <c r="J67" s="54">
        <v>0</v>
      </c>
      <c r="K67" s="56">
        <f t="shared" si="6"/>
        <v>872750146</v>
      </c>
      <c r="L67" s="37">
        <v>554767</v>
      </c>
      <c r="M67" s="67" t="s">
        <v>735</v>
      </c>
      <c r="O67" s="38" t="str">
        <f>IF([1]totrevprm!O68="","",[1]totrevprm!O68)</f>
        <v/>
      </c>
      <c r="T67" s="68"/>
    </row>
    <row r="68" spans="1:26">
      <c r="A68" s="50" t="s">
        <v>12</v>
      </c>
      <c r="B68" s="51" t="s">
        <v>732</v>
      </c>
      <c r="C68" s="52"/>
      <c r="D68" s="53">
        <v>2013</v>
      </c>
      <c r="E68" s="37">
        <v>311938125</v>
      </c>
      <c r="F68" s="37">
        <v>199744646</v>
      </c>
      <c r="G68" s="37">
        <v>341407395</v>
      </c>
      <c r="H68" s="37">
        <v>6001195</v>
      </c>
      <c r="I68" s="55">
        <f t="shared" si="4"/>
        <v>859091361</v>
      </c>
      <c r="J68" s="54">
        <v>0</v>
      </c>
      <c r="K68" s="56">
        <f t="shared" si="6"/>
        <v>859091361</v>
      </c>
      <c r="L68" s="37">
        <v>465874</v>
      </c>
      <c r="M68" s="67" t="s">
        <v>735</v>
      </c>
      <c r="O68" s="38" t="str">
        <f>IF([1]totrevprm!O69="","",[1]totrevprm!O69)</f>
        <v/>
      </c>
      <c r="T68" s="68"/>
    </row>
    <row r="69" spans="1:26">
      <c r="A69" s="50" t="s">
        <v>12</v>
      </c>
      <c r="B69" s="51" t="s">
        <v>732</v>
      </c>
      <c r="C69" s="52"/>
      <c r="D69" s="64">
        <v>2014</v>
      </c>
      <c r="E69" s="37">
        <v>265256702</v>
      </c>
      <c r="F69" s="37">
        <v>359672160</v>
      </c>
      <c r="G69" s="37">
        <v>351237705.40999997</v>
      </c>
      <c r="H69" s="37">
        <v>11868677</v>
      </c>
      <c r="I69" s="55">
        <f t="shared" si="4"/>
        <v>988035244.40999997</v>
      </c>
      <c r="J69" s="54">
        <v>0</v>
      </c>
      <c r="K69" s="56">
        <f t="shared" si="6"/>
        <v>988035244.40999997</v>
      </c>
      <c r="L69" s="37">
        <v>1313592</v>
      </c>
      <c r="M69" s="67" t="s">
        <v>735</v>
      </c>
      <c r="O69" s="38" t="str">
        <f>IF([1]totrevprm!O70="","",[1]totrevprm!O70)</f>
        <v/>
      </c>
      <c r="T69" s="68"/>
    </row>
    <row r="70" spans="1:26">
      <c r="A70" s="50" t="s">
        <v>12</v>
      </c>
      <c r="B70" s="51" t="s">
        <v>732</v>
      </c>
      <c r="C70" s="52"/>
      <c r="D70" s="64">
        <v>2015</v>
      </c>
      <c r="E70" s="37">
        <v>300021226</v>
      </c>
      <c r="F70" s="37">
        <v>251816717</v>
      </c>
      <c r="G70" s="37">
        <v>415069518</v>
      </c>
      <c r="H70" s="37">
        <v>8611397</v>
      </c>
      <c r="I70" s="55">
        <f t="shared" si="4"/>
        <v>975518858</v>
      </c>
      <c r="J70" s="54">
        <v>0</v>
      </c>
      <c r="K70" s="56">
        <f t="shared" si="6"/>
        <v>975518858</v>
      </c>
      <c r="L70" s="37">
        <v>665070</v>
      </c>
      <c r="M70" s="67" t="s">
        <v>735</v>
      </c>
      <c r="O70" s="38" t="str">
        <f>IF([1]totrevprm!O71="","",[1]totrevprm!O71)</f>
        <v/>
      </c>
      <c r="P70" s="35">
        <v>46117311.891522326</v>
      </c>
      <c r="Q70" s="35">
        <v>12260595</v>
      </c>
      <c r="T70" s="68"/>
    </row>
    <row r="71" spans="1:26">
      <c r="A71" s="50" t="s">
        <v>12</v>
      </c>
      <c r="B71" s="51" t="s">
        <v>732</v>
      </c>
      <c r="C71" s="52"/>
      <c r="D71" s="64">
        <v>2016</v>
      </c>
      <c r="E71" s="37">
        <v>320692929</v>
      </c>
      <c r="F71" s="37">
        <v>270147991</v>
      </c>
      <c r="G71" s="37">
        <v>419675904</v>
      </c>
      <c r="H71" s="37">
        <v>21228975</v>
      </c>
      <c r="I71" s="55">
        <f t="shared" si="4"/>
        <v>1031745799</v>
      </c>
      <c r="J71" s="54">
        <v>0</v>
      </c>
      <c r="K71" s="56">
        <f t="shared" si="6"/>
        <v>1031745799</v>
      </c>
      <c r="L71" s="37">
        <v>4712329</v>
      </c>
      <c r="M71" s="67" t="s">
        <v>735</v>
      </c>
      <c r="O71" s="38" t="str">
        <f>IF([1]totrevprm!O72="","",[1]totrevprm!O72)</f>
        <v/>
      </c>
      <c r="P71" s="35">
        <v>49088776.691736594</v>
      </c>
      <c r="Q71" s="35">
        <v>12934110</v>
      </c>
      <c r="T71" s="68"/>
    </row>
    <row r="72" spans="1:26">
      <c r="A72" s="50" t="s">
        <v>12</v>
      </c>
      <c r="B72" s="51" t="s">
        <v>732</v>
      </c>
      <c r="C72" s="52"/>
      <c r="D72" s="53">
        <f>D71+1</f>
        <v>2017</v>
      </c>
      <c r="E72" s="37">
        <v>332884468</v>
      </c>
      <c r="F72" s="37">
        <v>252055861</v>
      </c>
      <c r="G72" s="37">
        <v>288950143.43000001</v>
      </c>
      <c r="H72" s="37">
        <v>9567865</v>
      </c>
      <c r="I72" s="55">
        <f t="shared" si="4"/>
        <v>883458337.43000007</v>
      </c>
      <c r="J72" s="54">
        <v>0</v>
      </c>
      <c r="K72" s="56">
        <f t="shared" si="6"/>
        <v>883458337.43000007</v>
      </c>
      <c r="L72" s="60">
        <v>3969223</v>
      </c>
      <c r="M72" s="67" t="s">
        <v>735</v>
      </c>
      <c r="O72" s="38" t="str">
        <f>IF([1]totrevprm!O73="","",[1]totrevprm!O73)</f>
        <v/>
      </c>
      <c r="P72" s="35">
        <v>52065107.204487979</v>
      </c>
      <c r="Q72" s="35">
        <v>12842549.48</v>
      </c>
      <c r="T72" s="68"/>
      <c r="V72" s="38"/>
      <c r="W72" s="58"/>
      <c r="X72" s="58"/>
      <c r="Y72" s="58"/>
      <c r="Z72" s="58"/>
    </row>
    <row r="73" spans="1:26">
      <c r="A73" s="50" t="s">
        <v>12</v>
      </c>
      <c r="B73" s="51" t="s">
        <v>732</v>
      </c>
      <c r="C73" s="52"/>
      <c r="D73" s="53">
        <v>2018</v>
      </c>
      <c r="E73" s="37">
        <v>343805804</v>
      </c>
      <c r="F73" s="37">
        <v>331555935</v>
      </c>
      <c r="G73" s="37">
        <v>696340903.25999999</v>
      </c>
      <c r="H73" s="37">
        <v>9910816</v>
      </c>
      <c r="I73" s="55">
        <f t="shared" si="4"/>
        <v>1381613458.26</v>
      </c>
      <c r="J73" s="54">
        <v>0</v>
      </c>
      <c r="K73" s="56">
        <f t="shared" si="6"/>
        <v>1381613458.26</v>
      </c>
      <c r="L73" s="60">
        <v>6841126</v>
      </c>
      <c r="M73" s="69" t="s">
        <v>736</v>
      </c>
      <c r="N73" s="36"/>
      <c r="O73" s="38" t="str">
        <f>IF([1]totrevprm!O74="","",[1]totrevprm!O74)</f>
        <v>Yes</v>
      </c>
      <c r="P73" s="35">
        <v>63941992.635724299</v>
      </c>
      <c r="Q73" s="35">
        <v>12925127</v>
      </c>
      <c r="R73" s="36"/>
      <c r="T73" s="68"/>
      <c r="V73" s="38"/>
      <c r="W73" s="58"/>
      <c r="X73" s="58"/>
      <c r="Y73" s="58"/>
      <c r="Z73" s="58"/>
    </row>
    <row r="74" spans="1:26">
      <c r="A74" s="50" t="s">
        <v>12</v>
      </c>
      <c r="B74" s="51" t="s">
        <v>732</v>
      </c>
      <c r="C74" s="52"/>
      <c r="D74" s="53">
        <v>2019</v>
      </c>
      <c r="E74" s="37">
        <v>379690964</v>
      </c>
      <c r="F74" s="37">
        <v>316101421</v>
      </c>
      <c r="G74" s="37">
        <v>669962698.88999999</v>
      </c>
      <c r="H74" s="37">
        <v>9907851</v>
      </c>
      <c r="I74" s="55">
        <f t="shared" si="4"/>
        <v>1375662934.8899999</v>
      </c>
      <c r="J74" s="54">
        <v>0</v>
      </c>
      <c r="K74" s="56">
        <f t="shared" si="6"/>
        <v>1375662934.8899999</v>
      </c>
      <c r="L74" s="60">
        <v>6484750</v>
      </c>
      <c r="M74" s="69" t="s">
        <v>738</v>
      </c>
      <c r="N74" s="36"/>
      <c r="O74" s="38" t="str">
        <f>IF([1]totrevprm!O75="","",[1]totrevprm!O75)</f>
        <v/>
      </c>
      <c r="P74" s="35">
        <v>58503227.166649856</v>
      </c>
      <c r="Q74" s="35">
        <v>12846026.768969908</v>
      </c>
      <c r="R74" s="36"/>
      <c r="T74" s="68"/>
      <c r="V74" s="38"/>
      <c r="W74" s="58"/>
      <c r="X74" s="58"/>
      <c r="Y74" s="58"/>
      <c r="Z74" s="58"/>
    </row>
    <row r="75" spans="1:26">
      <c r="A75" s="50" t="s">
        <v>12</v>
      </c>
      <c r="B75" s="51" t="s">
        <v>732</v>
      </c>
      <c r="C75" s="52"/>
      <c r="D75" s="53">
        <v>2020</v>
      </c>
      <c r="E75" s="37">
        <v>316137740</v>
      </c>
      <c r="F75" s="37">
        <v>287475413</v>
      </c>
      <c r="G75" s="37">
        <v>675355551</v>
      </c>
      <c r="H75" s="37">
        <v>26680366</v>
      </c>
      <c r="I75" s="55">
        <f t="shared" si="4"/>
        <v>1305649070</v>
      </c>
      <c r="J75" s="54">
        <v>0</v>
      </c>
      <c r="K75" s="56">
        <f t="shared" si="6"/>
        <v>1305649070</v>
      </c>
      <c r="L75" s="37">
        <v>14535187</v>
      </c>
      <c r="M75" s="69" t="s">
        <v>738</v>
      </c>
      <c r="N75" s="36"/>
      <c r="O75" s="38" t="str">
        <f>IF([1]totrevprm!O76="","",[1]totrevprm!O76)</f>
        <v/>
      </c>
      <c r="P75" s="35">
        <v>54935360</v>
      </c>
      <c r="Q75" s="35">
        <v>13214383</v>
      </c>
      <c r="R75" s="36"/>
      <c r="T75" s="68"/>
      <c r="V75" s="38"/>
      <c r="W75" s="58"/>
      <c r="X75" s="58"/>
      <c r="Y75" s="58"/>
      <c r="Z75" s="58"/>
    </row>
    <row r="76" spans="1:26">
      <c r="A76" s="50" t="s">
        <v>12</v>
      </c>
      <c r="B76" s="51" t="s">
        <v>732</v>
      </c>
      <c r="C76" s="52"/>
      <c r="D76" s="53">
        <v>2021</v>
      </c>
      <c r="E76" s="37">
        <v>321111400</v>
      </c>
      <c r="F76" s="37">
        <v>262053834</v>
      </c>
      <c r="G76" s="37">
        <v>718186385</v>
      </c>
      <c r="H76" s="37">
        <v>6070789</v>
      </c>
      <c r="I76" s="55">
        <f t="shared" si="4"/>
        <v>1307422408</v>
      </c>
      <c r="J76" s="54">
        <v>0</v>
      </c>
      <c r="K76" s="56">
        <f t="shared" si="6"/>
        <v>1307422408</v>
      </c>
      <c r="L76" s="37">
        <v>0</v>
      </c>
      <c r="M76" s="69" t="s">
        <v>739</v>
      </c>
      <c r="N76" s="36"/>
      <c r="O76" s="38"/>
      <c r="P76" s="35">
        <v>53252141.659999996</v>
      </c>
      <c r="Q76" s="35">
        <v>13711435</v>
      </c>
      <c r="R76" s="36"/>
      <c r="T76" s="68"/>
      <c r="V76" s="38"/>
      <c r="W76" s="58"/>
      <c r="X76" s="58"/>
      <c r="Y76" s="58"/>
      <c r="Z76" s="58"/>
    </row>
    <row r="77" spans="1:26">
      <c r="A77" s="50" t="s">
        <v>12</v>
      </c>
      <c r="B77" s="51" t="s">
        <v>732</v>
      </c>
      <c r="C77" s="52"/>
      <c r="D77" s="53">
        <v>2022</v>
      </c>
      <c r="E77" s="37">
        <v>338235297</v>
      </c>
      <c r="F77" s="37">
        <v>368748021</v>
      </c>
      <c r="G77" s="37">
        <v>792308035</v>
      </c>
      <c r="H77" s="37">
        <v>9466630</v>
      </c>
      <c r="I77" s="55">
        <f t="shared" si="4"/>
        <v>1508757983</v>
      </c>
      <c r="J77" s="54">
        <v>0</v>
      </c>
      <c r="K77" s="56">
        <f t="shared" si="6"/>
        <v>1508757983</v>
      </c>
      <c r="L77" s="37">
        <v>0</v>
      </c>
      <c r="M77" s="69" t="s">
        <v>739</v>
      </c>
      <c r="N77" s="36"/>
      <c r="O77" s="38"/>
      <c r="P77" s="35">
        <v>66267425</v>
      </c>
      <c r="Q77" s="35">
        <v>13942716</v>
      </c>
      <c r="R77" s="36"/>
      <c r="T77" s="68"/>
      <c r="V77" s="38"/>
      <c r="W77" s="58"/>
      <c r="X77" s="58"/>
      <c r="Y77" s="58"/>
      <c r="Z77" s="58"/>
    </row>
    <row r="78" spans="1:26">
      <c r="A78" s="50" t="s">
        <v>12</v>
      </c>
      <c r="B78" s="51" t="s">
        <v>732</v>
      </c>
      <c r="C78" s="52"/>
      <c r="D78" s="53">
        <v>2023</v>
      </c>
      <c r="E78" s="37">
        <v>359020849</v>
      </c>
      <c r="F78" s="37">
        <v>453209391.37760001</v>
      </c>
      <c r="G78" s="37">
        <v>825073272.90999997</v>
      </c>
      <c r="H78" s="37">
        <v>15446512</v>
      </c>
      <c r="I78" s="55">
        <f t="shared" si="4"/>
        <v>1652750025.2876</v>
      </c>
      <c r="J78" s="54">
        <v>0</v>
      </c>
      <c r="K78" s="56">
        <f t="shared" si="6"/>
        <v>1652750025.2876</v>
      </c>
      <c r="L78" s="37">
        <v>0</v>
      </c>
      <c r="M78" s="69" t="s">
        <v>739</v>
      </c>
      <c r="N78" s="36"/>
      <c r="O78" s="38"/>
      <c r="P78" s="60">
        <v>58824181.93</v>
      </c>
      <c r="Q78" s="60">
        <v>13860088</v>
      </c>
      <c r="R78" s="36"/>
      <c r="T78" s="68"/>
      <c r="V78" s="38"/>
      <c r="W78" s="58"/>
      <c r="X78" s="58"/>
      <c r="Y78" s="58"/>
      <c r="Z78" s="58"/>
    </row>
    <row r="79" spans="1:26">
      <c r="A79" s="50"/>
      <c r="B79" s="52"/>
      <c r="C79" s="52"/>
      <c r="E79" s="54"/>
      <c r="F79" s="54"/>
      <c r="G79" s="54"/>
      <c r="H79" s="54"/>
      <c r="I79" s="55"/>
      <c r="K79" s="65"/>
      <c r="L79" s="37"/>
      <c r="O79" s="38" t="str">
        <f>IF([1]totrevprm!O80="","",[1]totrevprm!O80)</f>
        <v/>
      </c>
    </row>
    <row r="80" spans="1:26">
      <c r="A80" s="50" t="s">
        <v>13</v>
      </c>
      <c r="B80" s="51" t="s">
        <v>272</v>
      </c>
      <c r="C80" s="52" t="s">
        <v>730</v>
      </c>
      <c r="D80" s="53">
        <v>1988</v>
      </c>
      <c r="E80" s="54">
        <v>688326688</v>
      </c>
      <c r="F80" s="54">
        <v>807437615</v>
      </c>
      <c r="G80" s="54">
        <v>738008373</v>
      </c>
      <c r="H80" s="54">
        <v>0</v>
      </c>
      <c r="I80" s="55">
        <f t="shared" si="4"/>
        <v>2233772676</v>
      </c>
      <c r="J80" s="54">
        <v>-1812698</v>
      </c>
      <c r="K80" s="56">
        <f>SUM(I80:J80)</f>
        <v>2231959978</v>
      </c>
      <c r="L80" s="37">
        <v>0</v>
      </c>
      <c r="O80" s="38" t="str">
        <f>IF([1]totrevprm!O81="","",[1]totrevprm!O81)</f>
        <v/>
      </c>
    </row>
    <row r="81" spans="1:26">
      <c r="A81" s="50" t="s">
        <v>13</v>
      </c>
      <c r="B81" s="51" t="s">
        <v>272</v>
      </c>
      <c r="C81" s="52" t="s">
        <v>731</v>
      </c>
      <c r="D81" s="53">
        <v>1989</v>
      </c>
      <c r="E81" s="54">
        <v>618828696</v>
      </c>
      <c r="F81" s="54">
        <v>902016256</v>
      </c>
      <c r="G81" s="54">
        <v>741844889</v>
      </c>
      <c r="H81" s="54">
        <v>0</v>
      </c>
      <c r="I81" s="55">
        <f t="shared" si="4"/>
        <v>2262689841</v>
      </c>
      <c r="J81" s="54">
        <v>-7575273</v>
      </c>
      <c r="K81" s="56">
        <f t="shared" ref="K81:K115" si="7">SUM(I81:J81)</f>
        <v>2255114568</v>
      </c>
      <c r="L81" s="37">
        <v>0</v>
      </c>
      <c r="O81" s="38" t="str">
        <f>IF([1]totrevprm!O82="","",[1]totrevprm!O82)</f>
        <v/>
      </c>
    </row>
    <row r="82" spans="1:26">
      <c r="A82" s="50" t="s">
        <v>13</v>
      </c>
      <c r="B82" s="51" t="s">
        <v>272</v>
      </c>
      <c r="C82" s="52" t="s">
        <v>731</v>
      </c>
      <c r="D82" s="53">
        <v>1990</v>
      </c>
      <c r="E82" s="54">
        <v>668078492</v>
      </c>
      <c r="F82" s="54">
        <v>1036854061.5599999</v>
      </c>
      <c r="G82" s="54">
        <v>759453231</v>
      </c>
      <c r="H82" s="54">
        <v>0</v>
      </c>
      <c r="I82" s="55">
        <f t="shared" si="4"/>
        <v>2464385784.5599999</v>
      </c>
      <c r="J82" s="54">
        <v>-2128958</v>
      </c>
      <c r="K82" s="56">
        <f t="shared" si="7"/>
        <v>2462256826.5599999</v>
      </c>
      <c r="L82" s="37">
        <v>0</v>
      </c>
      <c r="O82" s="38" t="str">
        <f>IF([1]totrevprm!O83="","",[1]totrevprm!O83)</f>
        <v/>
      </c>
    </row>
    <row r="83" spans="1:26">
      <c r="A83" s="50" t="s">
        <v>13</v>
      </c>
      <c r="B83" s="51" t="s">
        <v>272</v>
      </c>
      <c r="C83" s="52" t="s">
        <v>731</v>
      </c>
      <c r="D83" s="53">
        <v>1991</v>
      </c>
      <c r="E83" s="54">
        <v>680516072</v>
      </c>
      <c r="F83" s="54">
        <v>1033819972</v>
      </c>
      <c r="G83" s="54">
        <v>818143873</v>
      </c>
      <c r="H83" s="54">
        <v>0</v>
      </c>
      <c r="I83" s="55">
        <f t="shared" si="4"/>
        <v>2532479917</v>
      </c>
      <c r="J83" s="54">
        <v>-1524286</v>
      </c>
      <c r="K83" s="56">
        <f t="shared" si="7"/>
        <v>2530955631</v>
      </c>
      <c r="L83" s="37">
        <v>0</v>
      </c>
      <c r="O83" s="38" t="str">
        <f>IF([1]totrevprm!O84="","",[1]totrevprm!O84)</f>
        <v/>
      </c>
    </row>
    <row r="84" spans="1:26">
      <c r="A84" s="50" t="s">
        <v>13</v>
      </c>
      <c r="B84" s="51" t="s">
        <v>272</v>
      </c>
      <c r="C84" s="52" t="s">
        <v>731</v>
      </c>
      <c r="D84" s="53">
        <v>1992</v>
      </c>
      <c r="E84" s="54">
        <v>699190174</v>
      </c>
      <c r="F84" s="54">
        <v>962225506</v>
      </c>
      <c r="G84" s="54">
        <v>888167789</v>
      </c>
      <c r="H84" s="54">
        <v>0</v>
      </c>
      <c r="I84" s="55">
        <f t="shared" si="4"/>
        <v>2549583469</v>
      </c>
      <c r="J84" s="54">
        <v>-725599</v>
      </c>
      <c r="K84" s="56">
        <f t="shared" si="7"/>
        <v>2548857870</v>
      </c>
      <c r="L84" s="37">
        <v>0</v>
      </c>
      <c r="O84" s="38" t="str">
        <f>IF([1]totrevprm!O85="","",[1]totrevprm!O85)</f>
        <v/>
      </c>
    </row>
    <row r="85" spans="1:26">
      <c r="A85" s="50" t="s">
        <v>13</v>
      </c>
      <c r="B85" s="51" t="s">
        <v>272</v>
      </c>
      <c r="C85" s="52" t="s">
        <v>731</v>
      </c>
      <c r="D85" s="53">
        <v>1993</v>
      </c>
      <c r="E85" s="54">
        <v>769661289</v>
      </c>
      <c r="F85" s="54">
        <v>745520009</v>
      </c>
      <c r="G85" s="54">
        <v>899185814</v>
      </c>
      <c r="H85" s="54">
        <v>0</v>
      </c>
      <c r="I85" s="55">
        <f t="shared" si="4"/>
        <v>2414367112</v>
      </c>
      <c r="J85" s="54">
        <v>-9219393</v>
      </c>
      <c r="K85" s="56">
        <f t="shared" si="7"/>
        <v>2405147719</v>
      </c>
      <c r="L85" s="37">
        <v>0</v>
      </c>
      <c r="O85" s="38" t="str">
        <f>IF([1]totrevprm!O86="","",[1]totrevprm!O86)</f>
        <v/>
      </c>
    </row>
    <row r="86" spans="1:26">
      <c r="A86" s="50" t="s">
        <v>13</v>
      </c>
      <c r="B86" s="51" t="s">
        <v>272</v>
      </c>
      <c r="C86" s="52" t="s">
        <v>731</v>
      </c>
      <c r="D86" s="53">
        <v>1994</v>
      </c>
      <c r="E86" s="54">
        <v>835246733</v>
      </c>
      <c r="F86" s="54">
        <v>1057454156</v>
      </c>
      <c r="G86" s="54">
        <v>947657514</v>
      </c>
      <c r="H86" s="54">
        <v>0</v>
      </c>
      <c r="I86" s="55">
        <f t="shared" si="4"/>
        <v>2840358403</v>
      </c>
      <c r="J86" s="54">
        <v>-12486370</v>
      </c>
      <c r="K86" s="56">
        <f t="shared" si="7"/>
        <v>2827872033</v>
      </c>
      <c r="L86" s="37">
        <v>0</v>
      </c>
      <c r="O86" s="38" t="str">
        <f>IF([1]totrevprm!O87="","",[1]totrevprm!O87)</f>
        <v/>
      </c>
    </row>
    <row r="87" spans="1:26">
      <c r="A87" s="50" t="s">
        <v>13</v>
      </c>
      <c r="B87" s="51" t="s">
        <v>272</v>
      </c>
      <c r="C87" s="52" t="s">
        <v>731</v>
      </c>
      <c r="D87" s="53">
        <v>1995</v>
      </c>
      <c r="E87" s="54">
        <v>904819131</v>
      </c>
      <c r="F87" s="54">
        <v>1101342449</v>
      </c>
      <c r="G87" s="54">
        <v>991282948</v>
      </c>
      <c r="H87" s="54">
        <v>0</v>
      </c>
      <c r="I87" s="55">
        <f t="shared" si="4"/>
        <v>2997444528</v>
      </c>
      <c r="J87" s="54">
        <v>-1464805</v>
      </c>
      <c r="K87" s="56">
        <f t="shared" si="7"/>
        <v>2995979723</v>
      </c>
      <c r="L87" s="37">
        <v>0</v>
      </c>
      <c r="O87" s="38" t="str">
        <f>IF([1]totrevprm!O88="","",[1]totrevprm!O88)</f>
        <v/>
      </c>
    </row>
    <row r="88" spans="1:26">
      <c r="A88" s="50" t="s">
        <v>13</v>
      </c>
      <c r="B88" s="51" t="s">
        <v>272</v>
      </c>
      <c r="C88" s="52" t="s">
        <v>731</v>
      </c>
      <c r="D88" s="53">
        <v>1996</v>
      </c>
      <c r="E88" s="54">
        <v>914872582</v>
      </c>
      <c r="F88" s="54">
        <v>1013791854</v>
      </c>
      <c r="G88" s="54">
        <v>1016208279</v>
      </c>
      <c r="H88" s="54">
        <v>0</v>
      </c>
      <c r="I88" s="55">
        <f t="shared" si="4"/>
        <v>2944872715</v>
      </c>
      <c r="J88" s="54">
        <v>-209498</v>
      </c>
      <c r="K88" s="56">
        <f t="shared" si="7"/>
        <v>2944663217</v>
      </c>
      <c r="L88" s="37">
        <v>0</v>
      </c>
      <c r="O88" s="38" t="str">
        <f>IF([1]totrevprm!O89="","",[1]totrevprm!O89)</f>
        <v/>
      </c>
    </row>
    <row r="89" spans="1:26">
      <c r="A89" s="50" t="s">
        <v>13</v>
      </c>
      <c r="B89" s="51" t="s">
        <v>272</v>
      </c>
      <c r="C89" s="52" t="s">
        <v>731</v>
      </c>
      <c r="D89" s="53">
        <v>1997</v>
      </c>
      <c r="E89" s="54">
        <v>958535220</v>
      </c>
      <c r="F89" s="54">
        <v>988369329</v>
      </c>
      <c r="G89" s="54">
        <v>1021320576</v>
      </c>
      <c r="H89" s="54">
        <v>0</v>
      </c>
      <c r="I89" s="55">
        <f t="shared" si="4"/>
        <v>2968225125</v>
      </c>
      <c r="J89" s="54">
        <v>-2489005</v>
      </c>
      <c r="K89" s="56">
        <f t="shared" si="7"/>
        <v>2965736120</v>
      </c>
      <c r="L89" s="37">
        <v>0</v>
      </c>
      <c r="O89" s="38" t="str">
        <f>IF([1]totrevprm!O90="","",[1]totrevprm!O90)</f>
        <v/>
      </c>
    </row>
    <row r="90" spans="1:26">
      <c r="A90" s="50" t="s">
        <v>13</v>
      </c>
      <c r="B90" s="51" t="s">
        <v>272</v>
      </c>
      <c r="C90" s="52" t="s">
        <v>731</v>
      </c>
      <c r="D90" s="53">
        <v>1998</v>
      </c>
      <c r="E90" s="54">
        <v>1066565381</v>
      </c>
      <c r="F90" s="54">
        <v>1008731917</v>
      </c>
      <c r="G90" s="54">
        <v>1116492090</v>
      </c>
      <c r="H90" s="54">
        <v>0</v>
      </c>
      <c r="I90" s="55">
        <f t="shared" si="4"/>
        <v>3191789388</v>
      </c>
      <c r="J90" s="54">
        <v>-128503</v>
      </c>
      <c r="K90" s="56">
        <f t="shared" si="7"/>
        <v>3191660885</v>
      </c>
      <c r="L90" s="37">
        <v>0</v>
      </c>
      <c r="O90" s="38" t="str">
        <f>IF([1]totrevprm!O91="","",[1]totrevprm!O91)</f>
        <v/>
      </c>
    </row>
    <row r="91" spans="1:26">
      <c r="A91" s="50" t="s">
        <v>13</v>
      </c>
      <c r="B91" s="51" t="s">
        <v>272</v>
      </c>
      <c r="C91" s="52" t="s">
        <v>731</v>
      </c>
      <c r="D91" s="53">
        <v>1999</v>
      </c>
      <c r="E91" s="54">
        <v>1009492961</v>
      </c>
      <c r="F91" s="54">
        <v>1359033618</v>
      </c>
      <c r="G91" s="54">
        <v>1211810659</v>
      </c>
      <c r="H91" s="54">
        <v>0</v>
      </c>
      <c r="I91" s="55">
        <f t="shared" si="4"/>
        <v>3580337238</v>
      </c>
      <c r="J91" s="54">
        <v>-12919944</v>
      </c>
      <c r="K91" s="56">
        <f t="shared" si="7"/>
        <v>3567417294</v>
      </c>
      <c r="L91" s="37">
        <v>0</v>
      </c>
      <c r="O91" s="38" t="str">
        <f>IF([1]totrevprm!O92="","",[1]totrevprm!O92)</f>
        <v/>
      </c>
    </row>
    <row r="92" spans="1:26">
      <c r="A92" s="50" t="s">
        <v>13</v>
      </c>
      <c r="B92" s="51" t="s">
        <v>272</v>
      </c>
      <c r="C92" s="52" t="s">
        <v>731</v>
      </c>
      <c r="D92" s="53">
        <v>2000</v>
      </c>
      <c r="E92" s="54">
        <v>1087230956</v>
      </c>
      <c r="F92" s="54">
        <v>1428669305</v>
      </c>
      <c r="G92" s="54">
        <v>1313172243</v>
      </c>
      <c r="H92" s="54">
        <v>0</v>
      </c>
      <c r="I92" s="55">
        <f t="shared" si="4"/>
        <v>3829072504</v>
      </c>
      <c r="J92" s="54">
        <v>-989192</v>
      </c>
      <c r="K92" s="56">
        <f t="shared" si="7"/>
        <v>3828083312</v>
      </c>
      <c r="L92" s="37">
        <v>0</v>
      </c>
      <c r="O92" s="38" t="str">
        <f>IF([1]totrevprm!O93="","",[1]totrevprm!O93)</f>
        <v/>
      </c>
      <c r="V92" s="38" t="s">
        <v>272</v>
      </c>
      <c r="W92" s="58">
        <v>1200962</v>
      </c>
      <c r="X92" s="58">
        <v>38861096</v>
      </c>
      <c r="Y92" s="58">
        <v>23830177</v>
      </c>
      <c r="Z92" s="58">
        <v>0</v>
      </c>
    </row>
    <row r="93" spans="1:26">
      <c r="A93" s="50" t="s">
        <v>13</v>
      </c>
      <c r="B93" s="51" t="s">
        <v>272</v>
      </c>
      <c r="C93" s="52" t="s">
        <v>731</v>
      </c>
      <c r="D93" s="53">
        <v>2001</v>
      </c>
      <c r="E93" s="54">
        <v>1110962972</v>
      </c>
      <c r="F93" s="54">
        <v>2003768866.47</v>
      </c>
      <c r="G93" s="54">
        <v>1467882791</v>
      </c>
      <c r="H93" s="54">
        <v>0</v>
      </c>
      <c r="I93" s="55">
        <f t="shared" si="4"/>
        <v>4582614629.4700003</v>
      </c>
      <c r="J93" s="54">
        <v>-1724757</v>
      </c>
      <c r="K93" s="56">
        <f t="shared" si="7"/>
        <v>4580889872.4700003</v>
      </c>
      <c r="L93" s="37">
        <v>0</v>
      </c>
      <c r="O93" s="38" t="str">
        <f>IF([1]totrevprm!O94="","",[1]totrevprm!O94)</f>
        <v/>
      </c>
      <c r="V93" s="38"/>
      <c r="W93" s="58"/>
      <c r="X93" s="58"/>
      <c r="Y93" s="58"/>
      <c r="Z93" s="58"/>
    </row>
    <row r="94" spans="1:26">
      <c r="A94" s="50" t="s">
        <v>13</v>
      </c>
      <c r="B94" s="51" t="s">
        <v>272</v>
      </c>
      <c r="C94" s="52" t="s">
        <v>731</v>
      </c>
      <c r="D94" s="53">
        <v>2002</v>
      </c>
      <c r="E94" s="54">
        <v>1186595842</v>
      </c>
      <c r="F94" s="54">
        <v>3012431693</v>
      </c>
      <c r="G94" s="54">
        <v>1756613240</v>
      </c>
      <c r="H94" s="54">
        <v>0</v>
      </c>
      <c r="I94" s="55">
        <f t="shared" si="4"/>
        <v>5955640775</v>
      </c>
      <c r="J94" s="54">
        <v>-8</v>
      </c>
      <c r="K94" s="56">
        <f t="shared" si="7"/>
        <v>5955640767</v>
      </c>
      <c r="L94" s="37">
        <v>0</v>
      </c>
      <c r="O94" s="38" t="str">
        <f>IF([1]totrevprm!O95="","",[1]totrevprm!O95)</f>
        <v/>
      </c>
      <c r="V94" s="38"/>
      <c r="W94" s="58"/>
      <c r="X94" s="58"/>
      <c r="Y94" s="58"/>
      <c r="Z94" s="58"/>
    </row>
    <row r="95" spans="1:26">
      <c r="A95" s="50" t="s">
        <v>13</v>
      </c>
      <c r="B95" s="51" t="s">
        <v>272</v>
      </c>
      <c r="C95" s="52" t="s">
        <v>731</v>
      </c>
      <c r="D95" s="53">
        <v>2003</v>
      </c>
      <c r="E95" s="59">
        <v>1269051596</v>
      </c>
      <c r="F95" s="59">
        <v>2556235601</v>
      </c>
      <c r="G95" s="59">
        <v>2121912584</v>
      </c>
      <c r="H95" s="54">
        <v>0</v>
      </c>
      <c r="I95" s="55">
        <f t="shared" si="4"/>
        <v>5947199781</v>
      </c>
      <c r="J95" s="54">
        <v>-5513</v>
      </c>
      <c r="K95" s="56">
        <f t="shared" si="7"/>
        <v>5947194268</v>
      </c>
      <c r="L95" s="37">
        <v>0</v>
      </c>
      <c r="O95" s="38" t="str">
        <f>IF([1]totrevprm!O96="","",[1]totrevprm!O96)</f>
        <v/>
      </c>
      <c r="V95" s="38"/>
      <c r="W95" s="58"/>
      <c r="X95" s="58"/>
      <c r="Y95" s="58"/>
      <c r="Z95" s="58"/>
    </row>
    <row r="96" spans="1:26">
      <c r="A96" s="50" t="s">
        <v>13</v>
      </c>
      <c r="B96" s="51" t="s">
        <v>272</v>
      </c>
      <c r="C96" s="52" t="s">
        <v>731</v>
      </c>
      <c r="D96" s="53">
        <v>2004</v>
      </c>
      <c r="E96" s="70">
        <v>1391009540</v>
      </c>
      <c r="F96" s="70">
        <v>2372069445</v>
      </c>
      <c r="G96" s="70">
        <v>2449137809</v>
      </c>
      <c r="H96" s="54">
        <v>0</v>
      </c>
      <c r="I96" s="55">
        <f t="shared" si="4"/>
        <v>6212216794</v>
      </c>
      <c r="J96" s="54">
        <v>-1313687</v>
      </c>
      <c r="K96" s="56">
        <f t="shared" si="7"/>
        <v>6210903107</v>
      </c>
      <c r="L96" s="37">
        <v>0</v>
      </c>
      <c r="O96" s="38" t="str">
        <f>IF([1]totrevprm!O97="","",[1]totrevprm!O97)</f>
        <v/>
      </c>
      <c r="V96" s="38"/>
      <c r="W96" s="58"/>
      <c r="X96" s="58"/>
      <c r="Y96" s="58"/>
      <c r="Z96" s="58"/>
    </row>
    <row r="97" spans="1:26">
      <c r="A97" s="50" t="s">
        <v>13</v>
      </c>
      <c r="B97" s="51" t="s">
        <v>272</v>
      </c>
      <c r="C97" s="52"/>
      <c r="D97" s="53">
        <v>2005</v>
      </c>
      <c r="E97" s="70">
        <v>1479077664</v>
      </c>
      <c r="F97" s="70">
        <v>2451301787</v>
      </c>
      <c r="G97" s="70">
        <v>2565072814.9499898</v>
      </c>
      <c r="H97" s="54">
        <v>0</v>
      </c>
      <c r="I97" s="55">
        <f t="shared" si="4"/>
        <v>6495452265.9499893</v>
      </c>
      <c r="J97" s="54">
        <v>-830</v>
      </c>
      <c r="K97" s="56">
        <f t="shared" si="7"/>
        <v>6495451435.9499893</v>
      </c>
      <c r="L97" s="37">
        <v>0</v>
      </c>
      <c r="O97" s="38" t="str">
        <f>IF([1]totrevprm!O98="","",[1]totrevprm!O98)</f>
        <v/>
      </c>
      <c r="V97" s="38"/>
      <c r="W97" s="58"/>
      <c r="X97" s="58"/>
      <c r="Y97" s="58"/>
      <c r="Z97" s="58"/>
    </row>
    <row r="98" spans="1:26">
      <c r="A98" s="50" t="s">
        <v>13</v>
      </c>
      <c r="B98" s="51" t="s">
        <v>272</v>
      </c>
      <c r="C98" s="52"/>
      <c r="D98" s="53">
        <v>2006</v>
      </c>
      <c r="E98" s="37">
        <v>1780931161</v>
      </c>
      <c r="F98" s="37">
        <v>2684510258</v>
      </c>
      <c r="G98" s="37">
        <v>3172639072</v>
      </c>
      <c r="H98" s="37">
        <v>0</v>
      </c>
      <c r="I98" s="55">
        <f t="shared" si="4"/>
        <v>7638080491</v>
      </c>
      <c r="J98" s="54">
        <v>-1937427</v>
      </c>
      <c r="K98" s="56">
        <f t="shared" si="7"/>
        <v>7636143064</v>
      </c>
      <c r="L98" s="37">
        <v>0</v>
      </c>
      <c r="O98" s="38" t="str">
        <f>IF([1]totrevprm!O99="","",[1]totrevprm!O99)</f>
        <v/>
      </c>
      <c r="V98" s="38"/>
      <c r="W98" s="58"/>
      <c r="X98" s="58"/>
      <c r="Y98" s="58"/>
      <c r="Z98" s="58"/>
    </row>
    <row r="99" spans="1:26">
      <c r="A99" s="50" t="s">
        <v>13</v>
      </c>
      <c r="B99" s="51" t="s">
        <v>272</v>
      </c>
      <c r="C99" s="52"/>
      <c r="D99" s="53">
        <v>2007</v>
      </c>
      <c r="E99" s="37">
        <v>1667766491</v>
      </c>
      <c r="F99" s="37">
        <v>2507933408</v>
      </c>
      <c r="G99" s="37">
        <v>3465227671</v>
      </c>
      <c r="H99" s="37">
        <v>0</v>
      </c>
      <c r="I99" s="55">
        <f t="shared" si="4"/>
        <v>7640927570</v>
      </c>
      <c r="J99" s="54">
        <v>-2</v>
      </c>
      <c r="K99" s="56">
        <f t="shared" si="7"/>
        <v>7640927568</v>
      </c>
      <c r="L99" s="37">
        <v>0</v>
      </c>
      <c r="O99" s="38" t="str">
        <f>IF([1]totrevprm!O100="","",[1]totrevprm!O100)</f>
        <v/>
      </c>
      <c r="V99" s="38"/>
      <c r="W99" s="58"/>
      <c r="X99" s="58"/>
      <c r="Y99" s="58"/>
      <c r="Z99" s="58"/>
    </row>
    <row r="100" spans="1:26">
      <c r="A100" s="50" t="s">
        <v>13</v>
      </c>
      <c r="B100" s="51" t="s">
        <v>272</v>
      </c>
      <c r="C100" s="52"/>
      <c r="D100" s="53">
        <v>2008</v>
      </c>
      <c r="E100" s="37">
        <v>1711134036</v>
      </c>
      <c r="F100" s="37">
        <v>3435799732</v>
      </c>
      <c r="G100" s="37">
        <v>3520262661</v>
      </c>
      <c r="H100" s="37">
        <v>0</v>
      </c>
      <c r="I100" s="55">
        <f t="shared" si="4"/>
        <v>8667196429</v>
      </c>
      <c r="J100" s="54">
        <v>-7325</v>
      </c>
      <c r="K100" s="56">
        <f t="shared" si="7"/>
        <v>8667189104</v>
      </c>
      <c r="L100" s="37">
        <v>0</v>
      </c>
      <c r="O100" s="38" t="str">
        <f>IF([1]totrevprm!O101="","",[1]totrevprm!O101)</f>
        <v/>
      </c>
      <c r="V100" s="38"/>
      <c r="W100" s="58"/>
      <c r="X100" s="58"/>
      <c r="Y100" s="58"/>
      <c r="Z100" s="58"/>
    </row>
    <row r="101" spans="1:26">
      <c r="A101" s="50" t="s">
        <v>13</v>
      </c>
      <c r="B101" s="51" t="s">
        <v>272</v>
      </c>
      <c r="C101" s="52"/>
      <c r="D101" s="53">
        <v>2009</v>
      </c>
      <c r="E101" s="37">
        <v>1825183771</v>
      </c>
      <c r="F101" s="37">
        <v>3418937829</v>
      </c>
      <c r="G101" s="37">
        <v>3407597263</v>
      </c>
      <c r="H101" s="37">
        <v>0</v>
      </c>
      <c r="I101" s="55">
        <f t="shared" si="4"/>
        <v>8651718863</v>
      </c>
      <c r="J101" s="54">
        <v>-3781</v>
      </c>
      <c r="K101" s="56">
        <f t="shared" si="7"/>
        <v>8651715082</v>
      </c>
      <c r="L101" s="37">
        <v>0</v>
      </c>
      <c r="O101" s="38" t="str">
        <f>IF([1]totrevprm!O102="","",[1]totrevprm!O102)</f>
        <v/>
      </c>
      <c r="V101" s="38"/>
      <c r="W101" s="58"/>
      <c r="X101" s="58"/>
      <c r="Y101" s="58"/>
      <c r="Z101" s="58"/>
    </row>
    <row r="102" spans="1:26">
      <c r="A102" s="50" t="s">
        <v>13</v>
      </c>
      <c r="B102" s="51" t="s">
        <v>272</v>
      </c>
      <c r="C102" s="52"/>
      <c r="D102" s="53">
        <v>2010</v>
      </c>
      <c r="E102" s="37">
        <v>1869327765</v>
      </c>
      <c r="F102" s="37">
        <v>2866849158</v>
      </c>
      <c r="G102" s="37">
        <v>3334402749</v>
      </c>
      <c r="H102" s="37">
        <v>0</v>
      </c>
      <c r="I102" s="55">
        <f t="shared" si="4"/>
        <v>8070579672</v>
      </c>
      <c r="J102" s="54">
        <v>-158311</v>
      </c>
      <c r="K102" s="56">
        <f t="shared" si="7"/>
        <v>8070421361</v>
      </c>
      <c r="L102" s="37">
        <v>0</v>
      </c>
      <c r="O102" s="38" t="str">
        <f>IF([1]totrevprm!O103="","",[1]totrevprm!O103)</f>
        <v/>
      </c>
      <c r="V102" s="38"/>
      <c r="W102" s="58"/>
      <c r="X102" s="58"/>
      <c r="Y102" s="58"/>
      <c r="Z102" s="58"/>
    </row>
    <row r="103" spans="1:26">
      <c r="A103" s="50" t="s">
        <v>13</v>
      </c>
      <c r="B103" s="51" t="s">
        <v>272</v>
      </c>
      <c r="C103" s="52"/>
      <c r="D103" s="53">
        <v>2011</v>
      </c>
      <c r="E103" s="37">
        <v>1955128177</v>
      </c>
      <c r="F103" s="37">
        <v>2852336498</v>
      </c>
      <c r="G103" s="37">
        <v>3587172205</v>
      </c>
      <c r="H103" s="37">
        <v>0</v>
      </c>
      <c r="I103" s="55">
        <f t="shared" si="4"/>
        <v>8394636880</v>
      </c>
      <c r="J103" s="54">
        <v>-3</v>
      </c>
      <c r="K103" s="56">
        <f t="shared" si="7"/>
        <v>8394636877</v>
      </c>
      <c r="L103" s="37">
        <v>1</v>
      </c>
      <c r="O103" s="38" t="str">
        <f>IF([1]totrevprm!O104="","",[1]totrevprm!O104)</f>
        <v/>
      </c>
      <c r="V103" s="38"/>
      <c r="W103" s="58"/>
      <c r="X103" s="58"/>
      <c r="Y103" s="58"/>
      <c r="Z103" s="58"/>
    </row>
    <row r="104" spans="1:26">
      <c r="A104" s="50" t="s">
        <v>13</v>
      </c>
      <c r="B104" s="51" t="s">
        <v>272</v>
      </c>
      <c r="C104" s="52"/>
      <c r="D104" s="53">
        <v>2012</v>
      </c>
      <c r="E104" s="37">
        <v>2002085483</v>
      </c>
      <c r="F104" s="37">
        <v>3224670239</v>
      </c>
      <c r="G104" s="37">
        <v>3599827562</v>
      </c>
      <c r="H104" s="37">
        <v>0</v>
      </c>
      <c r="I104" s="55">
        <f t="shared" si="4"/>
        <v>8826583284</v>
      </c>
      <c r="J104" s="54">
        <v>-1394</v>
      </c>
      <c r="K104" s="56">
        <f t="shared" si="7"/>
        <v>8826581890</v>
      </c>
      <c r="L104" s="37">
        <v>0</v>
      </c>
      <c r="O104" s="38" t="str">
        <f>IF([1]totrevprm!O105="","",[1]totrevprm!O105)</f>
        <v/>
      </c>
      <c r="V104" s="38"/>
      <c r="W104" s="58"/>
      <c r="X104" s="58"/>
      <c r="Y104" s="58"/>
      <c r="Z104" s="58"/>
    </row>
    <row r="105" spans="1:26">
      <c r="A105" s="50" t="s">
        <v>13</v>
      </c>
      <c r="B105" s="51" t="s">
        <v>272</v>
      </c>
      <c r="C105" s="52"/>
      <c r="D105" s="53">
        <v>2013</v>
      </c>
      <c r="E105" s="37">
        <v>2026680681</v>
      </c>
      <c r="F105" s="37">
        <v>2797739910</v>
      </c>
      <c r="G105" s="37">
        <v>3409561642</v>
      </c>
      <c r="H105" s="37">
        <v>0</v>
      </c>
      <c r="I105" s="55">
        <f t="shared" si="4"/>
        <v>8233982233</v>
      </c>
      <c r="J105" s="54">
        <v>-21</v>
      </c>
      <c r="K105" s="56">
        <f t="shared" si="7"/>
        <v>8233982212</v>
      </c>
      <c r="L105" s="37">
        <v>0</v>
      </c>
      <c r="O105" s="38" t="str">
        <f>IF([1]totrevprm!O106="","",[1]totrevprm!O106)</f>
        <v/>
      </c>
      <c r="V105" s="38"/>
      <c r="W105" s="58"/>
      <c r="X105" s="58"/>
      <c r="Y105" s="58"/>
      <c r="Z105" s="58"/>
    </row>
    <row r="106" spans="1:26">
      <c r="A106" s="50" t="s">
        <v>13</v>
      </c>
      <c r="B106" s="51" t="s">
        <v>272</v>
      </c>
      <c r="C106" s="52"/>
      <c r="D106" s="64">
        <v>2014</v>
      </c>
      <c r="E106" s="37">
        <v>2082230449</v>
      </c>
      <c r="F106" s="37">
        <v>4026872310</v>
      </c>
      <c r="G106" s="37">
        <v>3512465208.4700003</v>
      </c>
      <c r="H106" s="37">
        <v>0</v>
      </c>
      <c r="I106" s="55">
        <f t="shared" si="4"/>
        <v>9621567967.4700012</v>
      </c>
      <c r="J106" s="54">
        <v>-138847</v>
      </c>
      <c r="K106" s="56">
        <f t="shared" si="7"/>
        <v>9621429120.4700012</v>
      </c>
      <c r="L106" s="37">
        <v>0</v>
      </c>
      <c r="O106" s="38" t="str">
        <f>IF([1]totrevprm!O107="","",[1]totrevprm!O107)</f>
        <v/>
      </c>
      <c r="V106" s="38"/>
      <c r="W106" s="58"/>
      <c r="X106" s="58"/>
      <c r="Y106" s="58"/>
      <c r="Z106" s="58"/>
    </row>
    <row r="107" spans="1:26">
      <c r="A107" s="50" t="s">
        <v>13</v>
      </c>
      <c r="B107" s="51" t="s">
        <v>272</v>
      </c>
      <c r="C107" s="52"/>
      <c r="D107" s="64">
        <v>2015</v>
      </c>
      <c r="E107" s="37">
        <v>2236094755</v>
      </c>
      <c r="F107" s="37">
        <v>3489588404</v>
      </c>
      <c r="G107" s="37">
        <v>3689202652</v>
      </c>
      <c r="H107" s="37">
        <v>0</v>
      </c>
      <c r="I107" s="55">
        <f t="shared" si="4"/>
        <v>9414885811</v>
      </c>
      <c r="J107" s="54">
        <v>-370894</v>
      </c>
      <c r="K107" s="56">
        <f t="shared" si="7"/>
        <v>9414514917</v>
      </c>
      <c r="L107" s="37">
        <v>0</v>
      </c>
      <c r="O107" s="38" t="str">
        <f>IF([1]totrevprm!O108="","",[1]totrevprm!O108)</f>
        <v/>
      </c>
      <c r="P107" s="35">
        <v>364019119.27172458</v>
      </c>
      <c r="Q107" s="35">
        <v>197654180.19865671</v>
      </c>
      <c r="V107" s="38"/>
      <c r="W107" s="58"/>
      <c r="X107" s="58"/>
      <c r="Y107" s="58"/>
      <c r="Z107" s="58"/>
    </row>
    <row r="108" spans="1:26">
      <c r="A108" s="50" t="s">
        <v>13</v>
      </c>
      <c r="B108" s="51" t="s">
        <v>272</v>
      </c>
      <c r="C108" s="52"/>
      <c r="D108" s="64">
        <v>2016</v>
      </c>
      <c r="E108" s="37">
        <v>2258739981</v>
      </c>
      <c r="F108" s="37">
        <v>3929696444</v>
      </c>
      <c r="G108" s="37">
        <v>3824950787</v>
      </c>
      <c r="H108" s="37">
        <v>0</v>
      </c>
      <c r="I108" s="55">
        <f t="shared" ref="I108:I171" si="8">SUM(E108:H108)</f>
        <v>10013387212</v>
      </c>
      <c r="J108" s="54">
        <v>-8</v>
      </c>
      <c r="K108" s="56">
        <f t="shared" si="7"/>
        <v>10013387204</v>
      </c>
      <c r="L108" s="37">
        <v>0</v>
      </c>
      <c r="O108" s="38" t="str">
        <f>IF([1]totrevprm!O109="","",[1]totrevprm!O109)</f>
        <v/>
      </c>
      <c r="P108" s="35">
        <v>389317385.25014514</v>
      </c>
      <c r="Q108" s="35">
        <v>193423378.41669175</v>
      </c>
      <c r="V108" s="38"/>
      <c r="W108" s="58"/>
      <c r="X108" s="58"/>
      <c r="Y108" s="58"/>
      <c r="Z108" s="58"/>
    </row>
    <row r="109" spans="1:26">
      <c r="A109" s="50" t="s">
        <v>13</v>
      </c>
      <c r="B109" s="51" t="s">
        <v>272</v>
      </c>
      <c r="C109" s="52"/>
      <c r="D109" s="64">
        <v>2017</v>
      </c>
      <c r="E109" s="37">
        <v>2345504809</v>
      </c>
      <c r="F109" s="37">
        <v>4029315269</v>
      </c>
      <c r="G109" s="37">
        <v>3582410105.2600002</v>
      </c>
      <c r="H109" s="37">
        <v>0</v>
      </c>
      <c r="I109" s="55">
        <f t="shared" si="8"/>
        <v>9957230183.2600002</v>
      </c>
      <c r="J109" s="54">
        <v>-207862</v>
      </c>
      <c r="K109" s="56">
        <f t="shared" si="7"/>
        <v>9957022321.2600002</v>
      </c>
      <c r="L109" s="37">
        <v>0</v>
      </c>
      <c r="O109" s="38" t="str">
        <f>IF([1]totrevprm!O110="","",[1]totrevprm!O110)</f>
        <v/>
      </c>
      <c r="P109" s="35">
        <v>380208942.00195378</v>
      </c>
      <c r="Q109" s="35">
        <v>190609222.92976379</v>
      </c>
      <c r="V109" s="38"/>
      <c r="W109" s="58"/>
      <c r="X109" s="58"/>
      <c r="Y109" s="58"/>
      <c r="Z109" s="58"/>
    </row>
    <row r="110" spans="1:26">
      <c r="A110" s="50" t="s">
        <v>13</v>
      </c>
      <c r="B110" s="51" t="s">
        <v>272</v>
      </c>
      <c r="C110" s="52"/>
      <c r="D110" s="53">
        <v>2018</v>
      </c>
      <c r="E110" s="37">
        <v>2396469444</v>
      </c>
      <c r="F110" s="37">
        <v>4790990553</v>
      </c>
      <c r="G110" s="37">
        <v>4786019247.4099998</v>
      </c>
      <c r="H110" s="37">
        <v>0</v>
      </c>
      <c r="I110" s="55">
        <f t="shared" si="8"/>
        <v>11973479244.41</v>
      </c>
      <c r="J110" s="54">
        <v>-25006</v>
      </c>
      <c r="K110" s="56">
        <f t="shared" si="7"/>
        <v>11973454238.41</v>
      </c>
      <c r="L110" s="60">
        <v>0</v>
      </c>
      <c r="M110" s="69" t="s">
        <v>740</v>
      </c>
      <c r="N110" s="69"/>
      <c r="O110" s="38" t="str">
        <f>IF([1]totrevprm!O111="","",[1]totrevprm!O111)</f>
        <v>Yes</v>
      </c>
      <c r="P110" s="35">
        <v>401383047.53010166</v>
      </c>
      <c r="Q110" s="35">
        <v>191587250.91524622</v>
      </c>
      <c r="R110" s="69"/>
      <c r="V110" s="38"/>
      <c r="W110" s="58"/>
      <c r="X110" s="58"/>
      <c r="Y110" s="58"/>
      <c r="Z110" s="58"/>
    </row>
    <row r="111" spans="1:26">
      <c r="A111" s="50" t="s">
        <v>13</v>
      </c>
      <c r="B111" s="51" t="s">
        <v>272</v>
      </c>
      <c r="C111" s="52"/>
      <c r="D111" s="53">
        <v>2019</v>
      </c>
      <c r="E111" s="37">
        <v>2600204093</v>
      </c>
      <c r="F111" s="37">
        <v>5444672700</v>
      </c>
      <c r="G111" s="37">
        <v>5092689616.4478998</v>
      </c>
      <c r="H111" s="37">
        <v>0</v>
      </c>
      <c r="I111" s="55">
        <f t="shared" si="8"/>
        <v>13137566409.447899</v>
      </c>
      <c r="J111" s="54">
        <v>-8009413</v>
      </c>
      <c r="K111" s="56">
        <f t="shared" si="7"/>
        <v>13129556996.447899</v>
      </c>
      <c r="L111" s="60">
        <v>0</v>
      </c>
      <c r="M111" s="69" t="s">
        <v>739</v>
      </c>
      <c r="N111" s="69"/>
      <c r="O111" s="38" t="str">
        <f>IF([1]totrevprm!O112="","",[1]totrevprm!O112)</f>
        <v/>
      </c>
      <c r="P111" s="35">
        <v>430243383.43942541</v>
      </c>
      <c r="Q111" s="35">
        <v>193199833.6466977</v>
      </c>
      <c r="R111" s="69"/>
      <c r="V111" s="38"/>
      <c r="W111" s="58"/>
      <c r="X111" s="58"/>
      <c r="Y111" s="58"/>
      <c r="Z111" s="58"/>
    </row>
    <row r="112" spans="1:26">
      <c r="A112" s="50" t="s">
        <v>13</v>
      </c>
      <c r="B112" s="51" t="s">
        <v>272</v>
      </c>
      <c r="C112" s="52"/>
      <c r="D112" s="53">
        <v>2020</v>
      </c>
      <c r="E112" s="37">
        <v>2670538726</v>
      </c>
      <c r="F112" s="37">
        <v>5103597460</v>
      </c>
      <c r="G112" s="37">
        <v>4908168930</v>
      </c>
      <c r="H112" s="37">
        <v>0</v>
      </c>
      <c r="I112" s="55">
        <f t="shared" si="8"/>
        <v>12682305116</v>
      </c>
      <c r="J112" s="54">
        <v>-244</v>
      </c>
      <c r="K112" s="56">
        <f t="shared" si="7"/>
        <v>12682304872</v>
      </c>
      <c r="L112" s="60">
        <v>0</v>
      </c>
      <c r="M112" s="69" t="s">
        <v>739</v>
      </c>
      <c r="N112" s="69"/>
      <c r="O112" s="38" t="str">
        <f>IF([1]totrevprm!O113="","",[1]totrevprm!O113)</f>
        <v/>
      </c>
      <c r="P112" s="35">
        <v>432558745</v>
      </c>
      <c r="Q112" s="35">
        <v>191742996</v>
      </c>
      <c r="R112" s="69"/>
      <c r="V112" s="38"/>
      <c r="W112" s="58"/>
      <c r="X112" s="58"/>
      <c r="Y112" s="58"/>
      <c r="Z112" s="58"/>
    </row>
    <row r="113" spans="1:26">
      <c r="A113" s="50" t="s">
        <v>13</v>
      </c>
      <c r="B113" s="51" t="s">
        <v>272</v>
      </c>
      <c r="C113" s="52"/>
      <c r="D113" s="53">
        <v>2021</v>
      </c>
      <c r="E113" s="37">
        <v>2779804345</v>
      </c>
      <c r="F113" s="37">
        <v>5813906712</v>
      </c>
      <c r="G113" s="37">
        <v>4944287134</v>
      </c>
      <c r="H113" s="37">
        <v>0</v>
      </c>
      <c r="I113" s="55">
        <f t="shared" si="8"/>
        <v>13537998191</v>
      </c>
      <c r="J113" s="60">
        <v>-77606</v>
      </c>
      <c r="K113" s="56">
        <f t="shared" si="7"/>
        <v>13537920585</v>
      </c>
      <c r="L113" s="60">
        <v>0</v>
      </c>
      <c r="M113" s="69" t="s">
        <v>739</v>
      </c>
      <c r="N113" s="69"/>
      <c r="O113" s="38"/>
      <c r="P113" s="35">
        <v>444682779.86000001</v>
      </c>
      <c r="Q113" s="35">
        <v>200934380</v>
      </c>
      <c r="R113" s="69"/>
      <c r="V113" s="38"/>
      <c r="W113" s="58"/>
      <c r="X113" s="58"/>
      <c r="Y113" s="58"/>
      <c r="Z113" s="58"/>
    </row>
    <row r="114" spans="1:26">
      <c r="A114" s="50" t="s">
        <v>13</v>
      </c>
      <c r="B114" s="51" t="s">
        <v>272</v>
      </c>
      <c r="C114" s="52"/>
      <c r="D114" s="53">
        <v>2022</v>
      </c>
      <c r="E114" s="37">
        <v>2954184975</v>
      </c>
      <c r="F114" s="37">
        <v>8153212664</v>
      </c>
      <c r="G114" s="37">
        <v>5106152104</v>
      </c>
      <c r="H114" s="37">
        <v>0</v>
      </c>
      <c r="I114" s="55">
        <f t="shared" si="8"/>
        <v>16213549743</v>
      </c>
      <c r="J114" s="60">
        <v>-1220419</v>
      </c>
      <c r="K114" s="56">
        <f t="shared" si="7"/>
        <v>16212329324</v>
      </c>
      <c r="L114" s="60">
        <v>0</v>
      </c>
      <c r="M114" s="69" t="s">
        <v>739</v>
      </c>
      <c r="N114" s="69"/>
      <c r="O114" s="38"/>
      <c r="P114" s="60">
        <v>481823045</v>
      </c>
      <c r="Q114" s="60">
        <v>201279530</v>
      </c>
      <c r="R114" s="69"/>
      <c r="V114" s="38"/>
      <c r="W114" s="58"/>
      <c r="X114" s="58"/>
      <c r="Y114" s="58"/>
      <c r="Z114" s="58"/>
    </row>
    <row r="115" spans="1:26">
      <c r="A115" s="50" t="s">
        <v>13</v>
      </c>
      <c r="B115" s="51" t="s">
        <v>272</v>
      </c>
      <c r="C115" s="52"/>
      <c r="D115" s="53">
        <v>2023</v>
      </c>
      <c r="E115" s="37">
        <v>3034206378</v>
      </c>
      <c r="F115" s="37">
        <v>10616709622.521799</v>
      </c>
      <c r="G115" s="37">
        <v>5473256364.7299995</v>
      </c>
      <c r="H115" s="37">
        <v>0</v>
      </c>
      <c r="I115" s="55">
        <f t="shared" si="8"/>
        <v>19124172365.251801</v>
      </c>
      <c r="J115" s="60">
        <v>-136928</v>
      </c>
      <c r="K115" s="56">
        <f t="shared" si="7"/>
        <v>19124035437.251801</v>
      </c>
      <c r="L115" s="37">
        <v>0</v>
      </c>
      <c r="M115" s="69" t="s">
        <v>739</v>
      </c>
      <c r="N115" s="69"/>
      <c r="O115" s="38"/>
      <c r="P115" s="60">
        <v>538889606.51999998</v>
      </c>
      <c r="Q115" s="60">
        <v>198888043</v>
      </c>
      <c r="R115" s="69"/>
      <c r="V115" s="38"/>
      <c r="W115" s="58"/>
      <c r="X115" s="58"/>
      <c r="Y115" s="58"/>
      <c r="Z115" s="58"/>
    </row>
    <row r="116" spans="1:26">
      <c r="A116" s="50"/>
      <c r="B116" s="52"/>
      <c r="C116" s="52"/>
      <c r="E116" s="54"/>
      <c r="F116" s="54"/>
      <c r="G116" s="54"/>
      <c r="H116" s="54"/>
      <c r="I116" s="55"/>
      <c r="K116" s="65"/>
      <c r="L116" s="37"/>
      <c r="O116" s="38" t="str">
        <f>IF([1]totrevprm!O117="","",[1]totrevprm!O117)</f>
        <v/>
      </c>
    </row>
    <row r="117" spans="1:26">
      <c r="A117" s="50" t="s">
        <v>15</v>
      </c>
      <c r="B117" s="51" t="s">
        <v>509</v>
      </c>
      <c r="C117" s="52" t="s">
        <v>741</v>
      </c>
      <c r="D117" s="53">
        <v>1988</v>
      </c>
      <c r="E117" s="54">
        <v>403585594</v>
      </c>
      <c r="F117" s="54">
        <v>188657941</v>
      </c>
      <c r="G117" s="54">
        <v>660755540</v>
      </c>
      <c r="H117" s="54">
        <v>89549455</v>
      </c>
      <c r="I117" s="55">
        <f t="shared" si="8"/>
        <v>1342548530</v>
      </c>
      <c r="J117" s="54">
        <v>0</v>
      </c>
      <c r="K117" s="56">
        <f>SUM(I117:J117)</f>
        <v>1342548530</v>
      </c>
      <c r="L117" s="37">
        <v>0</v>
      </c>
      <c r="O117" s="38" t="str">
        <f>IF([1]totrevprm!O118="","",[1]totrevprm!O118)</f>
        <v/>
      </c>
    </row>
    <row r="118" spans="1:26">
      <c r="A118" s="50" t="s">
        <v>15</v>
      </c>
      <c r="B118" s="51" t="s">
        <v>509</v>
      </c>
      <c r="C118" s="52" t="s">
        <v>742</v>
      </c>
      <c r="D118" s="53">
        <v>1989</v>
      </c>
      <c r="E118" s="54">
        <v>389097958</v>
      </c>
      <c r="F118" s="54">
        <v>199354598</v>
      </c>
      <c r="G118" s="54">
        <v>716957257</v>
      </c>
      <c r="H118" s="54">
        <v>88768750</v>
      </c>
      <c r="I118" s="55">
        <f t="shared" si="8"/>
        <v>1394178563</v>
      </c>
      <c r="J118" s="54">
        <v>0</v>
      </c>
      <c r="K118" s="56">
        <f t="shared" ref="K118:K152" si="9">SUM(I118:J118)</f>
        <v>1394178563</v>
      </c>
      <c r="L118" s="37">
        <v>0</v>
      </c>
      <c r="O118" s="38" t="str">
        <f>IF([1]totrevprm!O119="","",[1]totrevprm!O119)</f>
        <v/>
      </c>
    </row>
    <row r="119" spans="1:26">
      <c r="A119" s="50" t="s">
        <v>15</v>
      </c>
      <c r="B119" s="51" t="s">
        <v>509</v>
      </c>
      <c r="C119" s="52" t="s">
        <v>743</v>
      </c>
      <c r="D119" s="53">
        <v>1990</v>
      </c>
      <c r="E119" s="54">
        <v>401230229</v>
      </c>
      <c r="F119" s="54">
        <v>224050808.16</v>
      </c>
      <c r="G119" s="54">
        <v>791102524</v>
      </c>
      <c r="H119" s="54">
        <v>83347994</v>
      </c>
      <c r="I119" s="55">
        <f t="shared" si="8"/>
        <v>1499731555.1599998</v>
      </c>
      <c r="J119" s="54">
        <v>0</v>
      </c>
      <c r="K119" s="56">
        <f t="shared" si="9"/>
        <v>1499731555.1599998</v>
      </c>
      <c r="L119" s="37">
        <v>0</v>
      </c>
      <c r="O119" s="38" t="str">
        <f>IF([1]totrevprm!O120="","",[1]totrevprm!O120)</f>
        <v/>
      </c>
    </row>
    <row r="120" spans="1:26">
      <c r="A120" s="50" t="s">
        <v>15</v>
      </c>
      <c r="B120" s="51" t="s">
        <v>509</v>
      </c>
      <c r="C120" s="52" t="s">
        <v>731</v>
      </c>
      <c r="D120" s="53">
        <v>1991</v>
      </c>
      <c r="E120" s="54">
        <v>477470898</v>
      </c>
      <c r="F120" s="54">
        <v>200132968</v>
      </c>
      <c r="G120" s="54">
        <v>820348714</v>
      </c>
      <c r="H120" s="54">
        <v>116564832</v>
      </c>
      <c r="I120" s="55">
        <f t="shared" si="8"/>
        <v>1614517412</v>
      </c>
      <c r="J120" s="54">
        <v>0</v>
      </c>
      <c r="K120" s="56">
        <f t="shared" si="9"/>
        <v>1614517412</v>
      </c>
      <c r="L120" s="37">
        <v>0</v>
      </c>
      <c r="O120" s="38" t="str">
        <f>IF([1]totrevprm!O121="","",[1]totrevprm!O121)</f>
        <v/>
      </c>
    </row>
    <row r="121" spans="1:26">
      <c r="A121" s="50" t="s">
        <v>15</v>
      </c>
      <c r="B121" s="51" t="s">
        <v>509</v>
      </c>
      <c r="C121" s="52" t="s">
        <v>731</v>
      </c>
      <c r="D121" s="53">
        <v>1992</v>
      </c>
      <c r="E121" s="54">
        <v>519815865</v>
      </c>
      <c r="F121" s="54">
        <v>256497944.80000001</v>
      </c>
      <c r="G121" s="54">
        <v>870503940</v>
      </c>
      <c r="H121" s="54">
        <v>97100599</v>
      </c>
      <c r="I121" s="55">
        <f t="shared" si="8"/>
        <v>1743918348.8</v>
      </c>
      <c r="J121" s="54">
        <v>0</v>
      </c>
      <c r="K121" s="56">
        <f t="shared" si="9"/>
        <v>1743918348.8</v>
      </c>
      <c r="L121" s="37">
        <v>0</v>
      </c>
      <c r="O121" s="38" t="str">
        <f>IF([1]totrevprm!O122="","",[1]totrevprm!O122)</f>
        <v/>
      </c>
    </row>
    <row r="122" spans="1:26">
      <c r="A122" s="50" t="s">
        <v>15</v>
      </c>
      <c r="B122" s="51" t="s">
        <v>509</v>
      </c>
      <c r="C122" s="52" t="s">
        <v>731</v>
      </c>
      <c r="D122" s="53">
        <v>1993</v>
      </c>
      <c r="E122" s="54">
        <v>538560400</v>
      </c>
      <c r="F122" s="54">
        <v>202989051</v>
      </c>
      <c r="G122" s="54">
        <v>934145868</v>
      </c>
      <c r="H122" s="54">
        <v>101590201</v>
      </c>
      <c r="I122" s="55">
        <f t="shared" si="8"/>
        <v>1777285520</v>
      </c>
      <c r="J122" s="54">
        <v>0</v>
      </c>
      <c r="K122" s="56">
        <f t="shared" si="9"/>
        <v>1777285520</v>
      </c>
      <c r="L122" s="37">
        <v>0</v>
      </c>
      <c r="O122" s="38" t="str">
        <f>IF([1]totrevprm!O123="","",[1]totrevprm!O123)</f>
        <v/>
      </c>
    </row>
    <row r="123" spans="1:26">
      <c r="A123" s="50" t="s">
        <v>15</v>
      </c>
      <c r="B123" s="51" t="s">
        <v>509</v>
      </c>
      <c r="C123" s="52" t="s">
        <v>731</v>
      </c>
      <c r="D123" s="53">
        <v>1994</v>
      </c>
      <c r="E123" s="54">
        <v>684050813</v>
      </c>
      <c r="F123" s="54">
        <v>270384983</v>
      </c>
      <c r="G123" s="54">
        <v>938798293</v>
      </c>
      <c r="H123" s="54">
        <v>97199515</v>
      </c>
      <c r="I123" s="55">
        <f t="shared" si="8"/>
        <v>1990433604</v>
      </c>
      <c r="J123" s="54">
        <v>0</v>
      </c>
      <c r="K123" s="56">
        <f t="shared" si="9"/>
        <v>1990433604</v>
      </c>
      <c r="L123" s="37">
        <v>0</v>
      </c>
      <c r="O123" s="38" t="str">
        <f>IF([1]totrevprm!O124="","",[1]totrevprm!O124)</f>
        <v/>
      </c>
    </row>
    <row r="124" spans="1:26">
      <c r="A124" s="50" t="s">
        <v>15</v>
      </c>
      <c r="B124" s="51" t="s">
        <v>509</v>
      </c>
      <c r="C124" s="52" t="s">
        <v>731</v>
      </c>
      <c r="D124" s="53">
        <v>1995</v>
      </c>
      <c r="E124" s="54">
        <v>707862793</v>
      </c>
      <c r="F124" s="54">
        <v>264823669</v>
      </c>
      <c r="G124" s="54">
        <v>997473403</v>
      </c>
      <c r="H124" s="54">
        <v>100491974</v>
      </c>
      <c r="I124" s="55">
        <f t="shared" si="8"/>
        <v>2070651839</v>
      </c>
      <c r="J124" s="54">
        <v>0</v>
      </c>
      <c r="K124" s="56">
        <f t="shared" si="9"/>
        <v>2070651839</v>
      </c>
      <c r="L124" s="37">
        <v>0</v>
      </c>
      <c r="O124" s="38" t="str">
        <f>IF([1]totrevprm!O125="","",[1]totrevprm!O125)</f>
        <v/>
      </c>
    </row>
    <row r="125" spans="1:26">
      <c r="A125" s="50" t="s">
        <v>15</v>
      </c>
      <c r="B125" s="51" t="s">
        <v>509</v>
      </c>
      <c r="C125" s="52" t="s">
        <v>731</v>
      </c>
      <c r="D125" s="53">
        <v>1996</v>
      </c>
      <c r="E125" s="54">
        <v>656253210</v>
      </c>
      <c r="F125" s="54">
        <v>260552792</v>
      </c>
      <c r="G125" s="54">
        <v>1015805406</v>
      </c>
      <c r="H125" s="54">
        <v>101852660</v>
      </c>
      <c r="I125" s="55">
        <f t="shared" si="8"/>
        <v>2034464068</v>
      </c>
      <c r="J125" s="54">
        <v>0</v>
      </c>
      <c r="K125" s="56">
        <f t="shared" si="9"/>
        <v>2034464068</v>
      </c>
      <c r="L125" s="37">
        <v>0</v>
      </c>
      <c r="O125" s="38" t="str">
        <f>IF([1]totrevprm!O126="","",[1]totrevprm!O126)</f>
        <v/>
      </c>
    </row>
    <row r="126" spans="1:26">
      <c r="A126" s="50" t="s">
        <v>15</v>
      </c>
      <c r="B126" s="51" t="s">
        <v>509</v>
      </c>
      <c r="C126" s="52" t="s">
        <v>744</v>
      </c>
      <c r="D126" s="53">
        <v>1997</v>
      </c>
      <c r="E126" s="54">
        <v>620263360</v>
      </c>
      <c r="F126" s="54">
        <v>314827473</v>
      </c>
      <c r="G126" s="54">
        <v>986732375</v>
      </c>
      <c r="H126" s="54">
        <v>121341074</v>
      </c>
      <c r="I126" s="55">
        <f t="shared" si="8"/>
        <v>2043164282</v>
      </c>
      <c r="J126" s="54">
        <v>0</v>
      </c>
      <c r="K126" s="56">
        <f t="shared" si="9"/>
        <v>2043164282</v>
      </c>
      <c r="L126" s="37">
        <v>0</v>
      </c>
      <c r="O126" s="38" t="str">
        <f>IF([1]totrevprm!O127="","",[1]totrevprm!O127)</f>
        <v/>
      </c>
    </row>
    <row r="127" spans="1:26">
      <c r="A127" s="50" t="s">
        <v>15</v>
      </c>
      <c r="B127" s="51" t="s">
        <v>509</v>
      </c>
      <c r="C127" s="52" t="s">
        <v>745</v>
      </c>
      <c r="D127" s="53">
        <v>1998</v>
      </c>
      <c r="E127" s="54">
        <v>596902987</v>
      </c>
      <c r="F127" s="54">
        <v>391333115</v>
      </c>
      <c r="G127" s="54">
        <v>991468701</v>
      </c>
      <c r="H127" s="54">
        <v>15368342</v>
      </c>
      <c r="I127" s="55">
        <f t="shared" si="8"/>
        <v>1995073145</v>
      </c>
      <c r="J127" s="54">
        <v>0</v>
      </c>
      <c r="K127" s="56">
        <f t="shared" si="9"/>
        <v>1995073145</v>
      </c>
      <c r="L127" s="37">
        <v>11381553</v>
      </c>
      <c r="M127" s="67" t="s">
        <v>735</v>
      </c>
      <c r="O127" s="38" t="str">
        <f>IF([1]totrevprm!O128="","",[1]totrevprm!O128)</f>
        <v/>
      </c>
    </row>
    <row r="128" spans="1:26">
      <c r="A128" s="50" t="s">
        <v>15</v>
      </c>
      <c r="B128" s="51" t="s">
        <v>509</v>
      </c>
      <c r="C128" s="52" t="s">
        <v>731</v>
      </c>
      <c r="D128" s="53">
        <v>1999</v>
      </c>
      <c r="E128" s="54">
        <v>595238824</v>
      </c>
      <c r="F128" s="54">
        <v>564853228</v>
      </c>
      <c r="G128" s="54">
        <v>1080611824</v>
      </c>
      <c r="H128" s="54">
        <v>5046298</v>
      </c>
      <c r="I128" s="55">
        <f t="shared" si="8"/>
        <v>2245750174</v>
      </c>
      <c r="J128" s="54">
        <v>0</v>
      </c>
      <c r="K128" s="56">
        <f t="shared" si="9"/>
        <v>2245750174</v>
      </c>
      <c r="L128" s="37">
        <v>10139684</v>
      </c>
      <c r="M128" s="67" t="s">
        <v>735</v>
      </c>
      <c r="O128" s="38" t="str">
        <f>IF([1]totrevprm!O129="","",[1]totrevprm!O129)</f>
        <v/>
      </c>
    </row>
    <row r="129" spans="1:26">
      <c r="A129" s="50" t="s">
        <v>15</v>
      </c>
      <c r="B129" s="51" t="s">
        <v>509</v>
      </c>
      <c r="C129" s="52" t="s">
        <v>731</v>
      </c>
      <c r="D129" s="53">
        <v>2000</v>
      </c>
      <c r="E129" s="54">
        <v>605102651</v>
      </c>
      <c r="F129" s="54">
        <v>450103841</v>
      </c>
      <c r="G129" s="54">
        <v>1155058552</v>
      </c>
      <c r="H129" s="54">
        <v>13020484</v>
      </c>
      <c r="I129" s="55">
        <f t="shared" si="8"/>
        <v>2223285528</v>
      </c>
      <c r="J129" s="54">
        <v>0</v>
      </c>
      <c r="K129" s="56">
        <f t="shared" si="9"/>
        <v>2223285528</v>
      </c>
      <c r="L129" s="37">
        <v>11349582</v>
      </c>
      <c r="M129" s="67" t="s">
        <v>735</v>
      </c>
      <c r="O129" s="38" t="str">
        <f>IF([1]totrevprm!O130="","",[1]totrevprm!O130)</f>
        <v/>
      </c>
      <c r="V129" s="38" t="s">
        <v>509</v>
      </c>
      <c r="W129" s="58">
        <v>192662</v>
      </c>
      <c r="X129" s="58">
        <v>3055889</v>
      </c>
      <c r="Y129" s="58">
        <v>11172987</v>
      </c>
      <c r="Z129" s="58">
        <v>0</v>
      </c>
    </row>
    <row r="130" spans="1:26">
      <c r="A130" s="50" t="s">
        <v>15</v>
      </c>
      <c r="B130" s="51" t="s">
        <v>509</v>
      </c>
      <c r="C130" s="52" t="s">
        <v>731</v>
      </c>
      <c r="D130" s="53">
        <v>2001</v>
      </c>
      <c r="E130" s="54">
        <v>659858807</v>
      </c>
      <c r="F130" s="54">
        <v>649078022.77999902</v>
      </c>
      <c r="G130" s="54">
        <v>1304080389</v>
      </c>
      <c r="H130" s="54">
        <v>16444055</v>
      </c>
      <c r="I130" s="55">
        <f t="shared" si="8"/>
        <v>2629461273.7799988</v>
      </c>
      <c r="J130" s="54">
        <v>0</v>
      </c>
      <c r="K130" s="56">
        <f t="shared" si="9"/>
        <v>2629461273.7799988</v>
      </c>
      <c r="L130" s="35">
        <v>9343242</v>
      </c>
      <c r="M130" s="67" t="s">
        <v>735</v>
      </c>
      <c r="O130" s="38" t="str">
        <f>IF([1]totrevprm!O131="","",[1]totrevprm!O131)</f>
        <v/>
      </c>
      <c r="V130" s="38"/>
      <c r="W130" s="58"/>
      <c r="X130" s="58"/>
      <c r="Y130" s="58"/>
      <c r="Z130" s="58"/>
    </row>
    <row r="131" spans="1:26">
      <c r="A131" s="50" t="s">
        <v>15</v>
      </c>
      <c r="B131" s="51" t="s">
        <v>509</v>
      </c>
      <c r="C131" s="52" t="s">
        <v>731</v>
      </c>
      <c r="D131" s="53">
        <v>2002</v>
      </c>
      <c r="E131" s="54">
        <v>702625994</v>
      </c>
      <c r="F131" s="54">
        <v>946958659</v>
      </c>
      <c r="G131" s="54">
        <v>1393730603</v>
      </c>
      <c r="H131" s="54">
        <v>21180324</v>
      </c>
      <c r="I131" s="55">
        <f t="shared" si="8"/>
        <v>3064495580</v>
      </c>
      <c r="J131" s="54">
        <v>0</v>
      </c>
      <c r="K131" s="56">
        <f t="shared" si="9"/>
        <v>3064495580</v>
      </c>
      <c r="L131" s="35">
        <v>6304586</v>
      </c>
      <c r="M131" s="67" t="s">
        <v>735</v>
      </c>
      <c r="O131" s="38" t="str">
        <f>IF([1]totrevprm!O132="","",[1]totrevprm!O132)</f>
        <v/>
      </c>
      <c r="V131" s="38"/>
      <c r="W131" s="58"/>
      <c r="X131" s="58"/>
      <c r="Y131" s="58"/>
      <c r="Z131" s="58"/>
    </row>
    <row r="132" spans="1:26">
      <c r="A132" s="50" t="s">
        <v>15</v>
      </c>
      <c r="B132" s="51" t="s">
        <v>509</v>
      </c>
      <c r="C132" s="52" t="s">
        <v>731</v>
      </c>
      <c r="D132" s="53">
        <v>2003</v>
      </c>
      <c r="E132" s="59">
        <v>720689870</v>
      </c>
      <c r="F132" s="59">
        <v>890625150</v>
      </c>
      <c r="G132" s="59">
        <v>1453398803</v>
      </c>
      <c r="H132" s="59">
        <v>19635793</v>
      </c>
      <c r="I132" s="55">
        <f t="shared" si="8"/>
        <v>3084349616</v>
      </c>
      <c r="J132" s="54">
        <v>0</v>
      </c>
      <c r="K132" s="56">
        <f t="shared" si="9"/>
        <v>3084349616</v>
      </c>
      <c r="L132" s="35">
        <v>9111449</v>
      </c>
      <c r="M132" s="67" t="s">
        <v>735</v>
      </c>
      <c r="O132" s="38" t="str">
        <f>IF([1]totrevprm!O133="","",[1]totrevprm!O133)</f>
        <v/>
      </c>
      <c r="V132" s="38"/>
      <c r="W132" s="58"/>
      <c r="X132" s="58"/>
      <c r="Y132" s="58"/>
      <c r="Z132" s="58"/>
    </row>
    <row r="133" spans="1:26">
      <c r="A133" s="50" t="s">
        <v>15</v>
      </c>
      <c r="B133" s="51" t="s">
        <v>509</v>
      </c>
      <c r="C133" s="52" t="s">
        <v>731</v>
      </c>
      <c r="D133" s="53">
        <v>2004</v>
      </c>
      <c r="E133" s="59">
        <v>749357414</v>
      </c>
      <c r="F133" s="59">
        <v>727020106</v>
      </c>
      <c r="G133" s="59">
        <v>1520277078</v>
      </c>
      <c r="H133" s="59">
        <v>16411295</v>
      </c>
      <c r="I133" s="55">
        <f t="shared" si="8"/>
        <v>3013065893</v>
      </c>
      <c r="J133" s="54">
        <v>0</v>
      </c>
      <c r="K133" s="56">
        <f t="shared" si="9"/>
        <v>3013065893</v>
      </c>
      <c r="L133" s="35">
        <v>25192022</v>
      </c>
      <c r="M133" s="67" t="s">
        <v>735</v>
      </c>
      <c r="O133" s="38" t="str">
        <f>IF([1]totrevprm!O134="","",[1]totrevprm!O134)</f>
        <v/>
      </c>
      <c r="V133" s="38"/>
      <c r="W133" s="58"/>
      <c r="X133" s="58"/>
      <c r="Y133" s="58"/>
      <c r="Z133" s="58"/>
    </row>
    <row r="134" spans="1:26">
      <c r="A134" s="50" t="s">
        <v>15</v>
      </c>
      <c r="B134" s="51" t="s">
        <v>509</v>
      </c>
      <c r="C134" s="52"/>
      <c r="D134" s="53">
        <v>2005</v>
      </c>
      <c r="E134" s="59">
        <v>744613906</v>
      </c>
      <c r="F134" s="59">
        <v>806403405</v>
      </c>
      <c r="G134" s="59">
        <v>1609434976.99</v>
      </c>
      <c r="H134" s="59">
        <v>22475838</v>
      </c>
      <c r="I134" s="55">
        <f t="shared" si="8"/>
        <v>3182928125.9899998</v>
      </c>
      <c r="J134" s="54">
        <v>0</v>
      </c>
      <c r="K134" s="56">
        <f t="shared" si="9"/>
        <v>3182928125.9899998</v>
      </c>
      <c r="L134" s="35">
        <v>17230094</v>
      </c>
      <c r="M134" s="67" t="s">
        <v>735</v>
      </c>
      <c r="O134" s="38" t="str">
        <f>IF([1]totrevprm!O135="","",[1]totrevprm!O135)</f>
        <v/>
      </c>
      <c r="V134" s="38"/>
      <c r="W134" s="58"/>
      <c r="X134" s="58"/>
      <c r="Y134" s="58"/>
      <c r="Z134" s="58"/>
    </row>
    <row r="135" spans="1:26">
      <c r="A135" s="50" t="s">
        <v>15</v>
      </c>
      <c r="B135" s="51" t="s">
        <v>509</v>
      </c>
      <c r="C135" s="52"/>
      <c r="D135" s="53">
        <v>2006</v>
      </c>
      <c r="E135" s="37">
        <v>780217180</v>
      </c>
      <c r="F135" s="37">
        <v>865121851</v>
      </c>
      <c r="G135" s="37">
        <v>1799991112</v>
      </c>
      <c r="H135" s="37">
        <v>16724420</v>
      </c>
      <c r="I135" s="55">
        <f t="shared" si="8"/>
        <v>3462054563</v>
      </c>
      <c r="J135" s="54">
        <v>0</v>
      </c>
      <c r="K135" s="56">
        <f t="shared" si="9"/>
        <v>3462054563</v>
      </c>
      <c r="L135" s="35">
        <v>12280436</v>
      </c>
      <c r="M135" s="67" t="s">
        <v>735</v>
      </c>
      <c r="O135" s="38" t="str">
        <f>IF([1]totrevprm!O136="","",[1]totrevprm!O136)</f>
        <v/>
      </c>
      <c r="V135" s="38"/>
      <c r="W135" s="58"/>
      <c r="X135" s="58"/>
      <c r="Y135" s="58"/>
      <c r="Z135" s="58"/>
    </row>
    <row r="136" spans="1:26">
      <c r="A136" s="50" t="s">
        <v>15</v>
      </c>
      <c r="B136" s="51" t="s">
        <v>509</v>
      </c>
      <c r="C136" s="52"/>
      <c r="D136" s="53">
        <v>2007</v>
      </c>
      <c r="E136" s="37">
        <v>815302125</v>
      </c>
      <c r="F136" s="37">
        <v>943373344</v>
      </c>
      <c r="G136" s="37">
        <v>2039235950</v>
      </c>
      <c r="H136" s="37">
        <v>25474886</v>
      </c>
      <c r="I136" s="55">
        <f t="shared" si="8"/>
        <v>3823386305</v>
      </c>
      <c r="J136" s="54">
        <v>0</v>
      </c>
      <c r="K136" s="56">
        <f t="shared" si="9"/>
        <v>3823386305</v>
      </c>
      <c r="L136" s="35">
        <v>10357768</v>
      </c>
      <c r="M136" s="67" t="s">
        <v>735</v>
      </c>
      <c r="O136" s="38" t="str">
        <f>IF([1]totrevprm!O137="","",[1]totrevprm!O137)</f>
        <v/>
      </c>
      <c r="V136" s="38"/>
      <c r="W136" s="58"/>
      <c r="X136" s="58"/>
      <c r="Y136" s="58"/>
      <c r="Z136" s="58"/>
    </row>
    <row r="137" spans="1:26">
      <c r="A137" s="50" t="s">
        <v>15</v>
      </c>
      <c r="B137" s="51" t="s">
        <v>509</v>
      </c>
      <c r="C137" s="52"/>
      <c r="D137" s="53">
        <v>2008</v>
      </c>
      <c r="E137" s="37">
        <v>825230520</v>
      </c>
      <c r="F137" s="37">
        <v>1202242267</v>
      </c>
      <c r="G137" s="37">
        <v>2147823072</v>
      </c>
      <c r="H137" s="37">
        <v>16744074</v>
      </c>
      <c r="I137" s="55">
        <f t="shared" si="8"/>
        <v>4192039933</v>
      </c>
      <c r="J137" s="54">
        <v>0</v>
      </c>
      <c r="K137" s="56">
        <f t="shared" si="9"/>
        <v>4192039933</v>
      </c>
      <c r="L137" s="35">
        <v>21787122</v>
      </c>
      <c r="M137" s="67" t="s">
        <v>735</v>
      </c>
      <c r="O137" s="38" t="str">
        <f>IF([1]totrevprm!O138="","",[1]totrevprm!O138)</f>
        <v/>
      </c>
      <c r="V137" s="38"/>
      <c r="W137" s="58"/>
      <c r="X137" s="58"/>
      <c r="Y137" s="58"/>
      <c r="Z137" s="58"/>
    </row>
    <row r="138" spans="1:26">
      <c r="A138" s="50" t="s">
        <v>15</v>
      </c>
      <c r="B138" s="51" t="s">
        <v>509</v>
      </c>
      <c r="C138" s="52"/>
      <c r="D138" s="53">
        <v>2009</v>
      </c>
      <c r="E138" s="37">
        <v>885310566</v>
      </c>
      <c r="F138" s="37">
        <v>1153293201</v>
      </c>
      <c r="G138" s="37">
        <v>2232342344</v>
      </c>
      <c r="H138" s="37">
        <v>29223951</v>
      </c>
      <c r="I138" s="55">
        <f t="shared" si="8"/>
        <v>4300170062</v>
      </c>
      <c r="J138" s="54">
        <v>0</v>
      </c>
      <c r="K138" s="56">
        <f t="shared" si="9"/>
        <v>4300170062</v>
      </c>
      <c r="L138" s="35">
        <v>21550471</v>
      </c>
      <c r="M138" s="67" t="s">
        <v>735</v>
      </c>
      <c r="O138" s="38" t="str">
        <f>IF([1]totrevprm!O139="","",[1]totrevprm!O139)</f>
        <v/>
      </c>
      <c r="V138" s="38"/>
      <c r="W138" s="58"/>
      <c r="X138" s="58"/>
      <c r="Y138" s="58"/>
      <c r="Z138" s="58"/>
    </row>
    <row r="139" spans="1:26">
      <c r="A139" s="50" t="s">
        <v>15</v>
      </c>
      <c r="B139" s="51" t="s">
        <v>509</v>
      </c>
      <c r="C139" s="52"/>
      <c r="D139" s="53">
        <v>2010</v>
      </c>
      <c r="E139" s="37">
        <v>897304304</v>
      </c>
      <c r="F139" s="37">
        <v>924235255</v>
      </c>
      <c r="G139" s="37">
        <v>2314383786</v>
      </c>
      <c r="H139" s="37">
        <v>16989914</v>
      </c>
      <c r="I139" s="55">
        <f t="shared" si="8"/>
        <v>4152913259</v>
      </c>
      <c r="J139" s="54">
        <v>0</v>
      </c>
      <c r="K139" s="56">
        <f t="shared" si="9"/>
        <v>4152913259</v>
      </c>
      <c r="L139" s="35">
        <v>37873210</v>
      </c>
      <c r="M139" s="67" t="s">
        <v>735</v>
      </c>
      <c r="O139" s="38" t="str">
        <f>IF([1]totrevprm!O140="","",[1]totrevprm!O140)</f>
        <v/>
      </c>
      <c r="V139" s="38"/>
      <c r="W139" s="58"/>
      <c r="X139" s="58"/>
      <c r="Y139" s="58"/>
      <c r="Z139" s="58"/>
    </row>
    <row r="140" spans="1:26">
      <c r="A140" s="50" t="s">
        <v>15</v>
      </c>
      <c r="B140" s="51" t="s">
        <v>509</v>
      </c>
      <c r="C140" s="52"/>
      <c r="D140" s="53">
        <v>2011</v>
      </c>
      <c r="E140" s="37">
        <v>912378715</v>
      </c>
      <c r="F140" s="37">
        <v>1028003188</v>
      </c>
      <c r="G140" s="37">
        <v>2365102357.6900001</v>
      </c>
      <c r="H140" s="37">
        <v>25301859</v>
      </c>
      <c r="I140" s="55">
        <f t="shared" si="8"/>
        <v>4330786119.6900005</v>
      </c>
      <c r="J140" s="54">
        <v>0</v>
      </c>
      <c r="K140" s="56">
        <f t="shared" si="9"/>
        <v>4330786119.6900005</v>
      </c>
      <c r="L140" s="35">
        <v>49107552</v>
      </c>
      <c r="M140" s="67" t="s">
        <v>735</v>
      </c>
      <c r="O140" s="38" t="str">
        <f>IF([1]totrevprm!O141="","",[1]totrevprm!O141)</f>
        <v/>
      </c>
      <c r="V140" s="38"/>
      <c r="W140" s="58"/>
      <c r="X140" s="58"/>
      <c r="Y140" s="58"/>
      <c r="Z140" s="58"/>
    </row>
    <row r="141" spans="1:26">
      <c r="A141" s="50" t="s">
        <v>15</v>
      </c>
      <c r="B141" s="51" t="s">
        <v>509</v>
      </c>
      <c r="C141" s="52"/>
      <c r="D141" s="53">
        <v>2012</v>
      </c>
      <c r="E141" s="37">
        <v>1009296267</v>
      </c>
      <c r="F141" s="37">
        <v>1084481312</v>
      </c>
      <c r="G141" s="37">
        <v>2393160347</v>
      </c>
      <c r="H141" s="37">
        <v>23387728</v>
      </c>
      <c r="I141" s="55">
        <f t="shared" si="8"/>
        <v>4510325654</v>
      </c>
      <c r="J141" s="54">
        <v>0</v>
      </c>
      <c r="K141" s="56">
        <f t="shared" si="9"/>
        <v>4510325654</v>
      </c>
      <c r="L141" s="35">
        <v>35215131</v>
      </c>
      <c r="M141" s="67" t="s">
        <v>735</v>
      </c>
      <c r="O141" s="38" t="str">
        <f>IF([1]totrevprm!O142="","",[1]totrevprm!O142)</f>
        <v/>
      </c>
      <c r="V141" s="38"/>
      <c r="W141" s="58"/>
      <c r="X141" s="58"/>
      <c r="Y141" s="58"/>
      <c r="Z141" s="58"/>
    </row>
    <row r="142" spans="1:26">
      <c r="A142" s="50" t="s">
        <v>15</v>
      </c>
      <c r="B142" s="51" t="s">
        <v>509</v>
      </c>
      <c r="C142" s="52"/>
      <c r="D142" s="53">
        <v>2013</v>
      </c>
      <c r="E142" s="37">
        <v>1034811779</v>
      </c>
      <c r="F142" s="37">
        <v>980225329</v>
      </c>
      <c r="G142" s="37">
        <v>1946751826</v>
      </c>
      <c r="H142" s="37">
        <v>55737640</v>
      </c>
      <c r="I142" s="55">
        <f t="shared" si="8"/>
        <v>4017526574</v>
      </c>
      <c r="J142" s="54">
        <v>0</v>
      </c>
      <c r="K142" s="56">
        <f t="shared" si="9"/>
        <v>4017526574</v>
      </c>
      <c r="L142" s="35">
        <v>29692575</v>
      </c>
      <c r="M142" s="67" t="s">
        <v>735</v>
      </c>
      <c r="O142" s="38" t="str">
        <f>IF([1]totrevprm!O143="","",[1]totrevprm!O143)</f>
        <v/>
      </c>
      <c r="V142" s="38"/>
      <c r="W142" s="58"/>
      <c r="X142" s="58"/>
      <c r="Y142" s="58"/>
      <c r="Z142" s="58"/>
    </row>
    <row r="143" spans="1:26">
      <c r="A143" s="50" t="s">
        <v>15</v>
      </c>
      <c r="B143" s="51" t="s">
        <v>509</v>
      </c>
      <c r="C143" s="52"/>
      <c r="D143" s="64">
        <v>2014</v>
      </c>
      <c r="E143" s="37">
        <v>1019641413</v>
      </c>
      <c r="F143" s="37">
        <v>1127031741</v>
      </c>
      <c r="G143" s="37">
        <v>2645994550.3899999</v>
      </c>
      <c r="H143" s="37">
        <v>15016515</v>
      </c>
      <c r="I143" s="55">
        <f t="shared" si="8"/>
        <v>4807684219.3899994</v>
      </c>
      <c r="J143" s="54">
        <v>0</v>
      </c>
      <c r="K143" s="56">
        <f t="shared" si="9"/>
        <v>4807684219.3899994</v>
      </c>
      <c r="L143" s="37">
        <v>85920395</v>
      </c>
      <c r="M143" s="67" t="s">
        <v>735</v>
      </c>
      <c r="O143" s="38" t="str">
        <f>IF([1]totrevprm!O144="","",[1]totrevprm!O144)</f>
        <v/>
      </c>
      <c r="V143" s="38"/>
      <c r="W143" s="58"/>
      <c r="X143" s="58"/>
      <c r="Y143" s="58"/>
      <c r="Z143" s="58"/>
    </row>
    <row r="144" spans="1:26">
      <c r="A144" s="50" t="s">
        <v>15</v>
      </c>
      <c r="B144" s="51" t="s">
        <v>509</v>
      </c>
      <c r="C144" s="52"/>
      <c r="D144" s="64">
        <v>2015</v>
      </c>
      <c r="E144" s="37">
        <v>1070587640</v>
      </c>
      <c r="F144" s="37">
        <v>1168587604</v>
      </c>
      <c r="G144" s="37">
        <v>2953937396</v>
      </c>
      <c r="H144" s="37">
        <v>14850972</v>
      </c>
      <c r="I144" s="55">
        <f t="shared" si="8"/>
        <v>5207963612</v>
      </c>
      <c r="J144" s="54">
        <v>0</v>
      </c>
      <c r="K144" s="56">
        <f t="shared" si="9"/>
        <v>5207963612</v>
      </c>
      <c r="L144" s="37">
        <v>68885894</v>
      </c>
      <c r="M144" s="67" t="s">
        <v>735</v>
      </c>
      <c r="O144" s="38" t="str">
        <f>IF([1]totrevprm!O145="","",[1]totrevprm!O145)</f>
        <v/>
      </c>
      <c r="P144" s="35">
        <v>183374596.95692837</v>
      </c>
      <c r="Q144" s="35">
        <v>61395267.390000001</v>
      </c>
      <c r="V144" s="38"/>
      <c r="W144" s="58"/>
      <c r="X144" s="58"/>
      <c r="Y144" s="58"/>
      <c r="Z144" s="58"/>
    </row>
    <row r="145" spans="1:26">
      <c r="A145" s="50" t="s">
        <v>15</v>
      </c>
      <c r="B145" s="51" t="s">
        <v>509</v>
      </c>
      <c r="C145" s="52"/>
      <c r="D145" s="64">
        <v>2016</v>
      </c>
      <c r="E145" s="37">
        <v>1137379677</v>
      </c>
      <c r="F145" s="37">
        <v>1206785873</v>
      </c>
      <c r="G145" s="37">
        <v>3289288864</v>
      </c>
      <c r="H145" s="37">
        <v>22343329</v>
      </c>
      <c r="I145" s="55">
        <f t="shared" si="8"/>
        <v>5655797743</v>
      </c>
      <c r="J145" s="54">
        <v>0</v>
      </c>
      <c r="K145" s="56">
        <f t="shared" si="9"/>
        <v>5655797743</v>
      </c>
      <c r="L145" s="37">
        <v>43000777</v>
      </c>
      <c r="M145" s="67" t="s">
        <v>735</v>
      </c>
      <c r="O145" s="38" t="str">
        <f>IF([1]totrevprm!O146="","",[1]totrevprm!O146)</f>
        <v/>
      </c>
      <c r="P145" s="35">
        <v>189563914.52415025</v>
      </c>
      <c r="Q145" s="35">
        <v>61789765.259999998</v>
      </c>
      <c r="V145" s="38"/>
      <c r="W145" s="58"/>
      <c r="X145" s="58"/>
      <c r="Y145" s="58"/>
      <c r="Z145" s="58"/>
    </row>
    <row r="146" spans="1:26">
      <c r="A146" s="50" t="s">
        <v>15</v>
      </c>
      <c r="B146" s="51" t="s">
        <v>509</v>
      </c>
      <c r="C146" s="52"/>
      <c r="D146" s="64">
        <v>2017</v>
      </c>
      <c r="E146" s="37">
        <v>1080643343</v>
      </c>
      <c r="F146" s="37">
        <v>1180563610</v>
      </c>
      <c r="G146" s="37">
        <v>3531212599.4400001</v>
      </c>
      <c r="H146" s="37">
        <v>17218454</v>
      </c>
      <c r="I146" s="55">
        <f t="shared" si="8"/>
        <v>5809638006.4400005</v>
      </c>
      <c r="J146" s="54">
        <v>0</v>
      </c>
      <c r="K146" s="56">
        <f t="shared" si="9"/>
        <v>5809638006.4400005</v>
      </c>
      <c r="L146" s="60">
        <v>51758920</v>
      </c>
      <c r="M146" s="67" t="s">
        <v>735</v>
      </c>
      <c r="O146" s="38" t="str">
        <f>IF([1]totrevprm!O147="","",[1]totrevprm!O147)</f>
        <v/>
      </c>
      <c r="P146" s="35">
        <v>196168077.19878605</v>
      </c>
      <c r="Q146" s="35">
        <v>59144519.25</v>
      </c>
      <c r="V146" s="38"/>
      <c r="W146" s="58"/>
      <c r="X146" s="58"/>
      <c r="Y146" s="58"/>
      <c r="Z146" s="58"/>
    </row>
    <row r="147" spans="1:26">
      <c r="A147" s="50" t="s">
        <v>15</v>
      </c>
      <c r="B147" s="51" t="s">
        <v>509</v>
      </c>
      <c r="C147" s="52"/>
      <c r="D147" s="64">
        <v>2018</v>
      </c>
      <c r="E147" s="37">
        <v>1107321111</v>
      </c>
      <c r="F147" s="37">
        <v>1417710063</v>
      </c>
      <c r="G147" s="37">
        <v>3669153013.1700001</v>
      </c>
      <c r="H147" s="71">
        <v>-147776</v>
      </c>
      <c r="I147" s="55">
        <f t="shared" si="8"/>
        <v>6194036411.1700001</v>
      </c>
      <c r="J147" s="54">
        <v>0</v>
      </c>
      <c r="K147" s="56">
        <f t="shared" si="9"/>
        <v>6194036411.1700001</v>
      </c>
      <c r="L147" s="60">
        <v>50220999</v>
      </c>
      <c r="M147" s="67" t="s">
        <v>735</v>
      </c>
      <c r="O147" s="38" t="str">
        <f>IF([1]totrevprm!O148="","",[1]totrevprm!O148)</f>
        <v/>
      </c>
      <c r="P147" s="35">
        <v>197722518.13731039</v>
      </c>
      <c r="Q147" s="35">
        <v>59929863.251055397</v>
      </c>
      <c r="V147" s="38"/>
      <c r="W147" s="58"/>
      <c r="X147" s="58"/>
      <c r="Y147" s="58"/>
      <c r="Z147" s="58"/>
    </row>
    <row r="148" spans="1:26">
      <c r="A148" s="50" t="s">
        <v>15</v>
      </c>
      <c r="B148" s="51" t="s">
        <v>509</v>
      </c>
      <c r="C148" s="52"/>
      <c r="D148" s="64">
        <v>2019</v>
      </c>
      <c r="E148" s="37">
        <v>1093323464</v>
      </c>
      <c r="F148" s="37">
        <v>1679067795</v>
      </c>
      <c r="G148" s="37">
        <v>4076752276.6894999</v>
      </c>
      <c r="H148" s="35">
        <v>11220454</v>
      </c>
      <c r="I148" s="55">
        <f t="shared" si="8"/>
        <v>6860363989.6894999</v>
      </c>
      <c r="J148" s="54">
        <v>0</v>
      </c>
      <c r="K148" s="56">
        <f t="shared" si="9"/>
        <v>6860363989.6894999</v>
      </c>
      <c r="L148" s="60">
        <v>76925687</v>
      </c>
      <c r="M148" s="67" t="s">
        <v>746</v>
      </c>
      <c r="O148" s="38" t="str">
        <f>IF([1]totrevprm!O149="","",[1]totrevprm!O149)</f>
        <v>Yes</v>
      </c>
      <c r="P148" s="35">
        <v>204697882.05055296</v>
      </c>
      <c r="Q148" s="35">
        <v>61283166.489999995</v>
      </c>
      <c r="V148" s="38"/>
      <c r="W148" s="58"/>
      <c r="X148" s="58"/>
      <c r="Y148" s="58"/>
      <c r="Z148" s="58"/>
    </row>
    <row r="149" spans="1:26">
      <c r="A149" s="50" t="s">
        <v>15</v>
      </c>
      <c r="B149" s="51" t="s">
        <v>509</v>
      </c>
      <c r="C149" s="52"/>
      <c r="D149" s="64">
        <v>2020</v>
      </c>
      <c r="E149" s="37">
        <v>1153594184</v>
      </c>
      <c r="F149" s="37">
        <v>1363070249</v>
      </c>
      <c r="G149" s="37">
        <v>4370849038</v>
      </c>
      <c r="H149" s="35">
        <v>25546106</v>
      </c>
      <c r="I149" s="55">
        <f t="shared" si="8"/>
        <v>6913059577</v>
      </c>
      <c r="J149" s="54">
        <v>0</v>
      </c>
      <c r="K149" s="56">
        <f t="shared" si="9"/>
        <v>6913059577</v>
      </c>
      <c r="L149" s="60">
        <v>28619716</v>
      </c>
      <c r="M149" s="67" t="s">
        <v>738</v>
      </c>
      <c r="O149" s="38" t="str">
        <f>IF([1]totrevprm!O150="","",[1]totrevprm!O150)</f>
        <v/>
      </c>
      <c r="P149" s="35">
        <v>211492733</v>
      </c>
      <c r="Q149" s="35">
        <v>59973787</v>
      </c>
      <c r="V149" s="38"/>
      <c r="W149" s="58"/>
      <c r="X149" s="58"/>
      <c r="Y149" s="58"/>
      <c r="Z149" s="58"/>
    </row>
    <row r="150" spans="1:26">
      <c r="A150" s="50" t="s">
        <v>15</v>
      </c>
      <c r="B150" s="51" t="s">
        <v>509</v>
      </c>
      <c r="C150" s="52"/>
      <c r="D150" s="64">
        <v>2021</v>
      </c>
      <c r="E150" s="37">
        <v>1306137899</v>
      </c>
      <c r="F150" s="37">
        <v>1652091561</v>
      </c>
      <c r="G150" s="37">
        <v>4732107989</v>
      </c>
      <c r="H150" s="35">
        <v>19759856</v>
      </c>
      <c r="I150" s="55">
        <f t="shared" si="8"/>
        <v>7710097305</v>
      </c>
      <c r="J150" s="54">
        <v>0</v>
      </c>
      <c r="K150" s="56">
        <f t="shared" si="9"/>
        <v>7710097305</v>
      </c>
      <c r="L150" s="54">
        <v>0</v>
      </c>
      <c r="M150" s="67" t="s">
        <v>739</v>
      </c>
      <c r="O150" s="38"/>
      <c r="P150" s="35">
        <v>204117744.50999999</v>
      </c>
      <c r="Q150" s="35">
        <v>62897850</v>
      </c>
      <c r="V150" s="38"/>
      <c r="W150" s="58"/>
      <c r="X150" s="58"/>
      <c r="Y150" s="58"/>
      <c r="Z150" s="58"/>
    </row>
    <row r="151" spans="1:26">
      <c r="A151" s="50" t="s">
        <v>15</v>
      </c>
      <c r="B151" s="51" t="s">
        <v>509</v>
      </c>
      <c r="C151" s="52"/>
      <c r="D151" s="64">
        <v>2022</v>
      </c>
      <c r="E151" s="37">
        <v>1221248707</v>
      </c>
      <c r="F151" s="37">
        <v>1907133797</v>
      </c>
      <c r="G151" s="37">
        <v>4951491373</v>
      </c>
      <c r="H151" s="37">
        <v>10366591</v>
      </c>
      <c r="I151" s="55">
        <f t="shared" si="8"/>
        <v>8090240468</v>
      </c>
      <c r="J151" s="54">
        <v>0</v>
      </c>
      <c r="K151" s="56">
        <f t="shared" si="9"/>
        <v>8090240468</v>
      </c>
      <c r="L151" s="54">
        <v>0</v>
      </c>
      <c r="M151" s="67" t="s">
        <v>739</v>
      </c>
      <c r="O151" s="38"/>
      <c r="P151" s="60">
        <v>248849844</v>
      </c>
      <c r="Q151" s="60">
        <v>61929183</v>
      </c>
      <c r="V151" s="38"/>
      <c r="W151" s="58"/>
      <c r="X151" s="58"/>
      <c r="Y151" s="58"/>
      <c r="Z151" s="58"/>
    </row>
    <row r="152" spans="1:26">
      <c r="A152" s="50" t="s">
        <v>15</v>
      </c>
      <c r="B152" s="51" t="s">
        <v>509</v>
      </c>
      <c r="C152" s="52"/>
      <c r="D152" s="53">
        <v>2023</v>
      </c>
      <c r="E152" s="37">
        <v>1257548384</v>
      </c>
      <c r="F152" s="37">
        <v>2183939769.9383001</v>
      </c>
      <c r="G152" s="37">
        <v>4984720734.3099995</v>
      </c>
      <c r="H152" s="37">
        <v>20255457</v>
      </c>
      <c r="I152" s="55">
        <f t="shared" si="8"/>
        <v>8446464345.2482996</v>
      </c>
      <c r="J152" s="54">
        <v>0</v>
      </c>
      <c r="K152" s="56">
        <f t="shared" si="9"/>
        <v>8446464345.2482996</v>
      </c>
      <c r="L152" s="37">
        <v>0</v>
      </c>
      <c r="M152" s="67" t="s">
        <v>739</v>
      </c>
      <c r="O152" s="38"/>
      <c r="P152" s="60">
        <v>235949539.41999999</v>
      </c>
      <c r="Q152" s="60">
        <v>60847002</v>
      </c>
      <c r="V152" s="38"/>
      <c r="W152" s="58"/>
      <c r="X152" s="58"/>
      <c r="Y152" s="58"/>
      <c r="Z152" s="58"/>
    </row>
    <row r="153" spans="1:26">
      <c r="A153" s="50"/>
      <c r="B153" s="52"/>
      <c r="C153" s="52"/>
      <c r="E153" s="54"/>
      <c r="F153" s="54"/>
      <c r="G153" s="54"/>
      <c r="H153" s="54"/>
      <c r="I153" s="55"/>
      <c r="K153" s="65"/>
      <c r="L153" s="37"/>
      <c r="O153" s="38" t="str">
        <f>IF([1]totrevprm!O154="","",[1]totrevprm!O154)</f>
        <v/>
      </c>
    </row>
    <row r="154" spans="1:26">
      <c r="A154" s="50" t="s">
        <v>16</v>
      </c>
      <c r="B154" s="51" t="s">
        <v>216</v>
      </c>
      <c r="C154" s="52" t="s">
        <v>730</v>
      </c>
      <c r="D154" s="53">
        <v>1988</v>
      </c>
      <c r="E154" s="54">
        <v>5869859995</v>
      </c>
      <c r="F154" s="54">
        <v>5645144027</v>
      </c>
      <c r="G154" s="54">
        <v>6136765670</v>
      </c>
      <c r="H154" s="54">
        <v>0</v>
      </c>
      <c r="I154" s="55">
        <f t="shared" si="8"/>
        <v>17651769692</v>
      </c>
      <c r="J154" s="54">
        <v>-14063521</v>
      </c>
      <c r="K154" s="56">
        <f>SUM(I154:J154)</f>
        <v>17637706171</v>
      </c>
      <c r="L154" s="37">
        <v>0</v>
      </c>
      <c r="O154" s="38" t="str">
        <f>IF([1]totrevprm!O155="","",[1]totrevprm!O155)</f>
        <v/>
      </c>
    </row>
    <row r="155" spans="1:26">
      <c r="A155" s="50" t="s">
        <v>16</v>
      </c>
      <c r="B155" s="51" t="s">
        <v>216</v>
      </c>
      <c r="C155" s="52" t="s">
        <v>731</v>
      </c>
      <c r="D155" s="53">
        <v>1989</v>
      </c>
      <c r="E155" s="54">
        <v>5571024545</v>
      </c>
      <c r="F155" s="54">
        <v>6375337792</v>
      </c>
      <c r="G155" s="54">
        <v>6799488909</v>
      </c>
      <c r="H155" s="54">
        <v>0</v>
      </c>
      <c r="I155" s="55">
        <f t="shared" si="8"/>
        <v>18745851246</v>
      </c>
      <c r="J155" s="54">
        <v>-31983176</v>
      </c>
      <c r="K155" s="56">
        <f t="shared" ref="K155:K189" si="10">SUM(I155:J155)</f>
        <v>18713868070</v>
      </c>
      <c r="L155" s="37">
        <v>0</v>
      </c>
      <c r="O155" s="38" t="str">
        <f>IF([1]totrevprm!O156="","",[1]totrevprm!O156)</f>
        <v/>
      </c>
    </row>
    <row r="156" spans="1:26">
      <c r="A156" s="50" t="s">
        <v>16</v>
      </c>
      <c r="B156" s="51" t="s">
        <v>216</v>
      </c>
      <c r="C156" s="52" t="s">
        <v>731</v>
      </c>
      <c r="D156" s="53">
        <v>1990</v>
      </c>
      <c r="E156" s="54">
        <v>6060907103</v>
      </c>
      <c r="F156" s="54">
        <v>7306550304.7200003</v>
      </c>
      <c r="G156" s="54">
        <v>6895250045</v>
      </c>
      <c r="H156" s="54">
        <v>0</v>
      </c>
      <c r="I156" s="55">
        <f t="shared" si="8"/>
        <v>20262707452.720001</v>
      </c>
      <c r="J156" s="54">
        <v>-14629058</v>
      </c>
      <c r="K156" s="56">
        <f t="shared" si="10"/>
        <v>20248078394.720001</v>
      </c>
      <c r="L156" s="37">
        <v>0</v>
      </c>
      <c r="O156" s="38" t="str">
        <f>IF([1]totrevprm!O157="","",[1]totrevprm!O157)</f>
        <v/>
      </c>
    </row>
    <row r="157" spans="1:26">
      <c r="A157" s="50" t="s">
        <v>16</v>
      </c>
      <c r="B157" s="51" t="s">
        <v>216</v>
      </c>
      <c r="C157" s="52" t="s">
        <v>731</v>
      </c>
      <c r="D157" s="53">
        <v>1991</v>
      </c>
      <c r="E157" s="54">
        <v>6457630456</v>
      </c>
      <c r="F157" s="54">
        <v>6896588577</v>
      </c>
      <c r="G157" s="54">
        <v>6959707145</v>
      </c>
      <c r="H157" s="54">
        <v>0</v>
      </c>
      <c r="I157" s="55">
        <f t="shared" si="8"/>
        <v>20313926178</v>
      </c>
      <c r="J157" s="54">
        <v>-6117362</v>
      </c>
      <c r="K157" s="56">
        <f t="shared" si="10"/>
        <v>20307808816</v>
      </c>
      <c r="L157" s="37">
        <v>0</v>
      </c>
      <c r="O157" s="38" t="str">
        <f>IF([1]totrevprm!O158="","",[1]totrevprm!O158)</f>
        <v/>
      </c>
    </row>
    <row r="158" spans="1:26">
      <c r="A158" s="50" t="s">
        <v>16</v>
      </c>
      <c r="B158" s="51" t="s">
        <v>216</v>
      </c>
      <c r="C158" s="52" t="s">
        <v>731</v>
      </c>
      <c r="D158" s="53">
        <v>1992</v>
      </c>
      <c r="E158" s="54">
        <v>6725017888</v>
      </c>
      <c r="F158" s="54">
        <v>6447826507.6800003</v>
      </c>
      <c r="G158" s="54">
        <v>6809883831</v>
      </c>
      <c r="H158" s="54">
        <v>0</v>
      </c>
      <c r="I158" s="55">
        <f t="shared" si="8"/>
        <v>19982728226.68</v>
      </c>
      <c r="J158" s="54">
        <v>-11401205</v>
      </c>
      <c r="K158" s="56">
        <f t="shared" si="10"/>
        <v>19971327021.68</v>
      </c>
      <c r="L158" s="37">
        <v>0</v>
      </c>
      <c r="O158" s="38" t="str">
        <f>IF([1]totrevprm!O159="","",[1]totrevprm!O159)</f>
        <v/>
      </c>
    </row>
    <row r="159" spans="1:26">
      <c r="A159" s="50" t="s">
        <v>16</v>
      </c>
      <c r="B159" s="51" t="s">
        <v>216</v>
      </c>
      <c r="C159" s="52" t="s">
        <v>731</v>
      </c>
      <c r="D159" s="53">
        <v>1993</v>
      </c>
      <c r="E159" s="54">
        <v>6899295248</v>
      </c>
      <c r="F159" s="54">
        <v>6183736809</v>
      </c>
      <c r="G159" s="54">
        <v>6660249179</v>
      </c>
      <c r="H159" s="54">
        <v>0</v>
      </c>
      <c r="I159" s="55">
        <f t="shared" si="8"/>
        <v>19743281236</v>
      </c>
      <c r="J159" s="54">
        <v>-41395204</v>
      </c>
      <c r="K159" s="56">
        <f t="shared" si="10"/>
        <v>19701886032</v>
      </c>
      <c r="L159" s="37">
        <v>0</v>
      </c>
      <c r="O159" s="38" t="str">
        <f>IF([1]totrevprm!O160="","",[1]totrevprm!O160)</f>
        <v/>
      </c>
    </row>
    <row r="160" spans="1:26">
      <c r="A160" s="50" t="s">
        <v>16</v>
      </c>
      <c r="B160" s="51" t="s">
        <v>216</v>
      </c>
      <c r="C160" s="52" t="s">
        <v>731</v>
      </c>
      <c r="D160" s="53">
        <v>1994</v>
      </c>
      <c r="E160" s="54">
        <v>7376932083</v>
      </c>
      <c r="F160" s="54">
        <v>9485826336</v>
      </c>
      <c r="G160" s="54">
        <v>6316933092</v>
      </c>
      <c r="H160" s="54">
        <v>0</v>
      </c>
      <c r="I160" s="55">
        <f t="shared" si="8"/>
        <v>23179691511</v>
      </c>
      <c r="J160" s="54">
        <v>-321757288</v>
      </c>
      <c r="K160" s="56">
        <f t="shared" si="10"/>
        <v>22857934223</v>
      </c>
      <c r="L160" s="37">
        <v>0</v>
      </c>
      <c r="O160" s="38" t="str">
        <f>IF([1]totrevprm!O161="","",[1]totrevprm!O161)</f>
        <v/>
      </c>
    </row>
    <row r="161" spans="1:26">
      <c r="A161" s="50" t="s">
        <v>16</v>
      </c>
      <c r="B161" s="51" t="s">
        <v>216</v>
      </c>
      <c r="C161" s="52" t="s">
        <v>731</v>
      </c>
      <c r="D161" s="53">
        <v>1995</v>
      </c>
      <c r="E161" s="54">
        <v>7579574085</v>
      </c>
      <c r="F161" s="54">
        <v>8704477714</v>
      </c>
      <c r="G161" s="54">
        <v>6233903746</v>
      </c>
      <c r="H161" s="54">
        <v>0</v>
      </c>
      <c r="I161" s="55">
        <f t="shared" si="8"/>
        <v>22517955545</v>
      </c>
      <c r="J161" s="54">
        <v>-6801422</v>
      </c>
      <c r="K161" s="56">
        <f t="shared" si="10"/>
        <v>22511154123</v>
      </c>
      <c r="L161" s="37">
        <v>0</v>
      </c>
      <c r="O161" s="38" t="str">
        <f>IF([1]totrevprm!O162="","",[1]totrevprm!O162)</f>
        <v/>
      </c>
    </row>
    <row r="162" spans="1:26">
      <c r="A162" s="50" t="s">
        <v>16</v>
      </c>
      <c r="B162" s="51" t="s">
        <v>216</v>
      </c>
      <c r="C162" s="52" t="s">
        <v>731</v>
      </c>
      <c r="D162" s="53">
        <v>1996</v>
      </c>
      <c r="E162" s="54">
        <v>7616946775</v>
      </c>
      <c r="F162" s="54">
        <v>7718980446</v>
      </c>
      <c r="G162" s="54">
        <v>6374956738</v>
      </c>
      <c r="H162" s="54">
        <v>0</v>
      </c>
      <c r="I162" s="55">
        <f t="shared" si="8"/>
        <v>21710883959</v>
      </c>
      <c r="J162" s="54">
        <v>-10</v>
      </c>
      <c r="K162" s="56">
        <f t="shared" si="10"/>
        <v>21710883949</v>
      </c>
      <c r="L162" s="37">
        <v>0</v>
      </c>
      <c r="O162" s="38" t="str">
        <f>IF([1]totrevprm!O163="","",[1]totrevprm!O163)</f>
        <v/>
      </c>
    </row>
    <row r="163" spans="1:26">
      <c r="A163" s="50" t="s">
        <v>16</v>
      </c>
      <c r="B163" s="51" t="s">
        <v>216</v>
      </c>
      <c r="C163" s="52" t="s">
        <v>731</v>
      </c>
      <c r="D163" s="53">
        <v>1997</v>
      </c>
      <c r="E163" s="54">
        <v>7800798993</v>
      </c>
      <c r="F163" s="54">
        <v>7481076398</v>
      </c>
      <c r="G163" s="54">
        <v>6528123426</v>
      </c>
      <c r="H163" s="54">
        <v>0</v>
      </c>
      <c r="I163" s="55">
        <f t="shared" si="8"/>
        <v>21809998817</v>
      </c>
      <c r="J163" s="54">
        <v>-3555414</v>
      </c>
      <c r="K163" s="56">
        <f t="shared" si="10"/>
        <v>21806443403</v>
      </c>
      <c r="L163" s="37">
        <v>0</v>
      </c>
      <c r="O163" s="38" t="str">
        <f>IF([1]totrevprm!O164="","",[1]totrevprm!O164)</f>
        <v/>
      </c>
    </row>
    <row r="164" spans="1:26">
      <c r="A164" s="50" t="s">
        <v>16</v>
      </c>
      <c r="B164" s="51" t="s">
        <v>216</v>
      </c>
      <c r="C164" s="52" t="s">
        <v>731</v>
      </c>
      <c r="D164" s="53">
        <v>1998</v>
      </c>
      <c r="E164" s="54">
        <v>7766804281</v>
      </c>
      <c r="F164" s="54">
        <v>7004696085</v>
      </c>
      <c r="G164" s="54">
        <v>6543001806</v>
      </c>
      <c r="H164" s="54">
        <v>0</v>
      </c>
      <c r="I164" s="55">
        <f t="shared" si="8"/>
        <v>21314502172</v>
      </c>
      <c r="J164" s="54">
        <v>-21440762</v>
      </c>
      <c r="K164" s="56">
        <f t="shared" si="10"/>
        <v>21293061410</v>
      </c>
      <c r="L164" s="37">
        <v>0</v>
      </c>
      <c r="O164" s="38" t="str">
        <f>IF([1]totrevprm!O165="","",[1]totrevprm!O165)</f>
        <v/>
      </c>
    </row>
    <row r="165" spans="1:26">
      <c r="A165" s="50" t="s">
        <v>16</v>
      </c>
      <c r="B165" s="51" t="s">
        <v>216</v>
      </c>
      <c r="C165" s="52" t="s">
        <v>747</v>
      </c>
      <c r="D165" s="53">
        <v>1999</v>
      </c>
      <c r="E165" s="54">
        <v>7885292351</v>
      </c>
      <c r="F165" s="54">
        <v>9793355153</v>
      </c>
      <c r="G165" s="54">
        <v>6990754845</v>
      </c>
      <c r="H165" s="54">
        <v>0</v>
      </c>
      <c r="I165" s="55">
        <f t="shared" si="8"/>
        <v>24669402349</v>
      </c>
      <c r="J165" s="54">
        <v>-1263135</v>
      </c>
      <c r="K165" s="56">
        <f t="shared" si="10"/>
        <v>24668139214</v>
      </c>
      <c r="L165" s="37">
        <v>0</v>
      </c>
      <c r="O165" s="38" t="str">
        <f>IF([1]totrevprm!O166="","",[1]totrevprm!O166)</f>
        <v/>
      </c>
    </row>
    <row r="166" spans="1:26">
      <c r="A166" s="50" t="s">
        <v>16</v>
      </c>
      <c r="B166" s="51" t="s">
        <v>216</v>
      </c>
      <c r="C166" s="52" t="s">
        <v>731</v>
      </c>
      <c r="D166" s="53">
        <v>2000</v>
      </c>
      <c r="E166" s="54">
        <v>8863491410</v>
      </c>
      <c r="F166" s="54">
        <v>10223112717</v>
      </c>
      <c r="G166" s="54">
        <v>7479315118</v>
      </c>
      <c r="H166" s="54">
        <v>0</v>
      </c>
      <c r="I166" s="55">
        <f t="shared" si="8"/>
        <v>26565919245</v>
      </c>
      <c r="J166" s="54">
        <v>-31627644</v>
      </c>
      <c r="K166" s="56">
        <f t="shared" si="10"/>
        <v>26534291601</v>
      </c>
      <c r="L166" s="37">
        <v>0</v>
      </c>
      <c r="O166" s="38" t="str">
        <f>IF([1]totrevprm!O167="","",[1]totrevprm!O167)</f>
        <v/>
      </c>
      <c r="V166" s="38" t="s">
        <v>216</v>
      </c>
      <c r="W166" s="58">
        <v>7346430</v>
      </c>
      <c r="X166" s="58">
        <v>151817239</v>
      </c>
      <c r="Y166" s="58">
        <v>101507832</v>
      </c>
      <c r="Z166" s="58">
        <v>0</v>
      </c>
    </row>
    <row r="167" spans="1:26">
      <c r="A167" s="50" t="s">
        <v>16</v>
      </c>
      <c r="B167" s="51" t="s">
        <v>216</v>
      </c>
      <c r="C167" s="52" t="s">
        <v>731</v>
      </c>
      <c r="D167" s="53">
        <v>2001</v>
      </c>
      <c r="E167" s="54">
        <v>8612598599</v>
      </c>
      <c r="F167" s="54">
        <v>14092356822</v>
      </c>
      <c r="G167" s="54">
        <v>8100626986</v>
      </c>
      <c r="H167" s="54">
        <v>0</v>
      </c>
      <c r="I167" s="55">
        <f t="shared" si="8"/>
        <v>30805582407</v>
      </c>
      <c r="J167" s="54">
        <v>-34747379</v>
      </c>
      <c r="K167" s="56">
        <f t="shared" si="10"/>
        <v>30770835028</v>
      </c>
      <c r="L167" s="37">
        <v>0</v>
      </c>
      <c r="O167" s="38" t="str">
        <f>IF([1]totrevprm!O168="","",[1]totrevprm!O168)</f>
        <v/>
      </c>
      <c r="V167" s="38"/>
      <c r="W167" s="58"/>
      <c r="X167" s="58"/>
      <c r="Y167" s="58"/>
      <c r="Z167" s="58"/>
    </row>
    <row r="168" spans="1:26">
      <c r="A168" s="50" t="s">
        <v>16</v>
      </c>
      <c r="B168" s="51" t="s">
        <v>216</v>
      </c>
      <c r="C168" s="52" t="s">
        <v>731</v>
      </c>
      <c r="D168" s="53">
        <v>2002</v>
      </c>
      <c r="E168" s="54">
        <v>9057974748</v>
      </c>
      <c r="F168" s="54">
        <v>18455328942</v>
      </c>
      <c r="G168" s="54">
        <v>8589681968</v>
      </c>
      <c r="H168" s="54">
        <v>0</v>
      </c>
      <c r="I168" s="55">
        <f t="shared" si="8"/>
        <v>36102985658</v>
      </c>
      <c r="J168" s="54">
        <v>-10827331</v>
      </c>
      <c r="K168" s="56">
        <f t="shared" si="10"/>
        <v>36092158327</v>
      </c>
      <c r="L168" s="37">
        <v>0</v>
      </c>
      <c r="O168" s="38" t="str">
        <f>IF([1]totrevprm!O169="","",[1]totrevprm!O169)</f>
        <v/>
      </c>
      <c r="V168" s="38"/>
      <c r="W168" s="58"/>
      <c r="X168" s="58"/>
      <c r="Y168" s="58"/>
      <c r="Z168" s="58"/>
    </row>
    <row r="169" spans="1:26">
      <c r="A169" s="50" t="s">
        <v>16</v>
      </c>
      <c r="B169" s="51" t="s">
        <v>216</v>
      </c>
      <c r="C169" s="52" t="s">
        <v>731</v>
      </c>
      <c r="D169" s="53">
        <v>2003</v>
      </c>
      <c r="E169" s="59">
        <v>9556919352</v>
      </c>
      <c r="F169" s="59">
        <v>15880841833</v>
      </c>
      <c r="G169" s="59">
        <v>9223789031</v>
      </c>
      <c r="H169" s="37">
        <v>0</v>
      </c>
      <c r="I169" s="55">
        <f t="shared" si="8"/>
        <v>34661550216</v>
      </c>
      <c r="J169" s="54">
        <v>-135561</v>
      </c>
      <c r="K169" s="56">
        <f t="shared" si="10"/>
        <v>34661414655</v>
      </c>
      <c r="L169" s="37">
        <v>0</v>
      </c>
      <c r="O169" s="38" t="str">
        <f>IF([1]totrevprm!O170="","",[1]totrevprm!O170)</f>
        <v/>
      </c>
      <c r="V169" s="38"/>
      <c r="W169" s="58"/>
      <c r="X169" s="58"/>
      <c r="Y169" s="58"/>
      <c r="Z169" s="58"/>
    </row>
    <row r="170" spans="1:26">
      <c r="A170" s="50" t="s">
        <v>16</v>
      </c>
      <c r="B170" s="51" t="s">
        <v>216</v>
      </c>
      <c r="C170" s="52" t="s">
        <v>731</v>
      </c>
      <c r="D170" s="53">
        <v>2004</v>
      </c>
      <c r="E170" s="59">
        <v>10265295621</v>
      </c>
      <c r="F170" s="59">
        <v>14543251286</v>
      </c>
      <c r="G170" s="59">
        <v>10073894659</v>
      </c>
      <c r="H170" s="37">
        <v>0</v>
      </c>
      <c r="I170" s="55">
        <f t="shared" si="8"/>
        <v>34882441566</v>
      </c>
      <c r="J170" s="54">
        <v>-3880524</v>
      </c>
      <c r="K170" s="56">
        <f t="shared" si="10"/>
        <v>34878561042</v>
      </c>
      <c r="L170" s="37">
        <v>0</v>
      </c>
      <c r="O170" s="38" t="str">
        <f>IF([1]totrevprm!O171="","",[1]totrevprm!O171)</f>
        <v/>
      </c>
      <c r="V170" s="38"/>
      <c r="W170" s="58"/>
      <c r="X170" s="58"/>
      <c r="Y170" s="58"/>
      <c r="Z170" s="58"/>
    </row>
    <row r="171" spans="1:26">
      <c r="A171" s="50" t="s">
        <v>16</v>
      </c>
      <c r="B171" s="51" t="s">
        <v>216</v>
      </c>
      <c r="C171" s="52"/>
      <c r="D171" s="53">
        <v>2005</v>
      </c>
      <c r="E171" s="59">
        <v>10517958453</v>
      </c>
      <c r="F171" s="59">
        <v>13186564470</v>
      </c>
      <c r="G171" s="59">
        <v>11094211901.290001</v>
      </c>
      <c r="H171" s="37">
        <v>0</v>
      </c>
      <c r="I171" s="55">
        <f t="shared" si="8"/>
        <v>34798734824.290001</v>
      </c>
      <c r="J171" s="54">
        <v>-1174345</v>
      </c>
      <c r="K171" s="56">
        <f t="shared" si="10"/>
        <v>34797560479.290001</v>
      </c>
      <c r="L171" s="37">
        <v>0</v>
      </c>
      <c r="O171" s="38" t="str">
        <f>IF([1]totrevprm!O172="","",[1]totrevprm!O172)</f>
        <v/>
      </c>
      <c r="V171" s="38"/>
      <c r="W171" s="58"/>
      <c r="X171" s="58"/>
      <c r="Y171" s="58"/>
      <c r="Z171" s="58"/>
    </row>
    <row r="172" spans="1:26">
      <c r="A172" s="50" t="s">
        <v>16</v>
      </c>
      <c r="B172" s="51" t="s">
        <v>216</v>
      </c>
      <c r="C172" s="52"/>
      <c r="D172" s="53">
        <v>2006</v>
      </c>
      <c r="E172" s="37">
        <v>11359413366</v>
      </c>
      <c r="F172" s="37">
        <v>16932938392</v>
      </c>
      <c r="G172" s="37">
        <v>13146775669</v>
      </c>
      <c r="H172" s="37">
        <v>0</v>
      </c>
      <c r="I172" s="55">
        <f t="shared" ref="I172:I235" si="11">SUM(E172:H172)</f>
        <v>41439127427</v>
      </c>
      <c r="J172" s="54">
        <v>-22272826</v>
      </c>
      <c r="K172" s="56">
        <f t="shared" si="10"/>
        <v>41416854601</v>
      </c>
      <c r="L172" s="37">
        <v>0</v>
      </c>
      <c r="O172" s="38" t="str">
        <f>IF([1]totrevprm!O173="","",[1]totrevprm!O173)</f>
        <v/>
      </c>
      <c r="V172" s="38"/>
      <c r="W172" s="58"/>
      <c r="X172" s="58"/>
      <c r="Y172" s="58"/>
      <c r="Z172" s="58"/>
    </row>
    <row r="173" spans="1:26">
      <c r="A173" s="50" t="s">
        <v>16</v>
      </c>
      <c r="B173" s="51" t="s">
        <v>216</v>
      </c>
      <c r="C173" s="52"/>
      <c r="D173" s="53">
        <v>2007</v>
      </c>
      <c r="E173" s="37">
        <v>11808943698</v>
      </c>
      <c r="F173" s="37">
        <v>14644539021</v>
      </c>
      <c r="G173" s="37">
        <v>14751063188</v>
      </c>
      <c r="H173" s="37">
        <v>0</v>
      </c>
      <c r="I173" s="55">
        <f t="shared" si="11"/>
        <v>41204545907</v>
      </c>
      <c r="J173" s="54">
        <v>-8</v>
      </c>
      <c r="K173" s="56">
        <f t="shared" si="10"/>
        <v>41204545899</v>
      </c>
      <c r="L173" s="37">
        <v>0</v>
      </c>
      <c r="O173" s="38" t="str">
        <f>IF([1]totrevprm!O174="","",[1]totrevprm!O174)</f>
        <v/>
      </c>
      <c r="V173" s="38"/>
      <c r="W173" s="58"/>
      <c r="X173" s="58"/>
      <c r="Y173" s="58"/>
      <c r="Z173" s="58"/>
    </row>
    <row r="174" spans="1:26">
      <c r="A174" s="50" t="s">
        <v>16</v>
      </c>
      <c r="B174" s="51" t="s">
        <v>216</v>
      </c>
      <c r="C174" s="52"/>
      <c r="D174" s="53">
        <v>2008</v>
      </c>
      <c r="E174" s="37">
        <v>12228474409</v>
      </c>
      <c r="F174" s="37">
        <v>18955401486</v>
      </c>
      <c r="G174" s="37">
        <v>16184598925</v>
      </c>
      <c r="H174" s="37">
        <v>0</v>
      </c>
      <c r="I174" s="55">
        <f t="shared" si="11"/>
        <v>47368474820</v>
      </c>
      <c r="J174" s="54">
        <v>-158283</v>
      </c>
      <c r="K174" s="56">
        <f t="shared" si="10"/>
        <v>47368316537</v>
      </c>
      <c r="L174" s="37">
        <v>0</v>
      </c>
      <c r="O174" s="38" t="str">
        <f>IF([1]totrevprm!O175="","",[1]totrevprm!O175)</f>
        <v/>
      </c>
      <c r="V174" s="38"/>
      <c r="W174" s="58"/>
      <c r="X174" s="58"/>
      <c r="Y174" s="58"/>
      <c r="Z174" s="58"/>
    </row>
    <row r="175" spans="1:26">
      <c r="A175" s="50" t="s">
        <v>16</v>
      </c>
      <c r="B175" s="51" t="s">
        <v>216</v>
      </c>
      <c r="C175" s="52"/>
      <c r="D175" s="53">
        <v>2009</v>
      </c>
      <c r="E175" s="37">
        <v>12567430402</v>
      </c>
      <c r="F175" s="37">
        <v>18152537452</v>
      </c>
      <c r="G175" s="37">
        <v>17576967802</v>
      </c>
      <c r="H175" s="37">
        <v>0</v>
      </c>
      <c r="I175" s="55">
        <f t="shared" si="11"/>
        <v>48296935656</v>
      </c>
      <c r="J175" s="54">
        <v>-1328403</v>
      </c>
      <c r="K175" s="56">
        <f t="shared" si="10"/>
        <v>48295607253</v>
      </c>
      <c r="L175" s="37">
        <v>0</v>
      </c>
      <c r="O175" s="38" t="str">
        <f>IF([1]totrevprm!O176="","",[1]totrevprm!O176)</f>
        <v/>
      </c>
      <c r="V175" s="38"/>
      <c r="W175" s="58"/>
      <c r="X175" s="58"/>
      <c r="Y175" s="58"/>
      <c r="Z175" s="58"/>
    </row>
    <row r="176" spans="1:26">
      <c r="A176" s="50" t="s">
        <v>16</v>
      </c>
      <c r="B176" s="51" t="s">
        <v>216</v>
      </c>
      <c r="C176" s="52"/>
      <c r="D176" s="53">
        <v>2010</v>
      </c>
      <c r="E176" s="37">
        <v>13286970914</v>
      </c>
      <c r="F176" s="37">
        <v>14301467557</v>
      </c>
      <c r="G176" s="37">
        <v>17482654368</v>
      </c>
      <c r="H176" s="37">
        <v>0</v>
      </c>
      <c r="I176" s="55">
        <f t="shared" si="11"/>
        <v>45071092839</v>
      </c>
      <c r="J176" s="54">
        <v>-136362</v>
      </c>
      <c r="K176" s="56">
        <f t="shared" si="10"/>
        <v>45070956477</v>
      </c>
      <c r="L176" s="37">
        <v>0</v>
      </c>
      <c r="O176" s="38" t="str">
        <f>IF([1]totrevprm!O177="","",[1]totrevprm!O177)</f>
        <v/>
      </c>
      <c r="V176" s="38"/>
      <c r="W176" s="58"/>
      <c r="X176" s="58"/>
      <c r="Y176" s="58"/>
      <c r="Z176" s="58"/>
    </row>
    <row r="177" spans="1:26">
      <c r="A177" s="50" t="s">
        <v>16</v>
      </c>
      <c r="B177" s="51" t="s">
        <v>216</v>
      </c>
      <c r="C177" s="52"/>
      <c r="D177" s="53">
        <v>2011</v>
      </c>
      <c r="E177" s="37">
        <v>13550580847</v>
      </c>
      <c r="F177" s="37">
        <v>13874371219</v>
      </c>
      <c r="G177" s="37">
        <v>19045939300.830002</v>
      </c>
      <c r="H177" s="37">
        <v>0</v>
      </c>
      <c r="I177" s="55">
        <f t="shared" si="11"/>
        <v>46470891366.830002</v>
      </c>
      <c r="J177" s="54">
        <v>-993758</v>
      </c>
      <c r="K177" s="56">
        <f t="shared" si="10"/>
        <v>46469897608.830002</v>
      </c>
      <c r="L177" s="37">
        <v>0</v>
      </c>
      <c r="O177" s="38" t="str">
        <f>IF([1]totrevprm!O178="","",[1]totrevprm!O178)</f>
        <v/>
      </c>
      <c r="V177" s="38"/>
      <c r="W177" s="58"/>
      <c r="X177" s="58"/>
      <c r="Y177" s="58"/>
      <c r="Z177" s="58"/>
    </row>
    <row r="178" spans="1:26">
      <c r="A178" s="50" t="s">
        <v>16</v>
      </c>
      <c r="B178" s="51" t="s">
        <v>216</v>
      </c>
      <c r="C178" s="52"/>
      <c r="D178" s="53">
        <v>2012</v>
      </c>
      <c r="E178" s="37">
        <v>14090324708</v>
      </c>
      <c r="F178" s="37">
        <v>13454101251</v>
      </c>
      <c r="G178" s="37">
        <v>18147485702</v>
      </c>
      <c r="H178" s="37">
        <v>0</v>
      </c>
      <c r="I178" s="55">
        <f t="shared" si="11"/>
        <v>45691911661</v>
      </c>
      <c r="J178" s="54">
        <v>-9159668</v>
      </c>
      <c r="K178" s="56">
        <f t="shared" si="10"/>
        <v>45682751993</v>
      </c>
      <c r="L178" s="37">
        <v>0</v>
      </c>
      <c r="O178" s="38" t="str">
        <f>IF([1]totrevprm!O179="","",[1]totrevprm!O179)</f>
        <v/>
      </c>
      <c r="V178" s="38"/>
      <c r="W178" s="58"/>
      <c r="X178" s="58"/>
      <c r="Y178" s="58"/>
      <c r="Z178" s="58"/>
    </row>
    <row r="179" spans="1:26">
      <c r="A179" s="50" t="s">
        <v>16</v>
      </c>
      <c r="B179" s="51" t="s">
        <v>216</v>
      </c>
      <c r="C179" s="52"/>
      <c r="D179" s="53">
        <v>2013</v>
      </c>
      <c r="E179" s="37">
        <v>14166836636</v>
      </c>
      <c r="F179" s="37">
        <v>13273178082</v>
      </c>
      <c r="G179" s="37">
        <v>18630261988</v>
      </c>
      <c r="H179" s="37">
        <v>0</v>
      </c>
      <c r="I179" s="55">
        <f t="shared" si="11"/>
        <v>46070276706</v>
      </c>
      <c r="J179" s="54">
        <v>-61224</v>
      </c>
      <c r="K179" s="56">
        <f t="shared" si="10"/>
        <v>46070215482</v>
      </c>
      <c r="L179" s="37">
        <v>0</v>
      </c>
      <c r="O179" s="38" t="str">
        <f>IF([1]totrevprm!O180="","",[1]totrevprm!O180)</f>
        <v/>
      </c>
      <c r="V179" s="38"/>
      <c r="W179" s="58"/>
      <c r="X179" s="58"/>
      <c r="Y179" s="58"/>
      <c r="Z179" s="58"/>
    </row>
    <row r="180" spans="1:26">
      <c r="A180" s="50" t="s">
        <v>16</v>
      </c>
      <c r="B180" s="51" t="s">
        <v>216</v>
      </c>
      <c r="C180" s="52"/>
      <c r="D180" s="64">
        <v>2014</v>
      </c>
      <c r="E180" s="37">
        <v>14698461843</v>
      </c>
      <c r="F180" s="37">
        <v>14598030629</v>
      </c>
      <c r="G180" s="37">
        <v>17255933737.619999</v>
      </c>
      <c r="H180" s="37">
        <v>0</v>
      </c>
      <c r="I180" s="55">
        <f t="shared" si="11"/>
        <v>46552426209.619995</v>
      </c>
      <c r="J180" s="54">
        <v>-24078</v>
      </c>
      <c r="K180" s="56">
        <f t="shared" si="10"/>
        <v>46552402131.619995</v>
      </c>
      <c r="L180" s="37">
        <v>0</v>
      </c>
      <c r="O180" s="38" t="str">
        <f>IF([1]totrevprm!O181="","",[1]totrevprm!O181)</f>
        <v/>
      </c>
      <c r="V180" s="38"/>
      <c r="W180" s="58"/>
      <c r="X180" s="58"/>
      <c r="Y180" s="58"/>
      <c r="Z180" s="58"/>
    </row>
    <row r="181" spans="1:26">
      <c r="A181" s="50" t="s">
        <v>16</v>
      </c>
      <c r="B181" s="51" t="s">
        <v>216</v>
      </c>
      <c r="C181" s="52"/>
      <c r="D181" s="64">
        <v>2015</v>
      </c>
      <c r="E181" s="37">
        <v>15364452006</v>
      </c>
      <c r="F181" s="37">
        <v>16850529093</v>
      </c>
      <c r="G181" s="37">
        <v>16771195626</v>
      </c>
      <c r="H181" s="37">
        <v>0</v>
      </c>
      <c r="I181" s="55">
        <f t="shared" si="11"/>
        <v>48986176725</v>
      </c>
      <c r="J181" s="54">
        <v>-1136520</v>
      </c>
      <c r="K181" s="56">
        <f t="shared" si="10"/>
        <v>48985040205</v>
      </c>
      <c r="L181" s="37">
        <v>0</v>
      </c>
      <c r="O181" s="38" t="str">
        <f>IF([1]totrevprm!O182="","",[1]totrevprm!O182)</f>
        <v/>
      </c>
      <c r="P181" s="35">
        <v>2250937303.708766</v>
      </c>
      <c r="Q181" s="35">
        <v>973916865.63059711</v>
      </c>
      <c r="V181" s="38"/>
      <c r="W181" s="58"/>
      <c r="X181" s="58"/>
      <c r="Y181" s="58"/>
      <c r="Z181" s="58"/>
    </row>
    <row r="182" spans="1:26">
      <c r="A182" s="50" t="s">
        <v>16</v>
      </c>
      <c r="B182" s="51" t="s">
        <v>216</v>
      </c>
      <c r="C182" s="52"/>
      <c r="D182" s="64">
        <v>2016</v>
      </c>
      <c r="E182" s="37">
        <v>15936331841</v>
      </c>
      <c r="F182" s="37">
        <v>19280691231</v>
      </c>
      <c r="G182" s="37">
        <v>14968585780</v>
      </c>
      <c r="H182" s="37">
        <v>0</v>
      </c>
      <c r="I182" s="55">
        <f t="shared" si="11"/>
        <v>50185608852</v>
      </c>
      <c r="J182" s="54">
        <v>-1882738</v>
      </c>
      <c r="K182" s="56">
        <f t="shared" si="10"/>
        <v>50183726114</v>
      </c>
      <c r="L182" s="37">
        <v>0</v>
      </c>
      <c r="O182" s="38" t="str">
        <f>IF([1]totrevprm!O183="","",[1]totrevprm!O183)</f>
        <v/>
      </c>
      <c r="P182" s="35">
        <v>2310968571.2065039</v>
      </c>
      <c r="Q182" s="35">
        <v>975752581.28330827</v>
      </c>
      <c r="V182" s="38"/>
      <c r="W182" s="58"/>
      <c r="X182" s="58"/>
      <c r="Y182" s="58"/>
      <c r="Z182" s="58"/>
    </row>
    <row r="183" spans="1:26">
      <c r="A183" s="50" t="s">
        <v>16</v>
      </c>
      <c r="B183" s="51" t="s">
        <v>216</v>
      </c>
      <c r="C183" s="52"/>
      <c r="D183" s="64">
        <v>2017</v>
      </c>
      <c r="E183" s="37">
        <v>16990289462</v>
      </c>
      <c r="F183" s="37">
        <v>17377000108</v>
      </c>
      <c r="G183" s="37">
        <v>15029057062.51</v>
      </c>
      <c r="H183" s="37">
        <v>0</v>
      </c>
      <c r="I183" s="55">
        <f t="shared" si="11"/>
        <v>49396346632.510002</v>
      </c>
      <c r="J183" s="54">
        <v>-681771</v>
      </c>
      <c r="K183" s="56">
        <f t="shared" si="10"/>
        <v>49395664861.510002</v>
      </c>
      <c r="L183" s="37">
        <v>0</v>
      </c>
      <c r="O183" s="38" t="str">
        <f>IF([1]totrevprm!O184="","",[1]totrevprm!O184)</f>
        <v/>
      </c>
      <c r="P183" s="35">
        <v>2424937058.588583</v>
      </c>
      <c r="Q183" s="35">
        <v>979423654.34511817</v>
      </c>
      <c r="V183" s="38"/>
      <c r="W183" s="58"/>
      <c r="X183" s="58"/>
      <c r="Y183" s="58"/>
      <c r="Z183" s="58"/>
    </row>
    <row r="184" spans="1:26">
      <c r="A184" s="50" t="s">
        <v>16</v>
      </c>
      <c r="B184" s="51" t="s">
        <v>216</v>
      </c>
      <c r="C184" s="52"/>
      <c r="D184" s="64">
        <v>2018</v>
      </c>
      <c r="E184" s="37">
        <v>17457326757</v>
      </c>
      <c r="F184" s="37">
        <v>21626890122</v>
      </c>
      <c r="G184" s="37">
        <v>15216097330.08</v>
      </c>
      <c r="H184" s="37">
        <v>0</v>
      </c>
      <c r="I184" s="55">
        <f t="shared" si="11"/>
        <v>54300314209.080002</v>
      </c>
      <c r="J184" s="54">
        <v>-567164</v>
      </c>
      <c r="K184" s="56">
        <f t="shared" si="10"/>
        <v>54299747045.080002</v>
      </c>
      <c r="L184" s="60">
        <v>0</v>
      </c>
      <c r="O184" s="38" t="str">
        <f>IF([1]totrevprm!O185="","",[1]totrevprm!O185)</f>
        <v/>
      </c>
      <c r="P184" s="35">
        <v>2466021940.4350677</v>
      </c>
      <c r="Q184" s="35">
        <v>938651053.17872906</v>
      </c>
      <c r="V184" s="38"/>
      <c r="W184" s="58"/>
      <c r="X184" s="58"/>
      <c r="Y184" s="58"/>
      <c r="Z184" s="58"/>
    </row>
    <row r="185" spans="1:26">
      <c r="A185" s="50" t="s">
        <v>16</v>
      </c>
      <c r="B185" s="51" t="s">
        <v>216</v>
      </c>
      <c r="C185" s="52"/>
      <c r="D185" s="64">
        <v>2019</v>
      </c>
      <c r="E185" s="37">
        <v>18378700714</v>
      </c>
      <c r="F185" s="37">
        <v>22046286100</v>
      </c>
      <c r="G185" s="37">
        <v>15891889249.528099</v>
      </c>
      <c r="H185" s="37">
        <v>0</v>
      </c>
      <c r="I185" s="55">
        <f t="shared" si="11"/>
        <v>56316876063.528099</v>
      </c>
      <c r="J185" s="54">
        <v>-98169883</v>
      </c>
      <c r="K185" s="56">
        <f t="shared" si="10"/>
        <v>56218706180.528099</v>
      </c>
      <c r="L185" s="60">
        <v>0</v>
      </c>
      <c r="O185" s="38" t="str">
        <f>IF([1]totrevprm!O186="","",[1]totrevprm!O186)</f>
        <v/>
      </c>
      <c r="P185" s="35">
        <v>2626901719.403523</v>
      </c>
      <c r="Q185" s="35">
        <v>965859064.68969738</v>
      </c>
      <c r="V185" s="38"/>
      <c r="W185" s="58"/>
      <c r="X185" s="58"/>
      <c r="Y185" s="58"/>
      <c r="Z185" s="58"/>
    </row>
    <row r="186" spans="1:26">
      <c r="A186" s="50" t="s">
        <v>16</v>
      </c>
      <c r="B186" s="51" t="s">
        <v>216</v>
      </c>
      <c r="C186" s="52"/>
      <c r="D186" s="64">
        <v>2020</v>
      </c>
      <c r="E186" s="37">
        <v>18819853753</v>
      </c>
      <c r="F186" s="37">
        <v>21138053643</v>
      </c>
      <c r="G186" s="37">
        <v>15741208826</v>
      </c>
      <c r="H186" s="37">
        <v>0</v>
      </c>
      <c r="I186" s="55">
        <f t="shared" si="11"/>
        <v>55699116222</v>
      </c>
      <c r="J186" s="54">
        <v>-3409</v>
      </c>
      <c r="K186" s="56">
        <f t="shared" si="10"/>
        <v>55699112813</v>
      </c>
      <c r="L186" s="60">
        <v>0</v>
      </c>
      <c r="O186" s="38" t="str">
        <f>IF([1]totrevprm!O187="","",[1]totrevprm!O187)</f>
        <v/>
      </c>
      <c r="P186" s="35">
        <v>2633521923</v>
      </c>
      <c r="Q186" s="35">
        <v>941835703</v>
      </c>
      <c r="V186" s="38"/>
      <c r="W186" s="58"/>
      <c r="X186" s="58"/>
      <c r="Y186" s="58"/>
      <c r="Z186" s="58"/>
    </row>
    <row r="187" spans="1:26">
      <c r="A187" s="50" t="s">
        <v>16</v>
      </c>
      <c r="B187" s="51" t="s">
        <v>216</v>
      </c>
      <c r="C187" s="52"/>
      <c r="D187" s="64">
        <v>2021</v>
      </c>
      <c r="E187" s="37">
        <v>19563309118</v>
      </c>
      <c r="F187" s="37">
        <v>21913182447</v>
      </c>
      <c r="G187" s="37">
        <v>14807704255.130001</v>
      </c>
      <c r="H187" s="37">
        <v>0</v>
      </c>
      <c r="I187" s="55">
        <f t="shared" si="11"/>
        <v>56284195820.130005</v>
      </c>
      <c r="J187" s="60">
        <v>-391000</v>
      </c>
      <c r="K187" s="56">
        <f t="shared" si="10"/>
        <v>56283804820.130005</v>
      </c>
      <c r="L187" s="60">
        <v>0</v>
      </c>
      <c r="O187" s="38"/>
      <c r="P187" s="35">
        <v>2518116757.29</v>
      </c>
      <c r="Q187" s="35">
        <v>992481706</v>
      </c>
      <c r="V187" s="38"/>
      <c r="W187" s="58"/>
      <c r="X187" s="58"/>
      <c r="Y187" s="58"/>
      <c r="Z187" s="58"/>
    </row>
    <row r="188" spans="1:26">
      <c r="A188" s="50" t="s">
        <v>16</v>
      </c>
      <c r="B188" s="51" t="s">
        <v>216</v>
      </c>
      <c r="C188" s="52"/>
      <c r="D188" s="64">
        <v>2022</v>
      </c>
      <c r="E188" s="37">
        <v>19928595911</v>
      </c>
      <c r="F188" s="37">
        <v>30903331237</v>
      </c>
      <c r="G188" s="37">
        <v>15728269911</v>
      </c>
      <c r="H188" s="37">
        <v>0</v>
      </c>
      <c r="I188" s="55">
        <f t="shared" si="11"/>
        <v>66560197059</v>
      </c>
      <c r="J188" s="60">
        <v>-1705613</v>
      </c>
      <c r="K188" s="56">
        <f t="shared" si="10"/>
        <v>66558491446</v>
      </c>
      <c r="L188" s="60">
        <v>0</v>
      </c>
      <c r="O188" s="38"/>
      <c r="P188" s="60">
        <v>2934550600</v>
      </c>
      <c r="Q188" s="60">
        <v>986650572</v>
      </c>
      <c r="V188" s="38"/>
      <c r="W188" s="58"/>
      <c r="X188" s="58"/>
      <c r="Y188" s="58"/>
      <c r="Z188" s="58"/>
    </row>
    <row r="189" spans="1:26">
      <c r="A189" s="50" t="s">
        <v>16</v>
      </c>
      <c r="B189" s="51" t="s">
        <v>216</v>
      </c>
      <c r="C189" s="52"/>
      <c r="D189" s="53">
        <v>2023</v>
      </c>
      <c r="E189" s="37">
        <v>20463437583</v>
      </c>
      <c r="F189" s="37">
        <v>39802045998.463699</v>
      </c>
      <c r="G189" s="37">
        <v>15845736875.74</v>
      </c>
      <c r="H189" s="37">
        <v>0</v>
      </c>
      <c r="I189" s="55">
        <f t="shared" si="11"/>
        <v>76111220457.203705</v>
      </c>
      <c r="J189" s="60">
        <v>-1389143</v>
      </c>
      <c r="K189" s="56">
        <f t="shared" si="10"/>
        <v>76109831314.203705</v>
      </c>
      <c r="L189" s="37">
        <v>0</v>
      </c>
      <c r="O189" s="38"/>
      <c r="P189" s="60">
        <v>3076301299.4899998</v>
      </c>
      <c r="Q189" s="60">
        <v>992514473</v>
      </c>
      <c r="V189" s="38"/>
      <c r="W189" s="58"/>
      <c r="X189" s="58"/>
      <c r="Y189" s="58"/>
      <c r="Z189" s="58"/>
    </row>
    <row r="190" spans="1:26">
      <c r="A190" s="50"/>
      <c r="B190" s="52"/>
      <c r="C190" s="52"/>
      <c r="E190" s="54"/>
      <c r="F190" s="54"/>
      <c r="G190" s="54"/>
      <c r="H190" s="54"/>
      <c r="I190" s="55"/>
      <c r="K190" s="65"/>
      <c r="L190" s="37"/>
      <c r="O190" s="38"/>
    </row>
    <row r="191" spans="1:26">
      <c r="A191" s="50" t="s">
        <v>18</v>
      </c>
      <c r="B191" s="51" t="s">
        <v>267</v>
      </c>
      <c r="C191" s="52" t="s">
        <v>730</v>
      </c>
      <c r="D191" s="53">
        <v>1988</v>
      </c>
      <c r="E191" s="54">
        <v>828881751</v>
      </c>
      <c r="F191" s="54">
        <v>904720795</v>
      </c>
      <c r="G191" s="54">
        <v>722246214</v>
      </c>
      <c r="H191" s="54">
        <v>0</v>
      </c>
      <c r="I191" s="55">
        <f t="shared" si="11"/>
        <v>2455848760</v>
      </c>
      <c r="J191" s="54">
        <v>-1371958</v>
      </c>
      <c r="K191" s="56">
        <f>SUM(I191:J191)</f>
        <v>2454476802</v>
      </c>
      <c r="L191" s="37">
        <v>0</v>
      </c>
      <c r="O191" s="38" t="str">
        <f>IF([1]totrevprm!O192="","",[1]totrevprm!O192)</f>
        <v/>
      </c>
    </row>
    <row r="192" spans="1:26">
      <c r="A192" s="50" t="s">
        <v>18</v>
      </c>
      <c r="B192" s="51" t="s">
        <v>267</v>
      </c>
      <c r="C192" s="52" t="s">
        <v>731</v>
      </c>
      <c r="D192" s="53">
        <v>1989</v>
      </c>
      <c r="E192" s="54">
        <v>755347127</v>
      </c>
      <c r="F192" s="54">
        <v>830367259</v>
      </c>
      <c r="G192" s="54">
        <v>778209288</v>
      </c>
      <c r="H192" s="54">
        <v>0</v>
      </c>
      <c r="I192" s="55">
        <f t="shared" si="11"/>
        <v>2363923674</v>
      </c>
      <c r="J192" s="54">
        <v>-16667496</v>
      </c>
      <c r="K192" s="56">
        <f t="shared" ref="K192:K226" si="12">SUM(I192:J192)</f>
        <v>2347256178</v>
      </c>
      <c r="L192" s="37">
        <v>0</v>
      </c>
      <c r="O192" s="38" t="str">
        <f>IF([1]totrevprm!O193="","",[1]totrevprm!O193)</f>
        <v/>
      </c>
    </row>
    <row r="193" spans="1:26">
      <c r="A193" s="50" t="s">
        <v>18</v>
      </c>
      <c r="B193" s="51" t="s">
        <v>267</v>
      </c>
      <c r="C193" s="52" t="s">
        <v>731</v>
      </c>
      <c r="D193" s="53">
        <v>1990</v>
      </c>
      <c r="E193" s="54">
        <v>780245914</v>
      </c>
      <c r="F193" s="54">
        <v>904046068.44000006</v>
      </c>
      <c r="G193" s="54">
        <v>829193863</v>
      </c>
      <c r="H193" s="54">
        <v>0</v>
      </c>
      <c r="I193" s="55">
        <f t="shared" si="11"/>
        <v>2513485845.4400001</v>
      </c>
      <c r="J193" s="54">
        <v>-1866249</v>
      </c>
      <c r="K193" s="56">
        <f t="shared" si="12"/>
        <v>2511619596.4400001</v>
      </c>
      <c r="L193" s="37">
        <v>0</v>
      </c>
      <c r="O193" s="38" t="str">
        <f>IF([1]totrevprm!O194="","",[1]totrevprm!O194)</f>
        <v/>
      </c>
    </row>
    <row r="194" spans="1:26">
      <c r="A194" s="50" t="s">
        <v>18</v>
      </c>
      <c r="B194" s="51" t="s">
        <v>267</v>
      </c>
      <c r="C194" s="52" t="s">
        <v>731</v>
      </c>
      <c r="D194" s="53">
        <v>1991</v>
      </c>
      <c r="E194" s="54">
        <v>853159701</v>
      </c>
      <c r="F194" s="54">
        <v>972231813</v>
      </c>
      <c r="G194" s="54">
        <v>890312886</v>
      </c>
      <c r="H194" s="54">
        <v>0</v>
      </c>
      <c r="I194" s="55">
        <f t="shared" si="11"/>
        <v>2715704400</v>
      </c>
      <c r="J194" s="54">
        <v>-271384</v>
      </c>
      <c r="K194" s="56">
        <f t="shared" si="12"/>
        <v>2715433016</v>
      </c>
      <c r="L194" s="37">
        <v>0</v>
      </c>
      <c r="O194" s="38" t="str">
        <f>IF([1]totrevprm!O195="","",[1]totrevprm!O195)</f>
        <v/>
      </c>
    </row>
    <row r="195" spans="1:26">
      <c r="A195" s="50" t="s">
        <v>18</v>
      </c>
      <c r="B195" s="51" t="s">
        <v>267</v>
      </c>
      <c r="C195" s="52" t="s">
        <v>731</v>
      </c>
      <c r="D195" s="53">
        <v>1992</v>
      </c>
      <c r="E195" s="54">
        <v>865720501</v>
      </c>
      <c r="F195" s="54">
        <v>838610367.88</v>
      </c>
      <c r="G195" s="54">
        <v>934379767</v>
      </c>
      <c r="H195" s="54">
        <v>0</v>
      </c>
      <c r="I195" s="55">
        <f t="shared" si="11"/>
        <v>2638710635.8800001</v>
      </c>
      <c r="J195" s="54">
        <v>-1928109</v>
      </c>
      <c r="K195" s="56">
        <f t="shared" si="12"/>
        <v>2636782526.8800001</v>
      </c>
      <c r="L195" s="37">
        <v>0</v>
      </c>
      <c r="O195" s="38" t="str">
        <f>IF([1]totrevprm!O196="","",[1]totrevprm!O196)</f>
        <v/>
      </c>
    </row>
    <row r="196" spans="1:26">
      <c r="A196" s="50" t="s">
        <v>18</v>
      </c>
      <c r="B196" s="51" t="s">
        <v>267</v>
      </c>
      <c r="C196" s="52" t="s">
        <v>731</v>
      </c>
      <c r="D196" s="53">
        <v>1993</v>
      </c>
      <c r="E196" s="54">
        <v>963784454</v>
      </c>
      <c r="F196" s="54">
        <v>687758554</v>
      </c>
      <c r="G196" s="54">
        <v>1011110506</v>
      </c>
      <c r="H196" s="54">
        <v>0</v>
      </c>
      <c r="I196" s="55">
        <f t="shared" si="11"/>
        <v>2662653514</v>
      </c>
      <c r="J196" s="54">
        <v>-46332</v>
      </c>
      <c r="K196" s="56">
        <f t="shared" si="12"/>
        <v>2662607182</v>
      </c>
      <c r="L196" s="37">
        <v>0</v>
      </c>
      <c r="O196" s="38" t="str">
        <f>IF([1]totrevprm!O197="","",[1]totrevprm!O197)</f>
        <v/>
      </c>
    </row>
    <row r="197" spans="1:26">
      <c r="A197" s="50" t="s">
        <v>18</v>
      </c>
      <c r="B197" s="51" t="s">
        <v>267</v>
      </c>
      <c r="C197" s="52" t="s">
        <v>731</v>
      </c>
      <c r="D197" s="53">
        <v>1994</v>
      </c>
      <c r="E197" s="54">
        <v>1030999407</v>
      </c>
      <c r="F197" s="54">
        <v>895579411</v>
      </c>
      <c r="G197" s="54">
        <v>1063105936</v>
      </c>
      <c r="H197" s="54">
        <v>0</v>
      </c>
      <c r="I197" s="55">
        <f t="shared" si="11"/>
        <v>2989684754</v>
      </c>
      <c r="J197" s="54">
        <v>-28960609</v>
      </c>
      <c r="K197" s="56">
        <f t="shared" si="12"/>
        <v>2960724145</v>
      </c>
      <c r="L197" s="37">
        <v>0</v>
      </c>
      <c r="O197" s="38" t="str">
        <f>IF([1]totrevprm!O198="","",[1]totrevprm!O198)</f>
        <v/>
      </c>
    </row>
    <row r="198" spans="1:26">
      <c r="A198" s="50" t="s">
        <v>18</v>
      </c>
      <c r="B198" s="51" t="s">
        <v>267</v>
      </c>
      <c r="C198" s="52" t="s">
        <v>731</v>
      </c>
      <c r="D198" s="53">
        <v>1995</v>
      </c>
      <c r="E198" s="54">
        <v>1105172733</v>
      </c>
      <c r="F198" s="54">
        <v>988485271</v>
      </c>
      <c r="G198" s="54">
        <v>1157687855</v>
      </c>
      <c r="H198" s="54">
        <v>0</v>
      </c>
      <c r="I198" s="55">
        <f t="shared" si="11"/>
        <v>3251345859</v>
      </c>
      <c r="J198" s="54">
        <v>-230240</v>
      </c>
      <c r="K198" s="56">
        <f t="shared" si="12"/>
        <v>3251115619</v>
      </c>
      <c r="L198" s="37">
        <v>0</v>
      </c>
      <c r="O198" s="38" t="str">
        <f>IF([1]totrevprm!O199="","",[1]totrevprm!O199)</f>
        <v/>
      </c>
    </row>
    <row r="199" spans="1:26">
      <c r="A199" s="50" t="s">
        <v>18</v>
      </c>
      <c r="B199" s="51" t="s">
        <v>267</v>
      </c>
      <c r="C199" s="52" t="s">
        <v>731</v>
      </c>
      <c r="D199" s="53">
        <v>1996</v>
      </c>
      <c r="E199" s="54">
        <v>1140336981</v>
      </c>
      <c r="F199" s="54">
        <v>788299041</v>
      </c>
      <c r="G199" s="54">
        <v>1223491697</v>
      </c>
      <c r="H199" s="54">
        <v>0</v>
      </c>
      <c r="I199" s="55">
        <f t="shared" si="11"/>
        <v>3152127719</v>
      </c>
      <c r="J199" s="54">
        <v>-30217</v>
      </c>
      <c r="K199" s="56">
        <f t="shared" si="12"/>
        <v>3152097502</v>
      </c>
      <c r="L199" s="37">
        <v>0</v>
      </c>
      <c r="O199" s="38" t="str">
        <f>IF([1]totrevprm!O200="","",[1]totrevprm!O200)</f>
        <v/>
      </c>
    </row>
    <row r="200" spans="1:26">
      <c r="A200" s="50" t="s">
        <v>18</v>
      </c>
      <c r="B200" s="51" t="s">
        <v>267</v>
      </c>
      <c r="C200" s="52" t="s">
        <v>731</v>
      </c>
      <c r="D200" s="53">
        <v>1997</v>
      </c>
      <c r="E200" s="54">
        <v>1161040457</v>
      </c>
      <c r="F200" s="54">
        <v>901641637</v>
      </c>
      <c r="G200" s="54">
        <v>1249027863</v>
      </c>
      <c r="H200" s="54">
        <v>0</v>
      </c>
      <c r="I200" s="55">
        <f t="shared" si="11"/>
        <v>3311709957</v>
      </c>
      <c r="J200" s="54">
        <v>-1174614</v>
      </c>
      <c r="K200" s="56">
        <f t="shared" si="12"/>
        <v>3310535343</v>
      </c>
      <c r="L200" s="37">
        <v>0</v>
      </c>
      <c r="O200" s="38" t="str">
        <f>IF([1]totrevprm!O201="","",[1]totrevprm!O201)</f>
        <v/>
      </c>
    </row>
    <row r="201" spans="1:26">
      <c r="A201" s="50" t="s">
        <v>18</v>
      </c>
      <c r="B201" s="51" t="s">
        <v>267</v>
      </c>
      <c r="C201" s="52" t="s">
        <v>731</v>
      </c>
      <c r="D201" s="53">
        <v>1998</v>
      </c>
      <c r="E201" s="54">
        <v>1187254176</v>
      </c>
      <c r="F201" s="54">
        <v>1117339967</v>
      </c>
      <c r="G201" s="54">
        <v>1284019308</v>
      </c>
      <c r="H201" s="54">
        <v>0</v>
      </c>
      <c r="I201" s="55">
        <f t="shared" si="11"/>
        <v>3588613451</v>
      </c>
      <c r="J201" s="54">
        <v>-6032713</v>
      </c>
      <c r="K201" s="56">
        <f t="shared" si="12"/>
        <v>3582580738</v>
      </c>
      <c r="L201" s="37">
        <v>0</v>
      </c>
      <c r="O201" s="38" t="str">
        <f>IF([1]totrevprm!O202="","",[1]totrevprm!O202)</f>
        <v/>
      </c>
    </row>
    <row r="202" spans="1:26">
      <c r="A202" s="50" t="s">
        <v>18</v>
      </c>
      <c r="B202" s="51" t="s">
        <v>267</v>
      </c>
      <c r="C202" s="52" t="s">
        <v>731</v>
      </c>
      <c r="D202" s="53">
        <v>1999</v>
      </c>
      <c r="E202" s="54">
        <v>1195136849</v>
      </c>
      <c r="F202" s="54">
        <v>1457970263</v>
      </c>
      <c r="G202" s="54">
        <v>1538677636</v>
      </c>
      <c r="H202" s="54">
        <v>0</v>
      </c>
      <c r="I202" s="55">
        <f t="shared" si="11"/>
        <v>4191784748</v>
      </c>
      <c r="J202" s="54">
        <v>-1083439</v>
      </c>
      <c r="K202" s="56">
        <f t="shared" si="12"/>
        <v>4190701309</v>
      </c>
      <c r="L202" s="37">
        <v>0</v>
      </c>
      <c r="O202" s="38" t="str">
        <f>IF([1]totrevprm!O203="","",[1]totrevprm!O203)</f>
        <v/>
      </c>
    </row>
    <row r="203" spans="1:26">
      <c r="A203" s="50" t="s">
        <v>18</v>
      </c>
      <c r="B203" s="51" t="s">
        <v>267</v>
      </c>
      <c r="C203" s="52" t="s">
        <v>748</v>
      </c>
      <c r="D203" s="53">
        <v>2000</v>
      </c>
      <c r="E203" s="54">
        <v>1532738790</v>
      </c>
      <c r="F203" s="54">
        <v>1252265769</v>
      </c>
      <c r="G203" s="54">
        <v>1661069947</v>
      </c>
      <c r="H203" s="54">
        <v>0</v>
      </c>
      <c r="I203" s="55">
        <f t="shared" si="11"/>
        <v>4446074506</v>
      </c>
      <c r="J203" s="54">
        <v>-2667594</v>
      </c>
      <c r="K203" s="56">
        <f t="shared" si="12"/>
        <v>4443406912</v>
      </c>
      <c r="L203" s="37">
        <v>0</v>
      </c>
      <c r="O203" s="38" t="str">
        <f>IF([1]totrevprm!O204="","",[1]totrevprm!O204)</f>
        <v/>
      </c>
      <c r="V203" s="38" t="s">
        <v>267</v>
      </c>
      <c r="W203" s="58">
        <v>425868</v>
      </c>
      <c r="X203" s="58">
        <v>4635258</v>
      </c>
      <c r="Y203" s="58">
        <v>19263868</v>
      </c>
      <c r="Z203" s="58">
        <v>0</v>
      </c>
    </row>
    <row r="204" spans="1:26">
      <c r="A204" s="50" t="s">
        <v>18</v>
      </c>
      <c r="B204" s="51" t="s">
        <v>267</v>
      </c>
      <c r="C204" s="52" t="s">
        <v>731</v>
      </c>
      <c r="D204" s="53">
        <v>2001</v>
      </c>
      <c r="E204" s="54">
        <v>1239300879</v>
      </c>
      <c r="F204" s="54">
        <v>1652794944</v>
      </c>
      <c r="G204" s="54">
        <v>1840536638</v>
      </c>
      <c r="H204" s="54">
        <v>0</v>
      </c>
      <c r="I204" s="55">
        <f t="shared" si="11"/>
        <v>4732632461</v>
      </c>
      <c r="J204" s="54">
        <v>-614396</v>
      </c>
      <c r="K204" s="56">
        <f t="shared" si="12"/>
        <v>4732018065</v>
      </c>
      <c r="L204" s="37">
        <v>0</v>
      </c>
      <c r="O204" s="38" t="str">
        <f>IF([1]totrevprm!O205="","",[1]totrevprm!O205)</f>
        <v/>
      </c>
      <c r="V204" s="38"/>
      <c r="W204" s="58"/>
      <c r="X204" s="58"/>
      <c r="Y204" s="58"/>
      <c r="Z204" s="58"/>
    </row>
    <row r="205" spans="1:26">
      <c r="A205" s="50" t="s">
        <v>18</v>
      </c>
      <c r="B205" s="51" t="s">
        <v>267</v>
      </c>
      <c r="C205" s="52" t="s">
        <v>731</v>
      </c>
      <c r="D205" s="53">
        <v>2002</v>
      </c>
      <c r="E205" s="54">
        <v>1304495820</v>
      </c>
      <c r="F205" s="54">
        <v>2245509671</v>
      </c>
      <c r="G205" s="54">
        <v>1853776788</v>
      </c>
      <c r="H205" s="54">
        <v>0</v>
      </c>
      <c r="I205" s="55">
        <f t="shared" si="11"/>
        <v>5403782279</v>
      </c>
      <c r="J205" s="54">
        <v>-815</v>
      </c>
      <c r="K205" s="56">
        <f t="shared" si="12"/>
        <v>5403781464</v>
      </c>
      <c r="L205" s="37">
        <v>0</v>
      </c>
      <c r="O205" s="38" t="str">
        <f>IF([1]totrevprm!O206="","",[1]totrevprm!O206)</f>
        <v/>
      </c>
      <c r="V205" s="38"/>
      <c r="W205" s="58"/>
      <c r="X205" s="58"/>
      <c r="Y205" s="58"/>
      <c r="Z205" s="58"/>
    </row>
    <row r="206" spans="1:26">
      <c r="A206" s="50" t="s">
        <v>18</v>
      </c>
      <c r="B206" s="51" t="s">
        <v>267</v>
      </c>
      <c r="C206" s="52" t="s">
        <v>731</v>
      </c>
      <c r="D206" s="53">
        <v>2003</v>
      </c>
      <c r="E206" s="59">
        <v>1404979031</v>
      </c>
      <c r="F206" s="59">
        <v>2057490553</v>
      </c>
      <c r="G206" s="59">
        <v>2102697784</v>
      </c>
      <c r="H206" s="54">
        <v>0</v>
      </c>
      <c r="I206" s="55">
        <f t="shared" si="11"/>
        <v>5565167368</v>
      </c>
      <c r="J206" s="54">
        <v>-641</v>
      </c>
      <c r="K206" s="56">
        <f t="shared" si="12"/>
        <v>5565166727</v>
      </c>
      <c r="L206" s="37">
        <v>0</v>
      </c>
      <c r="O206" s="38" t="str">
        <f>IF([1]totrevprm!O207="","",[1]totrevprm!O207)</f>
        <v/>
      </c>
      <c r="V206" s="38"/>
      <c r="W206" s="58"/>
      <c r="X206" s="58"/>
      <c r="Y206" s="58"/>
      <c r="Z206" s="58"/>
    </row>
    <row r="207" spans="1:26">
      <c r="A207" s="50" t="s">
        <v>18</v>
      </c>
      <c r="B207" s="51" t="s">
        <v>267</v>
      </c>
      <c r="C207" s="52" t="s">
        <v>731</v>
      </c>
      <c r="D207" s="53">
        <v>2004</v>
      </c>
      <c r="E207" s="59">
        <v>1461151703</v>
      </c>
      <c r="F207" s="59">
        <v>1939972242</v>
      </c>
      <c r="G207" s="59">
        <v>2298669662</v>
      </c>
      <c r="H207" s="54">
        <v>0</v>
      </c>
      <c r="I207" s="55">
        <f t="shared" si="11"/>
        <v>5699793607</v>
      </c>
      <c r="J207" s="54">
        <v>-682</v>
      </c>
      <c r="K207" s="56">
        <f t="shared" si="12"/>
        <v>5699792925</v>
      </c>
      <c r="L207" s="37">
        <v>0</v>
      </c>
      <c r="O207" s="38" t="str">
        <f>IF([1]totrevprm!O208="","",[1]totrevprm!O208)</f>
        <v/>
      </c>
      <c r="V207" s="38"/>
      <c r="W207" s="58"/>
      <c r="X207" s="58"/>
      <c r="Y207" s="58"/>
      <c r="Z207" s="58"/>
    </row>
    <row r="208" spans="1:26">
      <c r="A208" s="50" t="s">
        <v>18</v>
      </c>
      <c r="B208" s="51" t="s">
        <v>267</v>
      </c>
      <c r="C208" s="52"/>
      <c r="D208" s="53">
        <v>2005</v>
      </c>
      <c r="E208" s="59">
        <v>1489479668</v>
      </c>
      <c r="F208" s="59">
        <v>2026059726</v>
      </c>
      <c r="G208" s="59">
        <v>2432877293.27</v>
      </c>
      <c r="H208" s="54">
        <v>0</v>
      </c>
      <c r="I208" s="55">
        <f t="shared" si="11"/>
        <v>5948416687.2700005</v>
      </c>
      <c r="J208" s="54">
        <v>-9521</v>
      </c>
      <c r="K208" s="56">
        <f t="shared" si="12"/>
        <v>5948407166.2700005</v>
      </c>
      <c r="L208" s="37">
        <v>0</v>
      </c>
      <c r="O208" s="38" t="str">
        <f>IF([1]totrevprm!O209="","",[1]totrevprm!O209)</f>
        <v/>
      </c>
      <c r="V208" s="38"/>
      <c r="W208" s="58"/>
      <c r="X208" s="58"/>
      <c r="Y208" s="58"/>
      <c r="Z208" s="58"/>
    </row>
    <row r="209" spans="1:26">
      <c r="A209" s="50" t="s">
        <v>18</v>
      </c>
      <c r="B209" s="51" t="s">
        <v>267</v>
      </c>
      <c r="C209" s="52"/>
      <c r="D209" s="53">
        <v>2006</v>
      </c>
      <c r="E209" s="37">
        <v>1587281819</v>
      </c>
      <c r="F209" s="37">
        <v>2158883056</v>
      </c>
      <c r="G209" s="37">
        <v>2683256306</v>
      </c>
      <c r="H209" s="54">
        <v>0</v>
      </c>
      <c r="I209" s="55">
        <f t="shared" si="11"/>
        <v>6429421181</v>
      </c>
      <c r="J209" s="54">
        <v>-3435729</v>
      </c>
      <c r="K209" s="56">
        <f t="shared" si="12"/>
        <v>6425985452</v>
      </c>
      <c r="L209" s="37">
        <v>0</v>
      </c>
      <c r="O209" s="38" t="str">
        <f>IF([1]totrevprm!O210="","",[1]totrevprm!O210)</f>
        <v/>
      </c>
      <c r="V209" s="38"/>
      <c r="W209" s="58"/>
      <c r="X209" s="58"/>
      <c r="Y209" s="58"/>
      <c r="Z209" s="58"/>
    </row>
    <row r="210" spans="1:26">
      <c r="A210" s="50" t="s">
        <v>18</v>
      </c>
      <c r="B210" s="51" t="s">
        <v>267</v>
      </c>
      <c r="C210" s="52"/>
      <c r="D210" s="53">
        <v>2007</v>
      </c>
      <c r="E210" s="37">
        <v>1640732290</v>
      </c>
      <c r="F210" s="37">
        <v>1977782927</v>
      </c>
      <c r="G210" s="37">
        <v>3559739931</v>
      </c>
      <c r="H210" s="54">
        <v>0</v>
      </c>
      <c r="I210" s="55">
        <f t="shared" si="11"/>
        <v>7178255148</v>
      </c>
      <c r="J210" s="54">
        <v>-2</v>
      </c>
      <c r="K210" s="56">
        <f t="shared" si="12"/>
        <v>7178255146</v>
      </c>
      <c r="L210" s="37">
        <v>0</v>
      </c>
      <c r="O210" s="38" t="str">
        <f>IF([1]totrevprm!O211="","",[1]totrevprm!O211)</f>
        <v/>
      </c>
      <c r="V210" s="38"/>
      <c r="W210" s="58"/>
      <c r="X210" s="58"/>
      <c r="Y210" s="58"/>
      <c r="Z210" s="58"/>
    </row>
    <row r="211" spans="1:26">
      <c r="A211" s="50" t="s">
        <v>18</v>
      </c>
      <c r="B211" s="51" t="s">
        <v>267</v>
      </c>
      <c r="C211" s="52"/>
      <c r="D211" s="53">
        <v>2008</v>
      </c>
      <c r="E211" s="37">
        <v>1689623832</v>
      </c>
      <c r="F211" s="37">
        <v>2747988136</v>
      </c>
      <c r="G211" s="37">
        <v>3889919140</v>
      </c>
      <c r="H211" s="54">
        <v>0</v>
      </c>
      <c r="I211" s="55">
        <f t="shared" si="11"/>
        <v>8327531108</v>
      </c>
      <c r="J211" s="54">
        <v>-69303</v>
      </c>
      <c r="K211" s="56">
        <f t="shared" si="12"/>
        <v>8327461805</v>
      </c>
      <c r="L211" s="37">
        <v>0</v>
      </c>
      <c r="O211" s="38" t="str">
        <f>IF([1]totrevprm!O212="","",[1]totrevprm!O212)</f>
        <v/>
      </c>
      <c r="V211" s="38"/>
      <c r="W211" s="58"/>
      <c r="X211" s="58"/>
      <c r="Y211" s="58"/>
      <c r="Z211" s="58"/>
    </row>
    <row r="212" spans="1:26">
      <c r="A212" s="50" t="s">
        <v>18</v>
      </c>
      <c r="B212" s="51" t="s">
        <v>267</v>
      </c>
      <c r="C212" s="52"/>
      <c r="D212" s="53">
        <v>2009</v>
      </c>
      <c r="E212" s="37">
        <v>1832884396</v>
      </c>
      <c r="F212" s="37">
        <v>2931587212</v>
      </c>
      <c r="G212" s="37">
        <v>4356781877</v>
      </c>
      <c r="H212" s="54">
        <v>0</v>
      </c>
      <c r="I212" s="55">
        <f t="shared" si="11"/>
        <v>9121253485</v>
      </c>
      <c r="J212" s="54">
        <v>-25101</v>
      </c>
      <c r="K212" s="56">
        <f t="shared" si="12"/>
        <v>9121228384</v>
      </c>
      <c r="L212" s="37">
        <v>0</v>
      </c>
      <c r="O212" s="38" t="str">
        <f>IF([1]totrevprm!O213="","",[1]totrevprm!O213)</f>
        <v/>
      </c>
      <c r="V212" s="38"/>
      <c r="W212" s="58"/>
      <c r="X212" s="58"/>
      <c r="Y212" s="58"/>
      <c r="Z212" s="58"/>
    </row>
    <row r="213" spans="1:26">
      <c r="A213" s="50" t="s">
        <v>18</v>
      </c>
      <c r="B213" s="51" t="s">
        <v>267</v>
      </c>
      <c r="C213" s="52"/>
      <c r="D213" s="53">
        <v>2010</v>
      </c>
      <c r="E213" s="37">
        <v>1933741077</v>
      </c>
      <c r="F213" s="37">
        <v>2945911265</v>
      </c>
      <c r="G213" s="37">
        <v>4083295457</v>
      </c>
      <c r="H213" s="54">
        <v>0</v>
      </c>
      <c r="I213" s="55">
        <f t="shared" si="11"/>
        <v>8962947799</v>
      </c>
      <c r="J213" s="54">
        <v>-73224</v>
      </c>
      <c r="K213" s="56">
        <f t="shared" si="12"/>
        <v>8962874575</v>
      </c>
      <c r="L213" s="37">
        <v>0</v>
      </c>
      <c r="O213" s="38" t="str">
        <f>IF([1]totrevprm!O214="","",[1]totrevprm!O214)</f>
        <v/>
      </c>
      <c r="V213" s="38"/>
      <c r="W213" s="58"/>
      <c r="X213" s="58"/>
      <c r="Y213" s="58"/>
      <c r="Z213" s="58"/>
    </row>
    <row r="214" spans="1:26">
      <c r="A214" s="50" t="s">
        <v>18</v>
      </c>
      <c r="B214" s="51" t="s">
        <v>267</v>
      </c>
      <c r="C214" s="52"/>
      <c r="D214" s="53">
        <v>2011</v>
      </c>
      <c r="E214" s="37">
        <v>1975897054</v>
      </c>
      <c r="F214" s="37">
        <v>3167131653</v>
      </c>
      <c r="G214" s="37">
        <v>4094188764.1599998</v>
      </c>
      <c r="H214" s="54">
        <v>0</v>
      </c>
      <c r="I214" s="55">
        <f t="shared" si="11"/>
        <v>9237217471.1599998</v>
      </c>
      <c r="J214" s="54">
        <v>-145767</v>
      </c>
      <c r="K214" s="56">
        <f t="shared" si="12"/>
        <v>9237071704.1599998</v>
      </c>
      <c r="L214" s="37">
        <v>0</v>
      </c>
      <c r="O214" s="38" t="str">
        <f>IF([1]totrevprm!O215="","",[1]totrevprm!O215)</f>
        <v/>
      </c>
      <c r="V214" s="38"/>
      <c r="W214" s="58"/>
      <c r="X214" s="58"/>
      <c r="Y214" s="58"/>
      <c r="Z214" s="58"/>
    </row>
    <row r="215" spans="1:26">
      <c r="A215" s="50" t="s">
        <v>18</v>
      </c>
      <c r="B215" s="51" t="s">
        <v>267</v>
      </c>
      <c r="C215" s="52"/>
      <c r="D215" s="53">
        <v>2012</v>
      </c>
      <c r="E215" s="37">
        <v>2115900124</v>
      </c>
      <c r="F215" s="37">
        <v>3208701197</v>
      </c>
      <c r="G215" s="37">
        <v>4016525119</v>
      </c>
      <c r="H215" s="54">
        <v>0</v>
      </c>
      <c r="I215" s="55">
        <f t="shared" si="11"/>
        <v>9341126440</v>
      </c>
      <c r="J215" s="54">
        <v>-12701</v>
      </c>
      <c r="K215" s="56">
        <f t="shared" si="12"/>
        <v>9341113739</v>
      </c>
      <c r="L215" s="37">
        <v>0</v>
      </c>
      <c r="O215" s="38" t="str">
        <f>IF([1]totrevprm!O216="","",[1]totrevprm!O216)</f>
        <v/>
      </c>
      <c r="V215" s="38"/>
      <c r="W215" s="58"/>
      <c r="X215" s="58"/>
      <c r="Y215" s="58"/>
      <c r="Z215" s="58"/>
    </row>
    <row r="216" spans="1:26">
      <c r="A216" s="50" t="s">
        <v>18</v>
      </c>
      <c r="B216" s="51" t="s">
        <v>267</v>
      </c>
      <c r="C216" s="52"/>
      <c r="D216" s="53">
        <v>2013</v>
      </c>
      <c r="E216" s="37">
        <v>2201558974</v>
      </c>
      <c r="F216" s="37">
        <v>3244900516</v>
      </c>
      <c r="G216" s="37">
        <v>3976660185</v>
      </c>
      <c r="H216" s="54">
        <v>0</v>
      </c>
      <c r="I216" s="55">
        <f t="shared" si="11"/>
        <v>9423119675</v>
      </c>
      <c r="J216" s="54">
        <v>-209364</v>
      </c>
      <c r="K216" s="56">
        <f t="shared" si="12"/>
        <v>9422910311</v>
      </c>
      <c r="L216" s="37">
        <v>0</v>
      </c>
      <c r="O216" s="38" t="str">
        <f>IF([1]totrevprm!O217="","",[1]totrevprm!O217)</f>
        <v/>
      </c>
      <c r="V216" s="38"/>
      <c r="W216" s="58"/>
      <c r="X216" s="58"/>
      <c r="Y216" s="58"/>
      <c r="Z216" s="58"/>
    </row>
    <row r="217" spans="1:26">
      <c r="A217" s="50" t="s">
        <v>18</v>
      </c>
      <c r="B217" s="51" t="s">
        <v>267</v>
      </c>
      <c r="C217" s="52"/>
      <c r="D217" s="64">
        <v>2014</v>
      </c>
      <c r="E217" s="37">
        <v>2308019920</v>
      </c>
      <c r="F217" s="37">
        <v>3247756505</v>
      </c>
      <c r="G217" s="37">
        <v>4066649127.1999998</v>
      </c>
      <c r="H217" s="37">
        <v>0</v>
      </c>
      <c r="I217" s="55">
        <f t="shared" si="11"/>
        <v>9622425552.2000008</v>
      </c>
      <c r="J217" s="54">
        <v>-141277</v>
      </c>
      <c r="K217" s="56">
        <f t="shared" si="12"/>
        <v>9622284275.2000008</v>
      </c>
      <c r="L217" s="37">
        <v>0</v>
      </c>
      <c r="O217" s="38" t="str">
        <f>IF([1]totrevprm!O218="","",[1]totrevprm!O218)</f>
        <v/>
      </c>
      <c r="V217" s="38"/>
      <c r="W217" s="58"/>
      <c r="X217" s="58"/>
      <c r="Y217" s="58"/>
      <c r="Z217" s="58"/>
    </row>
    <row r="218" spans="1:26">
      <c r="A218" s="50" t="s">
        <v>18</v>
      </c>
      <c r="B218" s="51" t="s">
        <v>267</v>
      </c>
      <c r="C218" s="52"/>
      <c r="D218" s="64">
        <v>2015</v>
      </c>
      <c r="E218" s="37">
        <v>2533536918</v>
      </c>
      <c r="F218" s="37">
        <v>3802619233</v>
      </c>
      <c r="G218" s="37">
        <v>4122225914</v>
      </c>
      <c r="H218" s="37">
        <v>0</v>
      </c>
      <c r="I218" s="55">
        <f t="shared" si="11"/>
        <v>10458382065</v>
      </c>
      <c r="J218" s="54">
        <v>-79826</v>
      </c>
      <c r="K218" s="56">
        <f t="shared" si="12"/>
        <v>10458302239</v>
      </c>
      <c r="L218" s="37">
        <v>0</v>
      </c>
      <c r="O218" s="38" t="str">
        <f>IF([1]totrevprm!O219="","",[1]totrevprm!O219)</f>
        <v/>
      </c>
      <c r="P218" s="35">
        <v>415970235.13231605</v>
      </c>
      <c r="Q218" s="35">
        <v>236663454.69313434</v>
      </c>
      <c r="V218" s="38"/>
      <c r="W218" s="58"/>
      <c r="X218" s="58"/>
      <c r="Y218" s="58"/>
      <c r="Z218" s="58"/>
    </row>
    <row r="219" spans="1:26">
      <c r="A219" s="50" t="s">
        <v>18</v>
      </c>
      <c r="B219" s="51" t="s">
        <v>267</v>
      </c>
      <c r="C219" s="52"/>
      <c r="D219" s="64">
        <v>2016</v>
      </c>
      <c r="E219" s="37">
        <v>2439209106</v>
      </c>
      <c r="F219" s="37">
        <v>4353976431</v>
      </c>
      <c r="G219" s="37">
        <v>4131900298</v>
      </c>
      <c r="H219" s="37">
        <v>0</v>
      </c>
      <c r="I219" s="55">
        <f t="shared" si="11"/>
        <v>10925085835</v>
      </c>
      <c r="J219" s="54">
        <v>-70951</v>
      </c>
      <c r="K219" s="56">
        <f t="shared" si="12"/>
        <v>10925014884</v>
      </c>
      <c r="L219" s="37">
        <v>0</v>
      </c>
      <c r="O219" s="38" t="str">
        <f>IF([1]totrevprm!O220="","",[1]totrevprm!O220)</f>
        <v/>
      </c>
      <c r="P219" s="35">
        <v>419440442.72344041</v>
      </c>
      <c r="Q219" s="35">
        <v>239014123.62744361</v>
      </c>
      <c r="V219" s="38"/>
      <c r="W219" s="58"/>
      <c r="X219" s="58"/>
      <c r="Y219" s="58"/>
      <c r="Z219" s="58"/>
    </row>
    <row r="220" spans="1:26">
      <c r="A220" s="50" t="s">
        <v>18</v>
      </c>
      <c r="B220" s="51" t="s">
        <v>267</v>
      </c>
      <c r="C220" s="52"/>
      <c r="D220" s="64">
        <v>2017</v>
      </c>
      <c r="E220" s="37">
        <v>2541613434</v>
      </c>
      <c r="F220" s="37">
        <v>4653534288</v>
      </c>
      <c r="G220" s="37">
        <v>4003933926.4099998</v>
      </c>
      <c r="H220" s="37">
        <v>0</v>
      </c>
      <c r="I220" s="55">
        <f t="shared" si="11"/>
        <v>11199081648.41</v>
      </c>
      <c r="J220" s="54">
        <v>-19125</v>
      </c>
      <c r="K220" s="56">
        <f t="shared" si="12"/>
        <v>11199062523.41</v>
      </c>
      <c r="L220" s="37">
        <v>0</v>
      </c>
      <c r="M220" s="69" t="s">
        <v>749</v>
      </c>
      <c r="N220" s="72"/>
      <c r="O220" s="38" t="str">
        <f>IF([1]totrevprm!O221="","",[1]totrevprm!O221)</f>
        <v/>
      </c>
      <c r="P220" s="35">
        <v>447218422.0287267</v>
      </c>
      <c r="Q220" s="35">
        <v>232761247.43803146</v>
      </c>
      <c r="R220" s="72"/>
      <c r="S220" s="36">
        <v>3314683487</v>
      </c>
      <c r="T220" s="36" t="s">
        <v>717</v>
      </c>
      <c r="U220" s="36">
        <v>11</v>
      </c>
      <c r="V220" s="38"/>
      <c r="W220" s="58"/>
      <c r="X220" s="58"/>
      <c r="Y220" s="60">
        <v>7318617413.4099998</v>
      </c>
      <c r="Z220" s="58"/>
    </row>
    <row r="221" spans="1:26">
      <c r="A221" s="50" t="s">
        <v>18</v>
      </c>
      <c r="B221" s="51" t="s">
        <v>267</v>
      </c>
      <c r="C221" s="52"/>
      <c r="D221" s="64">
        <v>2018</v>
      </c>
      <c r="E221" s="37">
        <v>2643992529</v>
      </c>
      <c r="F221" s="37">
        <v>5381106348</v>
      </c>
      <c r="G221" s="37">
        <v>4241728214.0900002</v>
      </c>
      <c r="H221" s="37">
        <v>0</v>
      </c>
      <c r="I221" s="55">
        <f t="shared" si="11"/>
        <v>12266827091.09</v>
      </c>
      <c r="J221" s="54">
        <v>-12721</v>
      </c>
      <c r="K221" s="56">
        <f t="shared" si="12"/>
        <v>12266814370.09</v>
      </c>
      <c r="L221" s="60">
        <v>0</v>
      </c>
      <c r="M221" s="69" t="s">
        <v>749</v>
      </c>
      <c r="N221" s="72"/>
      <c r="O221" s="38" t="str">
        <f>IF([1]totrevprm!O222="","",[1]totrevprm!O222)</f>
        <v/>
      </c>
      <c r="P221" s="35">
        <v>465346135.23140121</v>
      </c>
      <c r="Q221" s="35">
        <v>222423961</v>
      </c>
      <c r="R221" s="72"/>
      <c r="S221" s="36">
        <v>3693269251</v>
      </c>
      <c r="T221" s="36" t="s">
        <v>717</v>
      </c>
      <c r="V221" s="38"/>
      <c r="W221" s="58"/>
      <c r="X221" s="58"/>
      <c r="Y221" s="60">
        <v>7318617413.4099998</v>
      </c>
      <c r="Z221" s="58"/>
    </row>
    <row r="222" spans="1:26">
      <c r="A222" s="50" t="s">
        <v>18</v>
      </c>
      <c r="B222" s="51" t="s">
        <v>267</v>
      </c>
      <c r="C222" s="52"/>
      <c r="D222" s="64">
        <v>2019</v>
      </c>
      <c r="E222" s="37">
        <v>2785257720</v>
      </c>
      <c r="F222" s="37">
        <v>5099243499</v>
      </c>
      <c r="G222" s="37">
        <v>4363995213.4148006</v>
      </c>
      <c r="H222" s="37">
        <v>0</v>
      </c>
      <c r="I222" s="55">
        <f t="shared" si="11"/>
        <v>12248496432.414801</v>
      </c>
      <c r="J222" s="54">
        <v>-37852302</v>
      </c>
      <c r="K222" s="56">
        <f t="shared" si="12"/>
        <v>12210644130.414801</v>
      </c>
      <c r="L222" s="60">
        <v>0</v>
      </c>
      <c r="M222" s="69"/>
      <c r="N222" s="72"/>
      <c r="O222" s="38" t="str">
        <f>IF([1]totrevprm!O223="","",[1]totrevprm!O223)</f>
        <v/>
      </c>
      <c r="P222" s="35">
        <v>493537114.683496</v>
      </c>
      <c r="Q222" s="35">
        <v>228327606.55043098</v>
      </c>
      <c r="R222" s="72"/>
      <c r="V222" s="38"/>
      <c r="W222" s="58"/>
      <c r="X222" s="58"/>
      <c r="Y222" s="58"/>
      <c r="Z222" s="58"/>
    </row>
    <row r="223" spans="1:26">
      <c r="A223" s="50" t="s">
        <v>18</v>
      </c>
      <c r="B223" s="51" t="s">
        <v>267</v>
      </c>
      <c r="C223" s="52"/>
      <c r="D223" s="64">
        <v>2020</v>
      </c>
      <c r="E223" s="37">
        <v>2762629727</v>
      </c>
      <c r="F223" s="37">
        <v>6465903629</v>
      </c>
      <c r="G223" s="37">
        <v>4278572864</v>
      </c>
      <c r="H223" s="37">
        <v>0</v>
      </c>
      <c r="I223" s="55">
        <f t="shared" si="11"/>
        <v>13507106220</v>
      </c>
      <c r="J223" s="54">
        <v>-8</v>
      </c>
      <c r="K223" s="56">
        <f t="shared" si="12"/>
        <v>13507106212</v>
      </c>
      <c r="L223" s="60">
        <v>0</v>
      </c>
      <c r="M223" s="69"/>
      <c r="N223" s="72"/>
      <c r="O223" s="38" t="str">
        <f>IF([1]totrevprm!O224="","",[1]totrevprm!O224)</f>
        <v/>
      </c>
      <c r="P223" s="35">
        <v>487726391</v>
      </c>
      <c r="Q223" s="35">
        <v>221780451</v>
      </c>
      <c r="R223" s="72"/>
      <c r="V223" s="38"/>
      <c r="W223" s="58"/>
      <c r="X223" s="58"/>
      <c r="Y223" s="58"/>
      <c r="Z223" s="58"/>
    </row>
    <row r="224" spans="1:26">
      <c r="A224" s="50" t="s">
        <v>18</v>
      </c>
      <c r="B224" s="51" t="s">
        <v>267</v>
      </c>
      <c r="C224" s="52"/>
      <c r="D224" s="64">
        <v>2021</v>
      </c>
      <c r="E224" s="37">
        <v>2997394853</v>
      </c>
      <c r="F224" s="37">
        <v>5571179910</v>
      </c>
      <c r="G224" s="37">
        <v>4508213406</v>
      </c>
      <c r="H224" s="37">
        <v>0</v>
      </c>
      <c r="I224" s="55">
        <f t="shared" si="11"/>
        <v>13076788169</v>
      </c>
      <c r="J224" s="60">
        <v>-4</v>
      </c>
      <c r="K224" s="56">
        <f t="shared" si="12"/>
        <v>13076788165</v>
      </c>
      <c r="L224" s="60">
        <v>0</v>
      </c>
      <c r="M224" s="69"/>
      <c r="N224" s="72"/>
      <c r="O224" s="38"/>
      <c r="P224" s="35">
        <v>490205217.96000004</v>
      </c>
      <c r="Q224" s="35">
        <v>234698515</v>
      </c>
      <c r="R224" s="72"/>
      <c r="V224" s="38"/>
      <c r="W224" s="58"/>
      <c r="X224" s="58"/>
      <c r="Y224" s="58"/>
      <c r="Z224" s="58"/>
    </row>
    <row r="225" spans="1:26">
      <c r="A225" s="50" t="s">
        <v>18</v>
      </c>
      <c r="B225" s="51" t="s">
        <v>267</v>
      </c>
      <c r="C225" s="52"/>
      <c r="D225" s="64">
        <v>2022</v>
      </c>
      <c r="E225" s="37">
        <v>3068011251</v>
      </c>
      <c r="F225" s="37">
        <v>5800009011</v>
      </c>
      <c r="G225" s="37">
        <v>4893154391</v>
      </c>
      <c r="H225" s="37">
        <v>0</v>
      </c>
      <c r="I225" s="55">
        <f t="shared" si="11"/>
        <v>13761174653</v>
      </c>
      <c r="J225" s="60">
        <v>-7227</v>
      </c>
      <c r="K225" s="56">
        <f t="shared" si="12"/>
        <v>13761167426</v>
      </c>
      <c r="L225" s="60">
        <v>0</v>
      </c>
      <c r="M225" s="69"/>
      <c r="N225" s="72"/>
      <c r="O225" s="38"/>
      <c r="P225" s="60">
        <v>532291338</v>
      </c>
      <c r="Q225" s="60">
        <v>234700110</v>
      </c>
      <c r="R225" s="72"/>
      <c r="V225" s="38"/>
      <c r="W225" s="58"/>
      <c r="X225" s="58"/>
      <c r="Y225" s="58"/>
      <c r="Z225" s="58"/>
    </row>
    <row r="226" spans="1:26">
      <c r="A226" s="50" t="s">
        <v>18</v>
      </c>
      <c r="B226" s="51" t="s">
        <v>267</v>
      </c>
      <c r="C226" s="52"/>
      <c r="D226" s="53">
        <v>2023</v>
      </c>
      <c r="E226" s="37">
        <v>3116255040</v>
      </c>
      <c r="F226" s="37">
        <v>6407168692.2691002</v>
      </c>
      <c r="G226" s="37">
        <v>8168943851.1000004</v>
      </c>
      <c r="H226" s="37">
        <v>0</v>
      </c>
      <c r="I226" s="55">
        <f t="shared" si="11"/>
        <v>17692367583.369102</v>
      </c>
      <c r="J226" s="60">
        <v>-13849</v>
      </c>
      <c r="K226" s="56">
        <f t="shared" si="12"/>
        <v>17692353734.369102</v>
      </c>
      <c r="L226" s="37">
        <v>0</v>
      </c>
      <c r="M226" s="69" t="s">
        <v>739</v>
      </c>
      <c r="N226" s="72"/>
      <c r="O226" s="38" t="s">
        <v>737</v>
      </c>
      <c r="P226" s="60">
        <v>572007615.96000004</v>
      </c>
      <c r="Q226" s="60">
        <v>234428565</v>
      </c>
      <c r="R226" s="72"/>
      <c r="V226" s="38"/>
      <c r="W226" s="58"/>
      <c r="X226" s="58"/>
      <c r="Y226" s="58"/>
      <c r="Z226" s="58"/>
    </row>
    <row r="227" spans="1:26">
      <c r="A227" s="50"/>
      <c r="B227" s="52"/>
      <c r="C227" s="52"/>
      <c r="E227" s="54"/>
      <c r="F227" s="54"/>
      <c r="G227" s="54"/>
      <c r="H227" s="54"/>
      <c r="I227" s="55"/>
      <c r="K227" s="65"/>
      <c r="L227" s="37"/>
      <c r="M227" s="69"/>
      <c r="O227" s="38"/>
    </row>
    <row r="228" spans="1:26">
      <c r="A228" s="50" t="s">
        <v>19</v>
      </c>
      <c r="B228" s="51" t="s">
        <v>305</v>
      </c>
      <c r="C228" s="52" t="s">
        <v>750</v>
      </c>
      <c r="D228" s="53">
        <v>1988</v>
      </c>
      <c r="E228" s="54">
        <v>1088101087</v>
      </c>
      <c r="F228" s="54">
        <v>814138809</v>
      </c>
      <c r="G228" s="54">
        <v>2007923266</v>
      </c>
      <c r="H228" s="54">
        <v>1056248596</v>
      </c>
      <c r="I228" s="55">
        <f t="shared" si="11"/>
        <v>4966411758</v>
      </c>
      <c r="J228" s="54">
        <v>0</v>
      </c>
      <c r="K228" s="56">
        <f>SUM(I228:J228)</f>
        <v>4966411758</v>
      </c>
      <c r="L228" s="37">
        <v>0</v>
      </c>
      <c r="M228" s="69"/>
      <c r="O228" s="38" t="str">
        <f>IF([1]totrevprm!O229="","",[1]totrevprm!O229)</f>
        <v/>
      </c>
    </row>
    <row r="229" spans="1:26">
      <c r="A229" s="50" t="s">
        <v>19</v>
      </c>
      <c r="B229" s="51" t="s">
        <v>305</v>
      </c>
      <c r="C229" s="52" t="s">
        <v>731</v>
      </c>
      <c r="D229" s="53">
        <v>1989</v>
      </c>
      <c r="E229" s="54">
        <v>1150185716</v>
      </c>
      <c r="F229" s="54">
        <v>924054498</v>
      </c>
      <c r="G229" s="54">
        <v>2357785708</v>
      </c>
      <c r="H229" s="54">
        <v>917855756</v>
      </c>
      <c r="I229" s="55">
        <f t="shared" si="11"/>
        <v>5349881678</v>
      </c>
      <c r="J229" s="54">
        <v>0</v>
      </c>
      <c r="K229" s="56">
        <f t="shared" ref="K229:K263" si="13">SUM(I229:J229)</f>
        <v>5349881678</v>
      </c>
      <c r="L229" s="37">
        <v>0</v>
      </c>
      <c r="M229" s="69"/>
      <c r="O229" s="38" t="str">
        <f>IF([1]totrevprm!O230="","",[1]totrevprm!O230)</f>
        <v/>
      </c>
    </row>
    <row r="230" spans="1:26">
      <c r="A230" s="50" t="s">
        <v>19</v>
      </c>
      <c r="B230" s="51" t="s">
        <v>305</v>
      </c>
      <c r="C230" s="52" t="s">
        <v>731</v>
      </c>
      <c r="D230" s="53">
        <v>1990</v>
      </c>
      <c r="E230" s="54">
        <v>1224476571</v>
      </c>
      <c r="F230" s="54">
        <v>1396613823.24</v>
      </c>
      <c r="G230" s="54">
        <v>2605274310</v>
      </c>
      <c r="H230" s="54">
        <v>904765983</v>
      </c>
      <c r="I230" s="55">
        <f t="shared" si="11"/>
        <v>6131130687.2399998</v>
      </c>
      <c r="J230" s="54">
        <v>0</v>
      </c>
      <c r="K230" s="56">
        <f t="shared" si="13"/>
        <v>6131130687.2399998</v>
      </c>
      <c r="L230" s="37">
        <v>0</v>
      </c>
      <c r="M230" s="69"/>
      <c r="O230" s="38" t="str">
        <f>IF([1]totrevprm!O231="","",[1]totrevprm!O231)</f>
        <v/>
      </c>
    </row>
    <row r="231" spans="1:26">
      <c r="A231" s="50" t="s">
        <v>19</v>
      </c>
      <c r="B231" s="51" t="s">
        <v>305</v>
      </c>
      <c r="C231" s="52" t="s">
        <v>731</v>
      </c>
      <c r="D231" s="53">
        <v>1991</v>
      </c>
      <c r="E231" s="54">
        <v>1259496517</v>
      </c>
      <c r="F231" s="54">
        <v>868623997</v>
      </c>
      <c r="G231" s="54">
        <v>2080101981</v>
      </c>
      <c r="H231" s="54">
        <v>798555349</v>
      </c>
      <c r="I231" s="55">
        <f t="shared" si="11"/>
        <v>5006777844</v>
      </c>
      <c r="J231" s="54">
        <v>0</v>
      </c>
      <c r="K231" s="56">
        <f t="shared" si="13"/>
        <v>5006777844</v>
      </c>
      <c r="L231" s="37">
        <v>0</v>
      </c>
      <c r="M231" s="69"/>
      <c r="O231" s="38" t="str">
        <f>IF([1]totrevprm!O232="","",[1]totrevprm!O232)</f>
        <v/>
      </c>
    </row>
    <row r="232" spans="1:26">
      <c r="A232" s="50" t="s">
        <v>19</v>
      </c>
      <c r="B232" s="51" t="s">
        <v>305</v>
      </c>
      <c r="C232" s="52" t="s">
        <v>731</v>
      </c>
      <c r="D232" s="53">
        <v>1992</v>
      </c>
      <c r="E232" s="54">
        <v>1263353236</v>
      </c>
      <c r="F232" s="54">
        <v>1013246298.2</v>
      </c>
      <c r="G232" s="54">
        <v>1900074462</v>
      </c>
      <c r="H232" s="54">
        <v>620598543</v>
      </c>
      <c r="I232" s="55">
        <f t="shared" si="11"/>
        <v>4797272539.1999998</v>
      </c>
      <c r="J232" s="54">
        <v>0</v>
      </c>
      <c r="K232" s="56">
        <f t="shared" si="13"/>
        <v>4797272539.1999998</v>
      </c>
      <c r="L232" s="37">
        <v>0</v>
      </c>
      <c r="M232" s="69"/>
      <c r="O232" s="38" t="str">
        <f>IF([1]totrevprm!O233="","",[1]totrevprm!O233)</f>
        <v/>
      </c>
    </row>
    <row r="233" spans="1:26">
      <c r="A233" s="50" t="s">
        <v>19</v>
      </c>
      <c r="B233" s="51" t="s">
        <v>305</v>
      </c>
      <c r="C233" s="52" t="s">
        <v>731</v>
      </c>
      <c r="D233" s="53">
        <v>1993</v>
      </c>
      <c r="E233" s="54">
        <v>1379972689</v>
      </c>
      <c r="F233" s="54">
        <v>802506092</v>
      </c>
      <c r="G233" s="54">
        <v>1763174845</v>
      </c>
      <c r="H233" s="54">
        <v>537714964</v>
      </c>
      <c r="I233" s="55">
        <f t="shared" si="11"/>
        <v>4483368590</v>
      </c>
      <c r="J233" s="54">
        <v>0</v>
      </c>
      <c r="K233" s="56">
        <f t="shared" si="13"/>
        <v>4483368590</v>
      </c>
      <c r="L233" s="37">
        <v>0</v>
      </c>
      <c r="M233" s="69"/>
      <c r="O233" s="38" t="str">
        <f>IF([1]totrevprm!O234="","",[1]totrevprm!O234)</f>
        <v/>
      </c>
    </row>
    <row r="234" spans="1:26">
      <c r="A234" s="50" t="s">
        <v>19</v>
      </c>
      <c r="B234" s="51" t="s">
        <v>305</v>
      </c>
      <c r="C234" s="52" t="s">
        <v>731</v>
      </c>
      <c r="D234" s="53">
        <v>1994</v>
      </c>
      <c r="E234" s="54">
        <v>1601094600</v>
      </c>
      <c r="F234" s="54">
        <v>1467073952</v>
      </c>
      <c r="G234" s="54">
        <v>1752533368</v>
      </c>
      <c r="H234" s="54">
        <v>1773874230</v>
      </c>
      <c r="I234" s="55">
        <f t="shared" si="11"/>
        <v>6594576150</v>
      </c>
      <c r="J234" s="54">
        <v>0</v>
      </c>
      <c r="K234" s="56">
        <f t="shared" si="13"/>
        <v>6594576150</v>
      </c>
      <c r="L234" s="37">
        <v>0</v>
      </c>
      <c r="M234" s="69"/>
      <c r="O234" s="38" t="str">
        <f>IF([1]totrevprm!O235="","",[1]totrevprm!O235)</f>
        <v/>
      </c>
    </row>
    <row r="235" spans="1:26">
      <c r="A235" s="50" t="s">
        <v>19</v>
      </c>
      <c r="B235" s="51" t="s">
        <v>305</v>
      </c>
      <c r="C235" s="52" t="s">
        <v>731</v>
      </c>
      <c r="D235" s="53">
        <v>1995</v>
      </c>
      <c r="E235" s="54">
        <v>1584649056</v>
      </c>
      <c r="F235" s="54">
        <v>1600898074</v>
      </c>
      <c r="G235" s="54">
        <v>2067627222</v>
      </c>
      <c r="H235" s="54">
        <v>671136066</v>
      </c>
      <c r="I235" s="55">
        <f t="shared" si="11"/>
        <v>5924310418</v>
      </c>
      <c r="J235" s="54">
        <v>0</v>
      </c>
      <c r="K235" s="56">
        <f t="shared" si="13"/>
        <v>5924310418</v>
      </c>
      <c r="L235" s="37">
        <v>0</v>
      </c>
      <c r="M235" s="69"/>
      <c r="O235" s="38" t="str">
        <f>IF([1]totrevprm!O236="","",[1]totrevprm!O236)</f>
        <v/>
      </c>
    </row>
    <row r="236" spans="1:26">
      <c r="A236" s="50" t="s">
        <v>19</v>
      </c>
      <c r="B236" s="51" t="s">
        <v>305</v>
      </c>
      <c r="C236" s="52" t="s">
        <v>731</v>
      </c>
      <c r="D236" s="53">
        <v>1996</v>
      </c>
      <c r="E236" s="54">
        <v>1638095187</v>
      </c>
      <c r="F236" s="54">
        <v>1215287036</v>
      </c>
      <c r="G236" s="54">
        <v>1635755629</v>
      </c>
      <c r="H236" s="54">
        <v>520507398</v>
      </c>
      <c r="I236" s="55">
        <f t="shared" ref="I236:I299" si="14">SUM(E236:H236)</f>
        <v>5009645250</v>
      </c>
      <c r="J236" s="54">
        <v>0</v>
      </c>
      <c r="K236" s="56">
        <f t="shared" si="13"/>
        <v>5009645250</v>
      </c>
      <c r="L236" s="37">
        <v>0</v>
      </c>
      <c r="M236" s="69"/>
      <c r="O236" s="38" t="str">
        <f>IF([1]totrevprm!O237="","",[1]totrevprm!O237)</f>
        <v/>
      </c>
    </row>
    <row r="237" spans="1:26">
      <c r="A237" s="50" t="s">
        <v>19</v>
      </c>
      <c r="B237" s="51" t="s">
        <v>305</v>
      </c>
      <c r="C237" s="52" t="s">
        <v>731</v>
      </c>
      <c r="D237" s="53">
        <v>1997</v>
      </c>
      <c r="E237" s="54">
        <v>1550476848</v>
      </c>
      <c r="F237" s="54">
        <v>1517374403</v>
      </c>
      <c r="G237" s="54">
        <v>1343566612</v>
      </c>
      <c r="H237" s="54">
        <v>473221338</v>
      </c>
      <c r="I237" s="55">
        <f t="shared" si="14"/>
        <v>4884639201</v>
      </c>
      <c r="J237" s="54">
        <v>0</v>
      </c>
      <c r="K237" s="56">
        <f t="shared" si="13"/>
        <v>4884639201</v>
      </c>
      <c r="L237" s="37">
        <v>0</v>
      </c>
      <c r="M237" s="69"/>
      <c r="O237" s="38" t="str">
        <f>IF([1]totrevprm!O238="","",[1]totrevprm!O238)</f>
        <v/>
      </c>
    </row>
    <row r="238" spans="1:26">
      <c r="A238" s="50" t="s">
        <v>19</v>
      </c>
      <c r="B238" s="51" t="s">
        <v>305</v>
      </c>
      <c r="C238" s="52" t="s">
        <v>731</v>
      </c>
      <c r="D238" s="53">
        <v>1998</v>
      </c>
      <c r="E238" s="54">
        <v>1718180622</v>
      </c>
      <c r="F238" s="54">
        <v>1306572294</v>
      </c>
      <c r="G238" s="54">
        <v>1663892131</v>
      </c>
      <c r="H238" s="54">
        <v>-24492761</v>
      </c>
      <c r="I238" s="55">
        <f t="shared" si="14"/>
        <v>4664152286</v>
      </c>
      <c r="J238" s="54">
        <v>0</v>
      </c>
      <c r="K238" s="56">
        <f t="shared" si="13"/>
        <v>4664152286</v>
      </c>
      <c r="L238" s="37">
        <v>0</v>
      </c>
      <c r="M238" s="69"/>
      <c r="O238" s="38" t="str">
        <f>IF([1]totrevprm!O239="","",[1]totrevprm!O239)</f>
        <v/>
      </c>
    </row>
    <row r="239" spans="1:26">
      <c r="A239" s="50" t="s">
        <v>19</v>
      </c>
      <c r="B239" s="51" t="s">
        <v>305</v>
      </c>
      <c r="C239" s="52" t="s">
        <v>731</v>
      </c>
      <c r="D239" s="53">
        <v>1999</v>
      </c>
      <c r="E239" s="54">
        <v>1598661952</v>
      </c>
      <c r="F239" s="54">
        <v>1852264435</v>
      </c>
      <c r="G239" s="54">
        <v>1816115978</v>
      </c>
      <c r="H239" s="54">
        <v>691544953</v>
      </c>
      <c r="I239" s="55">
        <f t="shared" si="14"/>
        <v>5958587318</v>
      </c>
      <c r="J239" s="54">
        <v>0</v>
      </c>
      <c r="K239" s="56">
        <f t="shared" si="13"/>
        <v>5958587318</v>
      </c>
      <c r="L239" s="37">
        <v>0</v>
      </c>
      <c r="M239" s="69"/>
      <c r="O239" s="38" t="str">
        <f>IF([1]totrevprm!O240="","",[1]totrevprm!O240)</f>
        <v/>
      </c>
    </row>
    <row r="240" spans="1:26">
      <c r="A240" s="50" t="s">
        <v>19</v>
      </c>
      <c r="B240" s="51" t="s">
        <v>305</v>
      </c>
      <c r="C240" s="52" t="s">
        <v>731</v>
      </c>
      <c r="D240" s="53">
        <v>2000</v>
      </c>
      <c r="E240" s="54">
        <v>1694456096</v>
      </c>
      <c r="F240" s="54">
        <v>2293919836</v>
      </c>
      <c r="G240" s="54">
        <v>1960756971</v>
      </c>
      <c r="H240" s="54">
        <v>568895089</v>
      </c>
      <c r="I240" s="55">
        <f t="shared" si="14"/>
        <v>6518027992</v>
      </c>
      <c r="J240" s="54">
        <v>0</v>
      </c>
      <c r="K240" s="56">
        <f t="shared" si="13"/>
        <v>6518027992</v>
      </c>
      <c r="L240" s="37">
        <v>0</v>
      </c>
      <c r="M240" s="69"/>
      <c r="O240" s="38" t="str">
        <f>IF([1]totrevprm!O241="","",[1]totrevprm!O241)</f>
        <v/>
      </c>
      <c r="V240" s="38" t="s">
        <v>305</v>
      </c>
      <c r="W240" s="58">
        <v>1929657</v>
      </c>
      <c r="X240" s="58">
        <v>46603082</v>
      </c>
      <c r="Y240" s="58">
        <v>15125377</v>
      </c>
      <c r="Z240" s="58">
        <v>0</v>
      </c>
    </row>
    <row r="241" spans="1:26">
      <c r="A241" s="50" t="s">
        <v>19</v>
      </c>
      <c r="B241" s="51" t="s">
        <v>305</v>
      </c>
      <c r="C241" s="52" t="s">
        <v>751</v>
      </c>
      <c r="D241" s="53">
        <v>2001</v>
      </c>
      <c r="E241" s="54">
        <v>1648001680</v>
      </c>
      <c r="F241" s="54">
        <v>3469628636</v>
      </c>
      <c r="G241" s="54">
        <v>2062471090</v>
      </c>
      <c r="H241" s="54">
        <v>473081692</v>
      </c>
      <c r="I241" s="55">
        <f t="shared" si="14"/>
        <v>7653183098</v>
      </c>
      <c r="J241" s="54">
        <v>0</v>
      </c>
      <c r="K241" s="56">
        <f t="shared" si="13"/>
        <v>7653183098</v>
      </c>
      <c r="L241" s="35">
        <v>24602649</v>
      </c>
      <c r="M241" s="69" t="s">
        <v>735</v>
      </c>
      <c r="O241" s="38" t="str">
        <f>IF([1]totrevprm!O242="","",[1]totrevprm!O242)</f>
        <v/>
      </c>
      <c r="V241" s="38"/>
      <c r="W241" s="58"/>
      <c r="X241" s="58"/>
      <c r="Y241" s="58"/>
      <c r="Z241" s="58"/>
    </row>
    <row r="242" spans="1:26">
      <c r="A242" s="50" t="s">
        <v>19</v>
      </c>
      <c r="B242" s="51" t="s">
        <v>305</v>
      </c>
      <c r="C242" s="52" t="s">
        <v>731</v>
      </c>
      <c r="D242" s="53">
        <v>2002</v>
      </c>
      <c r="E242" s="54">
        <v>1659039792</v>
      </c>
      <c r="F242" s="54">
        <v>4956566466</v>
      </c>
      <c r="G242" s="54">
        <v>2245740057</v>
      </c>
      <c r="H242" s="54">
        <v>166919546</v>
      </c>
      <c r="I242" s="55">
        <f t="shared" si="14"/>
        <v>9028265861</v>
      </c>
      <c r="J242" s="54">
        <v>0</v>
      </c>
      <c r="K242" s="56">
        <f t="shared" si="13"/>
        <v>9028265861</v>
      </c>
      <c r="L242" s="35">
        <v>17400336</v>
      </c>
      <c r="M242" s="69" t="s">
        <v>735</v>
      </c>
      <c r="O242" s="38" t="str">
        <f>IF([1]totrevprm!O243="","",[1]totrevprm!O243)</f>
        <v/>
      </c>
      <c r="V242" s="38"/>
      <c r="W242" s="58"/>
      <c r="X242" s="58"/>
      <c r="Y242" s="58"/>
      <c r="Z242" s="58"/>
    </row>
    <row r="243" spans="1:26">
      <c r="A243" s="50" t="s">
        <v>19</v>
      </c>
      <c r="B243" s="51" t="s">
        <v>305</v>
      </c>
      <c r="C243" s="52" t="s">
        <v>731</v>
      </c>
      <c r="D243" s="53">
        <v>2003</v>
      </c>
      <c r="E243" s="59">
        <v>1714184436</v>
      </c>
      <c r="F243" s="59">
        <v>5352613731</v>
      </c>
      <c r="G243" s="59">
        <v>2408845740</v>
      </c>
      <c r="H243" s="59">
        <v>280445747</v>
      </c>
      <c r="I243" s="55">
        <f t="shared" si="14"/>
        <v>9756089654</v>
      </c>
      <c r="J243" s="54">
        <v>0</v>
      </c>
      <c r="K243" s="56">
        <f t="shared" si="13"/>
        <v>9756089654</v>
      </c>
      <c r="L243" s="35">
        <v>82137504</v>
      </c>
      <c r="M243" s="69" t="s">
        <v>735</v>
      </c>
      <c r="O243" s="38" t="str">
        <f>IF([1]totrevprm!O244="","",[1]totrevprm!O244)</f>
        <v/>
      </c>
      <c r="V243" s="38"/>
      <c r="W243" s="58"/>
      <c r="X243" s="58"/>
      <c r="Y243" s="58"/>
      <c r="Z243" s="58"/>
    </row>
    <row r="244" spans="1:26">
      <c r="A244" s="50" t="s">
        <v>19</v>
      </c>
      <c r="B244" s="51" t="s">
        <v>305</v>
      </c>
      <c r="C244" s="52" t="s">
        <v>731</v>
      </c>
      <c r="D244" s="53">
        <v>2004</v>
      </c>
      <c r="E244" s="59">
        <v>1816689372</v>
      </c>
      <c r="F244" s="59">
        <v>5334295148</v>
      </c>
      <c r="G244" s="59">
        <v>2812657380</v>
      </c>
      <c r="H244" s="59">
        <v>352670408</v>
      </c>
      <c r="I244" s="55">
        <f t="shared" si="14"/>
        <v>10316312308</v>
      </c>
      <c r="J244" s="54">
        <v>0</v>
      </c>
      <c r="K244" s="56">
        <f t="shared" si="13"/>
        <v>10316312308</v>
      </c>
      <c r="L244" s="35">
        <v>727248019</v>
      </c>
      <c r="M244" s="69" t="s">
        <v>735</v>
      </c>
      <c r="O244" s="38" t="str">
        <f>IF([1]totrevprm!O245="","",[1]totrevprm!O245)</f>
        <v/>
      </c>
      <c r="V244" s="38"/>
      <c r="W244" s="58"/>
      <c r="X244" s="58"/>
      <c r="Y244" s="58"/>
      <c r="Z244" s="58"/>
    </row>
    <row r="245" spans="1:26">
      <c r="A245" s="50" t="s">
        <v>19</v>
      </c>
      <c r="B245" s="51" t="s">
        <v>305</v>
      </c>
      <c r="C245" s="52"/>
      <c r="D245" s="53">
        <v>2005</v>
      </c>
      <c r="E245" s="59">
        <v>1943840851</v>
      </c>
      <c r="F245" s="59">
        <v>5044679490</v>
      </c>
      <c r="G245" s="59">
        <v>4498625923</v>
      </c>
      <c r="H245" s="59">
        <v>3447456795</v>
      </c>
      <c r="I245" s="55">
        <f t="shared" si="14"/>
        <v>14934603059</v>
      </c>
      <c r="J245" s="54">
        <v>0</v>
      </c>
      <c r="K245" s="56">
        <f t="shared" si="13"/>
        <v>14934603059</v>
      </c>
      <c r="L245" s="35">
        <v>69019354</v>
      </c>
      <c r="M245" s="69" t="s">
        <v>735</v>
      </c>
      <c r="O245" s="38" t="str">
        <f>IF([1]totrevprm!O246="","",[1]totrevprm!O246)</f>
        <v/>
      </c>
      <c r="V245" s="38"/>
      <c r="W245" s="58"/>
      <c r="X245" s="58"/>
      <c r="Y245" s="58"/>
      <c r="Z245" s="58"/>
    </row>
    <row r="246" spans="1:26">
      <c r="A246" s="50" t="s">
        <v>19</v>
      </c>
      <c r="B246" s="51" t="s">
        <v>305</v>
      </c>
      <c r="C246" s="52"/>
      <c r="D246" s="53">
        <v>2006</v>
      </c>
      <c r="E246" s="37">
        <v>1977069693</v>
      </c>
      <c r="F246" s="37">
        <v>4795359905</v>
      </c>
      <c r="G246" s="37">
        <v>4833278044</v>
      </c>
      <c r="H246" s="37">
        <v>318648337</v>
      </c>
      <c r="I246" s="55">
        <f t="shared" si="14"/>
        <v>11924355979</v>
      </c>
      <c r="J246" s="54">
        <v>0</v>
      </c>
      <c r="K246" s="56">
        <f t="shared" si="13"/>
        <v>11924355979</v>
      </c>
      <c r="L246" s="35">
        <v>151223088</v>
      </c>
      <c r="M246" s="69" t="s">
        <v>735</v>
      </c>
      <c r="O246" s="38" t="str">
        <f>IF([1]totrevprm!O247="","",[1]totrevprm!O247)</f>
        <v/>
      </c>
      <c r="V246" s="38"/>
      <c r="W246" s="58"/>
      <c r="X246" s="58"/>
      <c r="Y246" s="58"/>
      <c r="Z246" s="58"/>
    </row>
    <row r="247" spans="1:26">
      <c r="A247" s="50" t="s">
        <v>19</v>
      </c>
      <c r="B247" s="51" t="s">
        <v>305</v>
      </c>
      <c r="C247" s="52"/>
      <c r="D247" s="53">
        <v>2007</v>
      </c>
      <c r="E247" s="37">
        <v>2091275430</v>
      </c>
      <c r="F247" s="37">
        <v>5166646752</v>
      </c>
      <c r="G247" s="37">
        <v>5271538201</v>
      </c>
      <c r="H247" s="37">
        <v>714599286</v>
      </c>
      <c r="I247" s="55">
        <f t="shared" si="14"/>
        <v>13244059669</v>
      </c>
      <c r="J247" s="54">
        <v>0</v>
      </c>
      <c r="K247" s="56">
        <f t="shared" si="13"/>
        <v>13244059669</v>
      </c>
      <c r="L247" s="35">
        <v>107224180</v>
      </c>
      <c r="M247" s="69" t="s">
        <v>735</v>
      </c>
      <c r="O247" s="38" t="str">
        <f>IF([1]totrevprm!O248="","",[1]totrevprm!O248)</f>
        <v/>
      </c>
      <c r="V247" s="38"/>
      <c r="W247" s="58"/>
      <c r="X247" s="58"/>
      <c r="Y247" s="58"/>
      <c r="Z247" s="58"/>
    </row>
    <row r="248" spans="1:26">
      <c r="A248" s="50" t="s">
        <v>19</v>
      </c>
      <c r="B248" s="51" t="s">
        <v>305</v>
      </c>
      <c r="C248" s="52"/>
      <c r="D248" s="53">
        <v>2008</v>
      </c>
      <c r="E248" s="37">
        <v>2055376551</v>
      </c>
      <c r="F248" s="37">
        <v>6380098907</v>
      </c>
      <c r="G248" s="37">
        <v>4962655584</v>
      </c>
      <c r="H248" s="37">
        <v>389986992</v>
      </c>
      <c r="I248" s="55">
        <f t="shared" si="14"/>
        <v>13788118034</v>
      </c>
      <c r="J248" s="54">
        <v>0</v>
      </c>
      <c r="K248" s="56">
        <f t="shared" si="13"/>
        <v>13788118034</v>
      </c>
      <c r="L248" s="35">
        <v>127841650</v>
      </c>
      <c r="M248" s="69" t="s">
        <v>735</v>
      </c>
      <c r="O248" s="38" t="str">
        <f>IF([1]totrevprm!O249="","",[1]totrevprm!O249)</f>
        <v/>
      </c>
      <c r="V248" s="38"/>
      <c r="W248" s="58"/>
      <c r="X248" s="58"/>
      <c r="Y248" s="58"/>
      <c r="Z248" s="58"/>
    </row>
    <row r="249" spans="1:26">
      <c r="A249" s="50" t="s">
        <v>19</v>
      </c>
      <c r="B249" s="51" t="s">
        <v>305</v>
      </c>
      <c r="C249" s="52"/>
      <c r="D249" s="53">
        <v>2009</v>
      </c>
      <c r="E249" s="37">
        <v>2196997367</v>
      </c>
      <c r="F249" s="37">
        <v>6506224856</v>
      </c>
      <c r="G249" s="37">
        <v>5122671333</v>
      </c>
      <c r="H249" s="37">
        <v>1055986375</v>
      </c>
      <c r="I249" s="55">
        <f t="shared" si="14"/>
        <v>14881879931</v>
      </c>
      <c r="J249" s="54">
        <v>0</v>
      </c>
      <c r="K249" s="56">
        <f t="shared" si="13"/>
        <v>14881879931</v>
      </c>
      <c r="L249" s="35">
        <v>56924327</v>
      </c>
      <c r="M249" s="69" t="s">
        <v>735</v>
      </c>
      <c r="O249" s="38" t="str">
        <f>IF([1]totrevprm!O250="","",[1]totrevprm!O250)</f>
        <v/>
      </c>
      <c r="V249" s="38"/>
      <c r="W249" s="58"/>
      <c r="X249" s="58"/>
      <c r="Y249" s="58"/>
      <c r="Z249" s="58"/>
    </row>
    <row r="250" spans="1:26">
      <c r="A250" s="50" t="s">
        <v>19</v>
      </c>
      <c r="B250" s="51" t="s">
        <v>305</v>
      </c>
      <c r="C250" s="52"/>
      <c r="D250" s="53">
        <v>2010</v>
      </c>
      <c r="E250" s="37">
        <v>2232436597</v>
      </c>
      <c r="F250" s="37">
        <v>3713263362</v>
      </c>
      <c r="G250" s="37">
        <v>4833585658</v>
      </c>
      <c r="H250" s="37">
        <v>984136721</v>
      </c>
      <c r="I250" s="55">
        <f t="shared" si="14"/>
        <v>11763422338</v>
      </c>
      <c r="J250" s="54">
        <v>0</v>
      </c>
      <c r="K250" s="56">
        <f t="shared" si="13"/>
        <v>11763422338</v>
      </c>
      <c r="L250" s="35">
        <v>126590023</v>
      </c>
      <c r="M250" s="69" t="s">
        <v>735</v>
      </c>
      <c r="O250" s="38" t="str">
        <f>IF([1]totrevprm!O251="","",[1]totrevprm!O251)</f>
        <v/>
      </c>
      <c r="V250" s="38"/>
      <c r="W250" s="58"/>
      <c r="X250" s="58"/>
      <c r="Y250" s="58"/>
      <c r="Z250" s="58"/>
    </row>
    <row r="251" spans="1:26">
      <c r="A251" s="50" t="s">
        <v>19</v>
      </c>
      <c r="B251" s="51" t="s">
        <v>305</v>
      </c>
      <c r="C251" s="52"/>
      <c r="D251" s="53">
        <v>2011</v>
      </c>
      <c r="E251" s="37">
        <v>2238766302</v>
      </c>
      <c r="F251" s="37">
        <v>3909895934</v>
      </c>
      <c r="G251" s="37">
        <v>4647019231</v>
      </c>
      <c r="H251" s="37">
        <v>422628547</v>
      </c>
      <c r="I251" s="55">
        <f t="shared" si="14"/>
        <v>11218310014</v>
      </c>
      <c r="J251" s="54">
        <v>0</v>
      </c>
      <c r="K251" s="56">
        <f t="shared" si="13"/>
        <v>11218310014</v>
      </c>
      <c r="L251" s="35">
        <v>51884837</v>
      </c>
      <c r="M251" s="69" t="s">
        <v>735</v>
      </c>
      <c r="O251" s="38" t="str">
        <f>IF([1]totrevprm!O252="","",[1]totrevprm!O252)</f>
        <v/>
      </c>
      <c r="V251" s="38"/>
      <c r="W251" s="58"/>
      <c r="X251" s="58"/>
      <c r="Y251" s="58"/>
      <c r="Z251" s="58"/>
    </row>
    <row r="252" spans="1:26">
      <c r="A252" s="50" t="s">
        <v>19</v>
      </c>
      <c r="B252" s="51" t="s">
        <v>305</v>
      </c>
      <c r="C252" s="52"/>
      <c r="D252" s="53">
        <v>2012</v>
      </c>
      <c r="E252" s="37">
        <v>2359217702</v>
      </c>
      <c r="F252" s="37">
        <v>4325414390</v>
      </c>
      <c r="G252" s="37">
        <v>4792751932</v>
      </c>
      <c r="H252" s="37">
        <v>369442094</v>
      </c>
      <c r="I252" s="55">
        <f t="shared" si="14"/>
        <v>11846826118</v>
      </c>
      <c r="J252" s="54">
        <v>0</v>
      </c>
      <c r="K252" s="56">
        <f t="shared" si="13"/>
        <v>11846826118</v>
      </c>
      <c r="L252" s="35">
        <v>56132570</v>
      </c>
      <c r="M252" s="69" t="s">
        <v>735</v>
      </c>
      <c r="O252" s="38" t="str">
        <f>IF([1]totrevprm!O253="","",[1]totrevprm!O253)</f>
        <v/>
      </c>
      <c r="V252" s="38"/>
      <c r="W252" s="58"/>
      <c r="X252" s="58"/>
      <c r="Y252" s="58"/>
      <c r="Z252" s="58"/>
    </row>
    <row r="253" spans="1:26">
      <c r="A253" s="50" t="s">
        <v>19</v>
      </c>
      <c r="B253" s="51" t="s">
        <v>305</v>
      </c>
      <c r="C253" s="52"/>
      <c r="D253" s="53">
        <v>2013</v>
      </c>
      <c r="E253" s="37">
        <v>2329010076</v>
      </c>
      <c r="F253" s="37">
        <v>4430099076</v>
      </c>
      <c r="G253" s="37">
        <v>5017778380</v>
      </c>
      <c r="H253" s="37">
        <v>521565272</v>
      </c>
      <c r="I253" s="55">
        <f t="shared" si="14"/>
        <v>12298452804</v>
      </c>
      <c r="J253" s="54">
        <v>0</v>
      </c>
      <c r="K253" s="56">
        <f t="shared" si="13"/>
        <v>12298452804</v>
      </c>
      <c r="L253" s="35">
        <v>143945559</v>
      </c>
      <c r="M253" s="69" t="s">
        <v>735</v>
      </c>
      <c r="O253" s="38" t="str">
        <f>IF([1]totrevprm!O254="","",[1]totrevprm!O254)</f>
        <v/>
      </c>
      <c r="V253" s="38"/>
      <c r="W253" s="58"/>
      <c r="X253" s="58"/>
      <c r="Y253" s="58"/>
      <c r="Z253" s="58"/>
    </row>
    <row r="254" spans="1:26">
      <c r="A254" s="50" t="s">
        <v>19</v>
      </c>
      <c r="B254" s="51" t="s">
        <v>305</v>
      </c>
      <c r="C254" s="52"/>
      <c r="D254" s="64">
        <v>2014</v>
      </c>
      <c r="E254" s="37">
        <v>2301758473</v>
      </c>
      <c r="F254" s="37">
        <v>4751610122</v>
      </c>
      <c r="G254" s="37">
        <v>5418515123</v>
      </c>
      <c r="H254" s="37">
        <v>347888164</v>
      </c>
      <c r="I254" s="55">
        <f t="shared" si="14"/>
        <v>12819771882</v>
      </c>
      <c r="J254" s="54">
        <v>0</v>
      </c>
      <c r="K254" s="56">
        <f t="shared" si="13"/>
        <v>12819771882</v>
      </c>
      <c r="L254" s="37">
        <v>214929241</v>
      </c>
      <c r="M254" s="69" t="s">
        <v>735</v>
      </c>
      <c r="O254" s="38" t="str">
        <f>IF([1]totrevprm!O255="","",[1]totrevprm!O255)</f>
        <v/>
      </c>
      <c r="V254" s="38"/>
      <c r="W254" s="58"/>
      <c r="X254" s="58"/>
      <c r="Y254" s="58"/>
      <c r="Z254" s="58"/>
    </row>
    <row r="255" spans="1:26">
      <c r="A255" s="50" t="s">
        <v>19</v>
      </c>
      <c r="B255" s="51" t="s">
        <v>305</v>
      </c>
      <c r="C255" s="52"/>
      <c r="D255" s="64">
        <v>2015</v>
      </c>
      <c r="E255" s="37">
        <v>2352238955</v>
      </c>
      <c r="F255" s="37">
        <v>5201462614</v>
      </c>
      <c r="G255" s="37">
        <v>5064573825</v>
      </c>
      <c r="H255" s="37">
        <v>305672153</v>
      </c>
      <c r="I255" s="55">
        <f t="shared" si="14"/>
        <v>12923947547</v>
      </c>
      <c r="J255" s="54">
        <v>0</v>
      </c>
      <c r="K255" s="56">
        <f t="shared" si="13"/>
        <v>12923947547</v>
      </c>
      <c r="L255" s="37">
        <v>692020094</v>
      </c>
      <c r="M255" s="69" t="s">
        <v>735</v>
      </c>
      <c r="O255" s="38" t="str">
        <f>IF([1]totrevprm!O256="","",[1]totrevprm!O256)</f>
        <v/>
      </c>
      <c r="P255" s="35">
        <v>418900960.22251022</v>
      </c>
      <c r="Q255" s="35">
        <v>224247744.55880597</v>
      </c>
      <c r="V255" s="38"/>
      <c r="W255" s="58"/>
      <c r="X255" s="58"/>
      <c r="Y255" s="58"/>
      <c r="Z255" s="58"/>
    </row>
    <row r="256" spans="1:26">
      <c r="A256" s="50" t="s">
        <v>19</v>
      </c>
      <c r="B256" s="51" t="s">
        <v>305</v>
      </c>
      <c r="C256" s="52"/>
      <c r="D256" s="64">
        <v>2016</v>
      </c>
      <c r="E256" s="37">
        <v>2388756152</v>
      </c>
      <c r="F256" s="37">
        <v>5394168564</v>
      </c>
      <c r="G256" s="37">
        <v>4878321364</v>
      </c>
      <c r="H256" s="37">
        <v>270802007</v>
      </c>
      <c r="I256" s="55">
        <f t="shared" si="14"/>
        <v>12932048087</v>
      </c>
      <c r="J256" s="54">
        <v>0</v>
      </c>
      <c r="K256" s="56">
        <f t="shared" si="13"/>
        <v>12932048087</v>
      </c>
      <c r="L256" s="37">
        <v>108445462</v>
      </c>
      <c r="M256" s="69" t="s">
        <v>735</v>
      </c>
      <c r="O256" s="38" t="str">
        <f>IF([1]totrevprm!O257="","",[1]totrevprm!O257)</f>
        <v/>
      </c>
      <c r="P256" s="35">
        <v>419584001.2115528</v>
      </c>
      <c r="Q256" s="35">
        <v>223897808.87541354</v>
      </c>
      <c r="V256" s="38"/>
      <c r="W256" s="58"/>
      <c r="X256" s="58"/>
      <c r="Y256" s="58"/>
      <c r="Z256" s="58"/>
    </row>
    <row r="257" spans="1:26">
      <c r="A257" s="50" t="s">
        <v>19</v>
      </c>
      <c r="B257" s="51" t="s">
        <v>305</v>
      </c>
      <c r="C257" s="52"/>
      <c r="D257" s="64">
        <v>2017</v>
      </c>
      <c r="E257" s="37">
        <v>2428320472</v>
      </c>
      <c r="F257" s="37">
        <v>5186206138</v>
      </c>
      <c r="G257" s="37">
        <v>5119347546</v>
      </c>
      <c r="H257" s="37">
        <v>580988310</v>
      </c>
      <c r="I257" s="55">
        <f t="shared" si="14"/>
        <v>13314862466</v>
      </c>
      <c r="J257" s="54">
        <v>0</v>
      </c>
      <c r="K257" s="56">
        <f t="shared" si="13"/>
        <v>13314862466</v>
      </c>
      <c r="L257" s="60">
        <v>80237838</v>
      </c>
      <c r="M257" s="69" t="s">
        <v>735</v>
      </c>
      <c r="O257" s="38" t="str">
        <f>IF([1]totrevprm!O258="","",[1]totrevprm!O258)</f>
        <v/>
      </c>
      <c r="P257" s="35">
        <v>429798968.31243825</v>
      </c>
      <c r="Q257" s="35">
        <v>222527408.14755905</v>
      </c>
      <c r="V257" s="38"/>
      <c r="W257" s="58"/>
      <c r="X257" s="58"/>
      <c r="Y257" s="58"/>
      <c r="Z257" s="58"/>
    </row>
    <row r="258" spans="1:26">
      <c r="A258" s="50" t="s">
        <v>19</v>
      </c>
      <c r="B258" s="51" t="s">
        <v>305</v>
      </c>
      <c r="C258" s="52"/>
      <c r="D258" s="64">
        <v>2018</v>
      </c>
      <c r="E258" s="37">
        <v>2454371034</v>
      </c>
      <c r="F258" s="37">
        <v>6086992784</v>
      </c>
      <c r="G258" s="37">
        <v>5561397895.2799997</v>
      </c>
      <c r="H258" s="37">
        <v>332270413</v>
      </c>
      <c r="I258" s="55">
        <f t="shared" si="14"/>
        <v>14435032126.279999</v>
      </c>
      <c r="J258" s="54">
        <v>0</v>
      </c>
      <c r="K258" s="56">
        <f t="shared" si="13"/>
        <v>14435032126.279999</v>
      </c>
      <c r="L258" s="60">
        <v>141119756</v>
      </c>
      <c r="M258" s="69" t="s">
        <v>840</v>
      </c>
      <c r="N258" s="73" t="s">
        <v>708</v>
      </c>
      <c r="O258" s="38" t="str">
        <f>IF([1]totrevprm!O259="","",[1]totrevprm!O259)</f>
        <v>Yes</v>
      </c>
      <c r="P258" s="35">
        <v>423589030.92568189</v>
      </c>
      <c r="Q258" s="35">
        <v>202734372.22</v>
      </c>
      <c r="R258" s="73"/>
      <c r="V258" s="38"/>
      <c r="W258" s="58"/>
      <c r="X258" s="58"/>
      <c r="Y258" s="58"/>
      <c r="Z258" s="58"/>
    </row>
    <row r="259" spans="1:26">
      <c r="A259" s="50" t="s">
        <v>19</v>
      </c>
      <c r="B259" s="51" t="s">
        <v>305</v>
      </c>
      <c r="C259" s="52"/>
      <c r="D259" s="64">
        <v>2019</v>
      </c>
      <c r="E259" s="37">
        <v>2502319212</v>
      </c>
      <c r="F259" s="37">
        <v>7439228540</v>
      </c>
      <c r="G259" s="37">
        <v>5353654567.0400009</v>
      </c>
      <c r="H259" s="37">
        <v>2861951392</v>
      </c>
      <c r="I259" s="55">
        <f t="shared" si="14"/>
        <v>18157153711.040001</v>
      </c>
      <c r="J259" s="54">
        <v>0</v>
      </c>
      <c r="K259" s="56">
        <f t="shared" si="13"/>
        <v>18157153711.040001</v>
      </c>
      <c r="L259" s="60">
        <v>154534997</v>
      </c>
      <c r="M259" s="69" t="s">
        <v>738</v>
      </c>
      <c r="N259" s="73" t="s">
        <v>708</v>
      </c>
      <c r="O259" s="38" t="str">
        <f>IF([1]totrevprm!O260="","",[1]totrevprm!O260)</f>
        <v/>
      </c>
      <c r="P259" s="35">
        <v>427142524.69314325</v>
      </c>
      <c r="Q259" s="35">
        <v>231054511.09088787</v>
      </c>
      <c r="R259" s="73"/>
      <c r="V259" s="38"/>
      <c r="W259" s="58"/>
      <c r="X259" s="58"/>
      <c r="Y259" s="58"/>
      <c r="Z259" s="58"/>
    </row>
    <row r="260" spans="1:26">
      <c r="A260" s="50" t="s">
        <v>19</v>
      </c>
      <c r="B260" s="51" t="s">
        <v>305</v>
      </c>
      <c r="C260" s="52"/>
      <c r="D260" s="64">
        <v>2020</v>
      </c>
      <c r="E260" s="37">
        <v>2471396169</v>
      </c>
      <c r="F260" s="37">
        <v>7490837599</v>
      </c>
      <c r="G260" s="37">
        <v>5338825814</v>
      </c>
      <c r="H260" s="37">
        <v>4292570905</v>
      </c>
      <c r="I260" s="55">
        <f t="shared" si="14"/>
        <v>19593630487</v>
      </c>
      <c r="J260" s="54">
        <v>0</v>
      </c>
      <c r="K260" s="56">
        <f t="shared" si="13"/>
        <v>19593630487</v>
      </c>
      <c r="L260" s="60">
        <v>-32696183</v>
      </c>
      <c r="M260" s="69" t="s">
        <v>738</v>
      </c>
      <c r="N260" s="73" t="s">
        <v>708</v>
      </c>
      <c r="O260" s="38" t="str">
        <f>IF([1]totrevprm!O261="","",[1]totrevprm!O261)</f>
        <v/>
      </c>
      <c r="P260" s="35">
        <v>405759576</v>
      </c>
      <c r="Q260" s="35">
        <v>224320874</v>
      </c>
      <c r="R260" s="73"/>
      <c r="V260" s="38"/>
      <c r="W260" s="58"/>
      <c r="X260" s="58"/>
      <c r="Y260" s="58"/>
      <c r="Z260" s="58"/>
    </row>
    <row r="261" spans="1:26">
      <c r="A261" s="50" t="s">
        <v>19</v>
      </c>
      <c r="B261" s="51" t="s">
        <v>305</v>
      </c>
      <c r="C261" s="52"/>
      <c r="D261" s="64">
        <v>2021</v>
      </c>
      <c r="E261" s="37">
        <v>2584146165</v>
      </c>
      <c r="F261" s="37">
        <v>11463706245</v>
      </c>
      <c r="G261" s="37">
        <v>5367968974.2299995</v>
      </c>
      <c r="H261" s="37">
        <v>88973047</v>
      </c>
      <c r="I261" s="55">
        <f t="shared" si="14"/>
        <v>19504794431.23</v>
      </c>
      <c r="J261" s="54">
        <v>0</v>
      </c>
      <c r="K261" s="56">
        <f t="shared" si="13"/>
        <v>19504794431.23</v>
      </c>
      <c r="L261" s="54">
        <v>0</v>
      </c>
      <c r="M261" s="69" t="s">
        <v>739</v>
      </c>
      <c r="N261" s="73" t="s">
        <v>708</v>
      </c>
      <c r="O261" s="38" t="s">
        <v>708</v>
      </c>
      <c r="P261" s="35">
        <v>384321537.62</v>
      </c>
      <c r="Q261" s="35">
        <v>241217884</v>
      </c>
      <c r="R261" s="73"/>
      <c r="V261" s="38"/>
      <c r="W261" s="58"/>
      <c r="X261" s="58"/>
      <c r="Y261" s="58"/>
      <c r="Z261" s="58"/>
    </row>
    <row r="262" spans="1:26">
      <c r="A262" s="50" t="s">
        <v>19</v>
      </c>
      <c r="B262" s="51" t="s">
        <v>305</v>
      </c>
      <c r="C262" s="52"/>
      <c r="D262" s="64">
        <v>2022</v>
      </c>
      <c r="E262" s="37">
        <v>2569338498</v>
      </c>
      <c r="F262" s="37">
        <v>11254218398</v>
      </c>
      <c r="G262" s="37">
        <v>5480625326</v>
      </c>
      <c r="H262" s="37">
        <v>63075922</v>
      </c>
      <c r="I262" s="55">
        <f t="shared" si="14"/>
        <v>19367258144</v>
      </c>
      <c r="J262" s="54">
        <v>0</v>
      </c>
      <c r="K262" s="56">
        <f t="shared" si="13"/>
        <v>19367258144</v>
      </c>
      <c r="L262" s="54">
        <v>0</v>
      </c>
      <c r="M262" s="69" t="s">
        <v>739</v>
      </c>
      <c r="N262" s="73" t="s">
        <v>708</v>
      </c>
      <c r="O262" s="38" t="s">
        <v>708</v>
      </c>
      <c r="P262" s="60">
        <v>412711604</v>
      </c>
      <c r="Q262" s="60">
        <v>240217167</v>
      </c>
      <c r="R262" s="73"/>
      <c r="V262" s="38"/>
      <c r="W262" s="58"/>
      <c r="X262" s="58"/>
      <c r="Y262" s="58"/>
      <c r="Z262" s="58"/>
    </row>
    <row r="263" spans="1:26">
      <c r="A263" s="50" t="s">
        <v>19</v>
      </c>
      <c r="B263" s="51" t="s">
        <v>305</v>
      </c>
      <c r="C263" s="52"/>
      <c r="D263" s="53">
        <v>2023</v>
      </c>
      <c r="E263" s="37">
        <v>2527237024</v>
      </c>
      <c r="F263" s="37">
        <v>11358538081.143</v>
      </c>
      <c r="G263" s="37">
        <v>5637037726.5945997</v>
      </c>
      <c r="H263" s="37">
        <v>42297665</v>
      </c>
      <c r="I263" s="55">
        <f t="shared" si="14"/>
        <v>19565110496.737598</v>
      </c>
      <c r="J263" s="54">
        <v>0</v>
      </c>
      <c r="K263" s="56">
        <f t="shared" si="13"/>
        <v>19565110496.737598</v>
      </c>
      <c r="L263" s="37">
        <v>0</v>
      </c>
      <c r="M263" s="69" t="s">
        <v>739</v>
      </c>
      <c r="N263" s="73"/>
      <c r="O263" s="38"/>
      <c r="P263" s="60">
        <v>424697041.18000001</v>
      </c>
      <c r="Q263" s="60">
        <v>241895618</v>
      </c>
      <c r="R263" s="73"/>
      <c r="V263" s="38"/>
      <c r="W263" s="58"/>
      <c r="X263" s="58"/>
      <c r="Y263" s="58"/>
      <c r="Z263" s="58"/>
    </row>
    <row r="264" spans="1:26">
      <c r="A264" s="50"/>
      <c r="B264" s="52"/>
      <c r="C264" s="52"/>
      <c r="E264" s="54"/>
      <c r="F264" s="54"/>
      <c r="G264" s="54"/>
      <c r="H264" s="54"/>
      <c r="I264" s="55"/>
      <c r="K264" s="65"/>
      <c r="L264" s="37"/>
      <c r="M264" s="69"/>
      <c r="O264" s="38" t="str">
        <f>IF([1]totrevprm!O265="","",[1]totrevprm!O265)</f>
        <v/>
      </c>
    </row>
    <row r="265" spans="1:26">
      <c r="A265" s="50" t="s">
        <v>21</v>
      </c>
      <c r="B265" s="51" t="s">
        <v>221</v>
      </c>
      <c r="C265" s="52" t="s">
        <v>730</v>
      </c>
      <c r="D265" s="53">
        <v>1988</v>
      </c>
      <c r="E265" s="54">
        <v>268677160</v>
      </c>
      <c r="F265" s="54">
        <v>200351054</v>
      </c>
      <c r="G265" s="54">
        <v>123852673</v>
      </c>
      <c r="H265" s="54">
        <v>0</v>
      </c>
      <c r="I265" s="55">
        <f t="shared" si="14"/>
        <v>592880887</v>
      </c>
      <c r="J265" s="54">
        <v>-1069323</v>
      </c>
      <c r="K265" s="56">
        <f>SUM(I265:J265)</f>
        <v>591811564</v>
      </c>
      <c r="L265" s="37">
        <v>0</v>
      </c>
      <c r="M265" s="69"/>
      <c r="O265" s="38" t="str">
        <f>IF([1]totrevprm!O266="","",[1]totrevprm!O266)</f>
        <v/>
      </c>
    </row>
    <row r="266" spans="1:26">
      <c r="A266" s="50" t="s">
        <v>21</v>
      </c>
      <c r="B266" s="51" t="s">
        <v>221</v>
      </c>
      <c r="C266" s="52" t="s">
        <v>730</v>
      </c>
      <c r="D266" s="53">
        <v>1989</v>
      </c>
      <c r="E266" s="54">
        <v>294024103</v>
      </c>
      <c r="F266" s="54">
        <v>277245305</v>
      </c>
      <c r="G266" s="54">
        <v>147063120</v>
      </c>
      <c r="H266" s="54">
        <v>0</v>
      </c>
      <c r="I266" s="55">
        <f t="shared" si="14"/>
        <v>718332528</v>
      </c>
      <c r="J266" s="54">
        <v>-2355522</v>
      </c>
      <c r="K266" s="56">
        <f t="shared" ref="K266:K300" si="15">SUM(I266:J266)</f>
        <v>715977006</v>
      </c>
      <c r="L266" s="37">
        <v>0</v>
      </c>
      <c r="M266" s="69"/>
      <c r="O266" s="38" t="str">
        <f>IF([1]totrevprm!O267="","",[1]totrevprm!O267)</f>
        <v/>
      </c>
    </row>
    <row r="267" spans="1:26">
      <c r="A267" s="50" t="s">
        <v>21</v>
      </c>
      <c r="B267" s="51" t="s">
        <v>221</v>
      </c>
      <c r="C267" s="52" t="s">
        <v>730</v>
      </c>
      <c r="D267" s="53">
        <v>1990</v>
      </c>
      <c r="E267" s="54">
        <v>279345372</v>
      </c>
      <c r="F267" s="54">
        <v>428678578.80000001</v>
      </c>
      <c r="G267" s="54">
        <v>159149269</v>
      </c>
      <c r="H267" s="54">
        <v>0</v>
      </c>
      <c r="I267" s="55">
        <f t="shared" si="14"/>
        <v>867173219.79999995</v>
      </c>
      <c r="J267" s="54">
        <v>-3162499</v>
      </c>
      <c r="K267" s="56">
        <f t="shared" si="15"/>
        <v>864010720.79999995</v>
      </c>
      <c r="L267" s="37">
        <v>0</v>
      </c>
      <c r="M267" s="69"/>
      <c r="O267" s="38" t="str">
        <f>IF([1]totrevprm!O268="","",[1]totrevprm!O268)</f>
        <v/>
      </c>
    </row>
    <row r="268" spans="1:26">
      <c r="A268" s="50" t="s">
        <v>21</v>
      </c>
      <c r="B268" s="51" t="s">
        <v>221</v>
      </c>
      <c r="C268" s="52" t="s">
        <v>752</v>
      </c>
      <c r="D268" s="53">
        <v>1991</v>
      </c>
      <c r="E268" s="54">
        <v>251924669</v>
      </c>
      <c r="F268" s="54">
        <v>152105063</v>
      </c>
      <c r="G268" s="54">
        <v>167312321</v>
      </c>
      <c r="H268" s="54">
        <v>95930921</v>
      </c>
      <c r="I268" s="55">
        <f t="shared" si="14"/>
        <v>667272974</v>
      </c>
      <c r="J268" s="54">
        <v>0</v>
      </c>
      <c r="K268" s="56">
        <f t="shared" si="15"/>
        <v>667272974</v>
      </c>
      <c r="L268" s="37">
        <v>0</v>
      </c>
      <c r="M268" s="69"/>
      <c r="O268" s="38" t="str">
        <f>IF([1]totrevprm!O269="","",[1]totrevprm!O269)</f>
        <v/>
      </c>
    </row>
    <row r="269" spans="1:26">
      <c r="A269" s="50" t="s">
        <v>21</v>
      </c>
      <c r="B269" s="51" t="s">
        <v>221</v>
      </c>
      <c r="C269" s="52" t="s">
        <v>753</v>
      </c>
      <c r="D269" s="53">
        <v>1992</v>
      </c>
      <c r="E269" s="54">
        <v>300680060</v>
      </c>
      <c r="F269" s="54">
        <v>166194571.36000001</v>
      </c>
      <c r="G269" s="54">
        <v>179825527</v>
      </c>
      <c r="H269" s="54">
        <v>119591410</v>
      </c>
      <c r="I269" s="55">
        <f t="shared" si="14"/>
        <v>766291568.36000001</v>
      </c>
      <c r="J269" s="54">
        <v>0</v>
      </c>
      <c r="K269" s="56">
        <f t="shared" si="15"/>
        <v>766291568.36000001</v>
      </c>
      <c r="L269" s="37">
        <v>0</v>
      </c>
      <c r="M269" s="69"/>
      <c r="O269" s="38" t="str">
        <f>IF([1]totrevprm!O270="","",[1]totrevprm!O270)</f>
        <v/>
      </c>
    </row>
    <row r="270" spans="1:26">
      <c r="A270" s="50" t="s">
        <v>21</v>
      </c>
      <c r="B270" s="51" t="s">
        <v>221</v>
      </c>
      <c r="C270" s="52" t="s">
        <v>731</v>
      </c>
      <c r="D270" s="53">
        <v>1993</v>
      </c>
      <c r="E270" s="54">
        <v>319455282</v>
      </c>
      <c r="F270" s="54">
        <v>168982760</v>
      </c>
      <c r="G270" s="54">
        <v>198654435</v>
      </c>
      <c r="H270" s="54">
        <v>78806194</v>
      </c>
      <c r="I270" s="55">
        <f t="shared" si="14"/>
        <v>765898671</v>
      </c>
      <c r="J270" s="54">
        <v>0</v>
      </c>
      <c r="K270" s="56">
        <f t="shared" si="15"/>
        <v>765898671</v>
      </c>
      <c r="L270" s="37">
        <v>0</v>
      </c>
      <c r="M270" s="69"/>
      <c r="O270" s="38" t="str">
        <f>IF([1]totrevprm!O271="","",[1]totrevprm!O271)</f>
        <v/>
      </c>
    </row>
    <row r="271" spans="1:26">
      <c r="A271" s="50" t="s">
        <v>21</v>
      </c>
      <c r="B271" s="51" t="s">
        <v>221</v>
      </c>
      <c r="C271" s="52" t="s">
        <v>754</v>
      </c>
      <c r="D271" s="53">
        <v>1994</v>
      </c>
      <c r="E271" s="54">
        <v>428382476</v>
      </c>
      <c r="F271" s="54">
        <v>523220061</v>
      </c>
      <c r="G271" s="54">
        <v>205453787</v>
      </c>
      <c r="H271" s="54">
        <v>213997835</v>
      </c>
      <c r="I271" s="55">
        <f t="shared" si="14"/>
        <v>1371054159</v>
      </c>
      <c r="J271" s="54">
        <v>0</v>
      </c>
      <c r="K271" s="56">
        <f t="shared" si="15"/>
        <v>1371054159</v>
      </c>
      <c r="L271" s="37">
        <v>0</v>
      </c>
      <c r="M271" s="69"/>
      <c r="O271" s="38" t="str">
        <f>IF([1]totrevprm!O272="","",[1]totrevprm!O272)</f>
        <v/>
      </c>
    </row>
    <row r="272" spans="1:26">
      <c r="A272" s="50" t="s">
        <v>21</v>
      </c>
      <c r="B272" s="51" t="s">
        <v>221</v>
      </c>
      <c r="C272" s="52" t="s">
        <v>731</v>
      </c>
      <c r="D272" s="53">
        <v>1995</v>
      </c>
      <c r="E272" s="54">
        <v>661567700</v>
      </c>
      <c r="F272" s="54">
        <v>708830689</v>
      </c>
      <c r="G272" s="54">
        <v>212484286</v>
      </c>
      <c r="H272" s="54">
        <v>82769667</v>
      </c>
      <c r="I272" s="55">
        <f t="shared" si="14"/>
        <v>1665652342</v>
      </c>
      <c r="J272" s="54">
        <v>0</v>
      </c>
      <c r="K272" s="56">
        <f t="shared" si="15"/>
        <v>1665652342</v>
      </c>
      <c r="L272" s="37">
        <v>0</v>
      </c>
      <c r="M272" s="69"/>
      <c r="O272" s="38" t="str">
        <f>IF([1]totrevprm!O273="","",[1]totrevprm!O273)</f>
        <v/>
      </c>
    </row>
    <row r="273" spans="1:26">
      <c r="A273" s="50" t="s">
        <v>21</v>
      </c>
      <c r="B273" s="51" t="s">
        <v>221</v>
      </c>
      <c r="C273" s="52" t="s">
        <v>731</v>
      </c>
      <c r="D273" s="53">
        <v>1996</v>
      </c>
      <c r="E273" s="54">
        <v>549255118</v>
      </c>
      <c r="F273" s="54">
        <v>655937573</v>
      </c>
      <c r="G273" s="54">
        <v>224620626</v>
      </c>
      <c r="H273" s="54">
        <v>41489322</v>
      </c>
      <c r="I273" s="55">
        <f t="shared" si="14"/>
        <v>1471302639</v>
      </c>
      <c r="J273" s="54">
        <v>0</v>
      </c>
      <c r="K273" s="56">
        <f t="shared" si="15"/>
        <v>1471302639</v>
      </c>
      <c r="L273" s="37">
        <v>0</v>
      </c>
      <c r="M273" s="69"/>
      <c r="O273" s="38" t="str">
        <f>IF([1]totrevprm!O274="","",[1]totrevprm!O274)</f>
        <v/>
      </c>
    </row>
    <row r="274" spans="1:26">
      <c r="A274" s="50" t="s">
        <v>21</v>
      </c>
      <c r="B274" s="51" t="s">
        <v>221</v>
      </c>
      <c r="C274" s="52" t="s">
        <v>731</v>
      </c>
      <c r="D274" s="53">
        <v>1997</v>
      </c>
      <c r="E274" s="54">
        <v>537212842</v>
      </c>
      <c r="F274" s="54">
        <v>630683634</v>
      </c>
      <c r="G274" s="54">
        <v>224519103</v>
      </c>
      <c r="H274" s="54">
        <v>110664993</v>
      </c>
      <c r="I274" s="55">
        <f t="shared" si="14"/>
        <v>1503080572</v>
      </c>
      <c r="J274" s="54">
        <v>0</v>
      </c>
      <c r="K274" s="56">
        <f t="shared" si="15"/>
        <v>1503080572</v>
      </c>
      <c r="L274" s="37">
        <v>0</v>
      </c>
      <c r="M274" s="69"/>
      <c r="O274" s="38" t="str">
        <f>IF([1]totrevprm!O275="","",[1]totrevprm!O275)</f>
        <v/>
      </c>
    </row>
    <row r="275" spans="1:26">
      <c r="A275" s="50" t="s">
        <v>21</v>
      </c>
      <c r="B275" s="51" t="s">
        <v>221</v>
      </c>
      <c r="C275" s="52" t="s">
        <v>745</v>
      </c>
      <c r="D275" s="53">
        <v>1998</v>
      </c>
      <c r="E275" s="54">
        <v>819860827</v>
      </c>
      <c r="F275" s="54">
        <v>925457335</v>
      </c>
      <c r="G275" s="54">
        <v>248690733</v>
      </c>
      <c r="H275" s="54">
        <v>78513421</v>
      </c>
      <c r="I275" s="55">
        <f t="shared" si="14"/>
        <v>2072522316</v>
      </c>
      <c r="J275" s="54">
        <v>0</v>
      </c>
      <c r="K275" s="56">
        <f t="shared" si="15"/>
        <v>2072522316</v>
      </c>
      <c r="L275" s="37">
        <v>10180962</v>
      </c>
      <c r="M275" s="69" t="s">
        <v>735</v>
      </c>
      <c r="O275" s="38" t="str">
        <f>IF([1]totrevprm!O276="","",[1]totrevprm!O276)</f>
        <v/>
      </c>
    </row>
    <row r="276" spans="1:26">
      <c r="A276" s="50" t="s">
        <v>21</v>
      </c>
      <c r="B276" s="51" t="s">
        <v>221</v>
      </c>
      <c r="C276" s="52" t="s">
        <v>731</v>
      </c>
      <c r="D276" s="53">
        <v>1999</v>
      </c>
      <c r="E276" s="54">
        <v>754883179</v>
      </c>
      <c r="F276" s="54">
        <v>676625661</v>
      </c>
      <c r="G276" s="54">
        <v>262311238</v>
      </c>
      <c r="H276" s="54">
        <v>41695890</v>
      </c>
      <c r="I276" s="55">
        <f t="shared" si="14"/>
        <v>1735515968</v>
      </c>
      <c r="J276" s="54">
        <v>0</v>
      </c>
      <c r="K276" s="56">
        <f t="shared" si="15"/>
        <v>1735515968</v>
      </c>
      <c r="L276" s="37">
        <v>32717798</v>
      </c>
      <c r="M276" s="69" t="s">
        <v>735</v>
      </c>
      <c r="O276" s="38" t="str">
        <f>IF([1]totrevprm!O277="","",[1]totrevprm!O277)</f>
        <v/>
      </c>
    </row>
    <row r="277" spans="1:26">
      <c r="A277" s="50" t="s">
        <v>21</v>
      </c>
      <c r="B277" s="51" t="s">
        <v>221</v>
      </c>
      <c r="C277" s="52" t="s">
        <v>731</v>
      </c>
      <c r="D277" s="53">
        <v>2000</v>
      </c>
      <c r="E277" s="54">
        <v>902167421</v>
      </c>
      <c r="F277" s="54">
        <v>807627348</v>
      </c>
      <c r="G277" s="54">
        <v>279902759</v>
      </c>
      <c r="H277" s="54">
        <v>55021022</v>
      </c>
      <c r="I277" s="55">
        <f t="shared" si="14"/>
        <v>2044718550</v>
      </c>
      <c r="J277" s="54">
        <v>0</v>
      </c>
      <c r="K277" s="56">
        <f t="shared" si="15"/>
        <v>2044718550</v>
      </c>
      <c r="L277" s="37">
        <v>15471277</v>
      </c>
      <c r="M277" s="69" t="s">
        <v>735</v>
      </c>
      <c r="O277" s="38" t="str">
        <f>IF([1]totrevprm!O278="","",[1]totrevprm!O278)</f>
        <v/>
      </c>
      <c r="V277" s="38" t="s">
        <v>221</v>
      </c>
      <c r="W277" s="58">
        <v>21911374</v>
      </c>
      <c r="X277" s="58">
        <v>2006397</v>
      </c>
      <c r="Y277" s="58">
        <v>4904767</v>
      </c>
      <c r="Z277" s="58">
        <v>1</v>
      </c>
    </row>
    <row r="278" spans="1:26">
      <c r="A278" s="50" t="s">
        <v>21</v>
      </c>
      <c r="B278" s="51" t="s">
        <v>221</v>
      </c>
      <c r="C278" s="52" t="s">
        <v>731</v>
      </c>
      <c r="D278" s="53">
        <v>2001</v>
      </c>
      <c r="E278" s="54">
        <v>902534951</v>
      </c>
      <c r="F278" s="54">
        <v>917437538.00999904</v>
      </c>
      <c r="G278" s="54">
        <v>321097608</v>
      </c>
      <c r="H278" s="54">
        <v>503753044</v>
      </c>
      <c r="I278" s="55">
        <f t="shared" si="14"/>
        <v>2644823141.0099993</v>
      </c>
      <c r="J278" s="54">
        <v>0</v>
      </c>
      <c r="K278" s="56">
        <f t="shared" si="15"/>
        <v>2644823141.0099993</v>
      </c>
      <c r="L278" s="35">
        <v>877471</v>
      </c>
      <c r="M278" s="69" t="s">
        <v>735</v>
      </c>
      <c r="O278" s="38" t="str">
        <f>IF([1]totrevprm!O279="","",[1]totrevprm!O279)</f>
        <v/>
      </c>
      <c r="V278" s="38"/>
      <c r="W278" s="58"/>
      <c r="X278" s="58"/>
      <c r="Y278" s="58"/>
      <c r="Z278" s="58"/>
    </row>
    <row r="279" spans="1:26">
      <c r="A279" s="50" t="s">
        <v>21</v>
      </c>
      <c r="B279" s="51" t="s">
        <v>221</v>
      </c>
      <c r="C279" s="52" t="s">
        <v>755</v>
      </c>
      <c r="D279" s="53">
        <v>2002</v>
      </c>
      <c r="E279" s="54">
        <v>692500394</v>
      </c>
      <c r="F279" s="54">
        <v>1409947304</v>
      </c>
      <c r="G279" s="74">
        <v>328355457</v>
      </c>
      <c r="H279" s="54">
        <v>31912055</v>
      </c>
      <c r="I279" s="55">
        <f t="shared" si="14"/>
        <v>2462715210</v>
      </c>
      <c r="J279" s="54">
        <v>0</v>
      </c>
      <c r="K279" s="56">
        <f t="shared" si="15"/>
        <v>2462715210</v>
      </c>
      <c r="L279" s="35">
        <v>1343470</v>
      </c>
      <c r="M279" s="69" t="s">
        <v>735</v>
      </c>
      <c r="O279" s="38" t="str">
        <f>IF([1]totrevprm!O280="","",[1]totrevprm!O280)</f>
        <v/>
      </c>
      <c r="V279" s="38"/>
      <c r="W279" s="58"/>
      <c r="X279" s="58"/>
      <c r="Y279" s="58"/>
      <c r="Z279" s="58"/>
    </row>
    <row r="280" spans="1:26">
      <c r="A280" s="50" t="s">
        <v>21</v>
      </c>
      <c r="B280" s="51" t="s">
        <v>221</v>
      </c>
      <c r="C280" s="52" t="s">
        <v>731</v>
      </c>
      <c r="D280" s="53">
        <v>2003</v>
      </c>
      <c r="E280" s="59">
        <v>563347541</v>
      </c>
      <c r="F280" s="59">
        <v>1580795606</v>
      </c>
      <c r="G280" s="59">
        <v>425855058</v>
      </c>
      <c r="H280" s="59">
        <v>30424834</v>
      </c>
      <c r="I280" s="55">
        <f t="shared" si="14"/>
        <v>2600423039</v>
      </c>
      <c r="J280" s="54">
        <v>0</v>
      </c>
      <c r="K280" s="56">
        <f t="shared" si="15"/>
        <v>2600423039</v>
      </c>
      <c r="L280" s="37">
        <v>21524800</v>
      </c>
      <c r="M280" s="69" t="s">
        <v>735</v>
      </c>
      <c r="O280" s="38" t="str">
        <f>IF([1]totrevprm!O281="","",[1]totrevprm!O281)</f>
        <v/>
      </c>
      <c r="V280" s="38"/>
      <c r="W280" s="58"/>
      <c r="X280" s="58"/>
      <c r="Y280" s="58"/>
      <c r="Z280" s="58"/>
    </row>
    <row r="281" spans="1:26">
      <c r="A281" s="50" t="s">
        <v>21</v>
      </c>
      <c r="B281" s="51" t="s">
        <v>221</v>
      </c>
      <c r="C281" s="52" t="s">
        <v>731</v>
      </c>
      <c r="D281" s="53">
        <v>2004</v>
      </c>
      <c r="E281" s="59">
        <v>522708579</v>
      </c>
      <c r="F281" s="59">
        <v>2834016464</v>
      </c>
      <c r="G281" s="59">
        <v>491073341</v>
      </c>
      <c r="H281" s="59">
        <v>41902580</v>
      </c>
      <c r="I281" s="55">
        <f t="shared" si="14"/>
        <v>3889700964</v>
      </c>
      <c r="J281" s="54">
        <v>0</v>
      </c>
      <c r="K281" s="56">
        <f t="shared" si="15"/>
        <v>3889700964</v>
      </c>
      <c r="L281" s="37">
        <v>7141705</v>
      </c>
      <c r="M281" s="69" t="s">
        <v>735</v>
      </c>
      <c r="O281" s="38" t="str">
        <f>IF([1]totrevprm!O282="","",[1]totrevprm!O282)</f>
        <v/>
      </c>
      <c r="V281" s="38"/>
      <c r="W281" s="58"/>
      <c r="X281" s="58"/>
      <c r="Y281" s="58"/>
      <c r="Z281" s="58"/>
    </row>
    <row r="282" spans="1:26">
      <c r="A282" s="50" t="s">
        <v>21</v>
      </c>
      <c r="B282" s="51" t="s">
        <v>221</v>
      </c>
      <c r="C282" s="52"/>
      <c r="D282" s="53">
        <v>2005</v>
      </c>
      <c r="E282" s="59">
        <v>660228251</v>
      </c>
      <c r="F282" s="59">
        <v>1421390035</v>
      </c>
      <c r="G282" s="59">
        <v>579179085.19000006</v>
      </c>
      <c r="H282" s="59">
        <v>196304730</v>
      </c>
      <c r="I282" s="55">
        <f t="shared" si="14"/>
        <v>2857102101.1900001</v>
      </c>
      <c r="J282" s="54">
        <v>0</v>
      </c>
      <c r="K282" s="56">
        <f t="shared" si="15"/>
        <v>2857102101.1900001</v>
      </c>
      <c r="L282" s="37">
        <v>67234192</v>
      </c>
      <c r="M282" s="69" t="s">
        <v>735</v>
      </c>
      <c r="O282" s="38" t="str">
        <f>IF([1]totrevprm!O283="","",[1]totrevprm!O283)</f>
        <v/>
      </c>
      <c r="V282" s="38"/>
      <c r="W282" s="58"/>
      <c r="X282" s="58"/>
      <c r="Y282" s="58"/>
      <c r="Z282" s="58"/>
    </row>
    <row r="283" spans="1:26">
      <c r="A283" s="50" t="s">
        <v>21</v>
      </c>
      <c r="B283" s="51" t="s">
        <v>221</v>
      </c>
      <c r="C283" s="52"/>
      <c r="D283" s="53">
        <v>2006</v>
      </c>
      <c r="E283" s="37">
        <v>882213488</v>
      </c>
      <c r="F283" s="37">
        <v>2398665193</v>
      </c>
      <c r="G283" s="37">
        <v>758889321</v>
      </c>
      <c r="H283" s="37">
        <v>88707613</v>
      </c>
      <c r="I283" s="55">
        <f t="shared" si="14"/>
        <v>4128475615</v>
      </c>
      <c r="J283" s="54">
        <v>0</v>
      </c>
      <c r="K283" s="56">
        <f t="shared" si="15"/>
        <v>4128475615</v>
      </c>
      <c r="L283" s="37">
        <v>2211338</v>
      </c>
      <c r="M283" s="69" t="s">
        <v>735</v>
      </c>
      <c r="O283" s="38" t="str">
        <f>IF([1]totrevprm!O284="","",[1]totrevprm!O284)</f>
        <v/>
      </c>
      <c r="V283" s="38"/>
      <c r="W283" s="58"/>
      <c r="X283" s="58"/>
      <c r="Y283" s="58"/>
      <c r="Z283" s="58"/>
    </row>
    <row r="284" spans="1:26">
      <c r="A284" s="50" t="s">
        <v>21</v>
      </c>
      <c r="B284" s="51" t="s">
        <v>221</v>
      </c>
      <c r="C284" s="52"/>
      <c r="D284" s="53">
        <v>2007</v>
      </c>
      <c r="E284" s="37">
        <v>852112573</v>
      </c>
      <c r="F284" s="37">
        <v>1808576871</v>
      </c>
      <c r="G284" s="37">
        <v>868659122</v>
      </c>
      <c r="H284" s="37">
        <v>17784824</v>
      </c>
      <c r="I284" s="55">
        <f t="shared" si="14"/>
        <v>3547133390</v>
      </c>
      <c r="J284" s="54">
        <v>0</v>
      </c>
      <c r="K284" s="56">
        <f t="shared" si="15"/>
        <v>3547133390</v>
      </c>
      <c r="L284" s="37">
        <v>622293</v>
      </c>
      <c r="M284" s="69" t="s">
        <v>735</v>
      </c>
      <c r="O284" s="38" t="str">
        <f>IF([1]totrevprm!O285="","",[1]totrevprm!O285)</f>
        <v/>
      </c>
      <c r="V284" s="38"/>
      <c r="W284" s="58"/>
      <c r="X284" s="58"/>
      <c r="Y284" s="58"/>
      <c r="Z284" s="58"/>
    </row>
    <row r="285" spans="1:26">
      <c r="A285" s="50" t="s">
        <v>21</v>
      </c>
      <c r="B285" s="51" t="s">
        <v>221</v>
      </c>
      <c r="C285" s="52"/>
      <c r="D285" s="53">
        <v>2008</v>
      </c>
      <c r="E285" s="37">
        <v>1025017351</v>
      </c>
      <c r="F285" s="37">
        <v>1910162221</v>
      </c>
      <c r="G285" s="37">
        <v>933158813</v>
      </c>
      <c r="H285" s="37">
        <v>369698279</v>
      </c>
      <c r="I285" s="55">
        <f t="shared" si="14"/>
        <v>4238036664</v>
      </c>
      <c r="J285" s="54">
        <v>0</v>
      </c>
      <c r="K285" s="56">
        <f t="shared" si="15"/>
        <v>4238036664</v>
      </c>
      <c r="L285" s="37">
        <v>879400</v>
      </c>
      <c r="M285" s="69" t="s">
        <v>735</v>
      </c>
      <c r="O285" s="38" t="str">
        <f>IF([1]totrevprm!O286="","",[1]totrevprm!O286)</f>
        <v/>
      </c>
      <c r="V285" s="38"/>
      <c r="W285" s="58"/>
      <c r="X285" s="58"/>
      <c r="Y285" s="58"/>
      <c r="Z285" s="58"/>
    </row>
    <row r="286" spans="1:26">
      <c r="A286" s="50" t="s">
        <v>21</v>
      </c>
      <c r="B286" s="51" t="s">
        <v>221</v>
      </c>
      <c r="C286" s="52"/>
      <c r="D286" s="53">
        <v>2009</v>
      </c>
      <c r="E286" s="37">
        <v>822552558</v>
      </c>
      <c r="F286" s="37">
        <v>1412206711</v>
      </c>
      <c r="G286" s="37">
        <v>988941253</v>
      </c>
      <c r="H286" s="37">
        <v>135349822</v>
      </c>
      <c r="I286" s="55">
        <f t="shared" si="14"/>
        <v>3359050344</v>
      </c>
      <c r="J286" s="54">
        <v>0</v>
      </c>
      <c r="K286" s="56">
        <f t="shared" si="15"/>
        <v>3359050344</v>
      </c>
      <c r="L286" s="37">
        <v>519387</v>
      </c>
      <c r="M286" s="69" t="s">
        <v>735</v>
      </c>
      <c r="O286" s="38" t="str">
        <f>IF([1]totrevprm!O287="","",[1]totrevprm!O287)</f>
        <v/>
      </c>
      <c r="V286" s="38"/>
      <c r="W286" s="58"/>
      <c r="X286" s="58"/>
      <c r="Y286" s="58"/>
      <c r="Z286" s="58"/>
    </row>
    <row r="287" spans="1:26">
      <c r="A287" s="50" t="s">
        <v>21</v>
      </c>
      <c r="B287" s="51" t="s">
        <v>221</v>
      </c>
      <c r="C287" s="52"/>
      <c r="D287" s="53">
        <v>2010</v>
      </c>
      <c r="E287" s="37">
        <v>1361781004</v>
      </c>
      <c r="F287" s="37">
        <v>2224925460</v>
      </c>
      <c r="G287" s="37">
        <v>1042389719</v>
      </c>
      <c r="H287" s="37">
        <v>380451203</v>
      </c>
      <c r="I287" s="55">
        <f t="shared" si="14"/>
        <v>5009547386</v>
      </c>
      <c r="J287" s="54">
        <v>0</v>
      </c>
      <c r="K287" s="56">
        <f t="shared" si="15"/>
        <v>5009547386</v>
      </c>
      <c r="L287" s="37">
        <v>891005</v>
      </c>
      <c r="M287" s="69" t="s">
        <v>735</v>
      </c>
      <c r="O287" s="38" t="str">
        <f>IF([1]totrevprm!O288="","",[1]totrevprm!O288)</f>
        <v/>
      </c>
      <c r="V287" s="38"/>
      <c r="W287" s="58"/>
      <c r="X287" s="58"/>
      <c r="Y287" s="58"/>
      <c r="Z287" s="58"/>
    </row>
    <row r="288" spans="1:26">
      <c r="A288" s="50" t="s">
        <v>21</v>
      </c>
      <c r="B288" s="51" t="s">
        <v>221</v>
      </c>
      <c r="C288" s="52"/>
      <c r="D288" s="53">
        <v>2011</v>
      </c>
      <c r="E288" s="37">
        <v>1276585349</v>
      </c>
      <c r="F288" s="37">
        <v>2447798958</v>
      </c>
      <c r="G288" s="37">
        <v>960004957.13999999</v>
      </c>
      <c r="H288" s="37">
        <v>21932357</v>
      </c>
      <c r="I288" s="55">
        <f t="shared" si="14"/>
        <v>4706321621.1400003</v>
      </c>
      <c r="J288" s="54">
        <v>0</v>
      </c>
      <c r="K288" s="56">
        <f t="shared" si="15"/>
        <v>4706321621.1400003</v>
      </c>
      <c r="L288" s="37">
        <v>768093</v>
      </c>
      <c r="M288" s="69" t="s">
        <v>735</v>
      </c>
      <c r="O288" s="38" t="str">
        <f>IF([1]totrevprm!O289="","",[1]totrevprm!O289)</f>
        <v/>
      </c>
      <c r="V288" s="38"/>
      <c r="W288" s="58"/>
      <c r="X288" s="58"/>
      <c r="Y288" s="58"/>
      <c r="Z288" s="58"/>
    </row>
    <row r="289" spans="1:26">
      <c r="A289" s="50" t="s">
        <v>21</v>
      </c>
      <c r="B289" s="51" t="s">
        <v>221</v>
      </c>
      <c r="C289" s="52"/>
      <c r="D289" s="53">
        <v>2012</v>
      </c>
      <c r="E289" s="37">
        <v>1198044498</v>
      </c>
      <c r="F289" s="37">
        <v>2785510402</v>
      </c>
      <c r="G289" s="37">
        <v>657546305</v>
      </c>
      <c r="H289" s="37">
        <v>186946251</v>
      </c>
      <c r="I289" s="55">
        <f t="shared" si="14"/>
        <v>4828047456</v>
      </c>
      <c r="J289" s="54">
        <v>0</v>
      </c>
      <c r="K289" s="56">
        <f t="shared" si="15"/>
        <v>4828047456</v>
      </c>
      <c r="L289" s="37">
        <v>537052</v>
      </c>
      <c r="M289" s="69" t="s">
        <v>735</v>
      </c>
      <c r="O289" s="38" t="str">
        <f>IF([1]totrevprm!O290="","",[1]totrevprm!O290)</f>
        <v/>
      </c>
      <c r="V289" s="38"/>
      <c r="W289" s="58"/>
      <c r="X289" s="58"/>
      <c r="Y289" s="58"/>
      <c r="Z289" s="58"/>
    </row>
    <row r="290" spans="1:26">
      <c r="A290" s="50" t="s">
        <v>21</v>
      </c>
      <c r="B290" s="51" t="s">
        <v>221</v>
      </c>
      <c r="C290" s="52"/>
      <c r="D290" s="53">
        <v>2013</v>
      </c>
      <c r="E290" s="37">
        <v>965551664</v>
      </c>
      <c r="F290" s="37">
        <v>2164682905</v>
      </c>
      <c r="G290" s="37">
        <v>509198021</v>
      </c>
      <c r="H290" s="37">
        <v>44607864</v>
      </c>
      <c r="I290" s="55">
        <f t="shared" si="14"/>
        <v>3684040454</v>
      </c>
      <c r="J290" s="54">
        <v>0</v>
      </c>
      <c r="K290" s="56">
        <f t="shared" si="15"/>
        <v>3684040454</v>
      </c>
      <c r="L290" s="37">
        <v>1407219</v>
      </c>
      <c r="M290" s="69" t="s">
        <v>735</v>
      </c>
      <c r="O290" s="38" t="str">
        <f>IF([1]totrevprm!O291="","",[1]totrevprm!O291)</f>
        <v/>
      </c>
      <c r="V290" s="38"/>
      <c r="W290" s="58"/>
      <c r="X290" s="58"/>
      <c r="Y290" s="58"/>
      <c r="Z290" s="58"/>
    </row>
    <row r="291" spans="1:26">
      <c r="A291" s="50" t="s">
        <v>21</v>
      </c>
      <c r="B291" s="51" t="s">
        <v>221</v>
      </c>
      <c r="C291" s="52"/>
      <c r="D291" s="64">
        <v>2014</v>
      </c>
      <c r="E291" s="37">
        <v>925035815</v>
      </c>
      <c r="F291" s="37">
        <v>2670489704</v>
      </c>
      <c r="G291" s="37">
        <v>551761086.40999997</v>
      </c>
      <c r="H291" s="37">
        <v>9214813</v>
      </c>
      <c r="I291" s="55">
        <f t="shared" si="14"/>
        <v>4156501418.4099998</v>
      </c>
      <c r="J291" s="54">
        <v>0</v>
      </c>
      <c r="K291" s="56">
        <f t="shared" si="15"/>
        <v>4156501418.4099998</v>
      </c>
      <c r="L291" s="37">
        <v>75394855</v>
      </c>
      <c r="M291" s="69" t="s">
        <v>735</v>
      </c>
      <c r="O291" s="38" t="str">
        <f>IF([1]totrevprm!O292="","",[1]totrevprm!O292)</f>
        <v/>
      </c>
      <c r="V291" s="38"/>
      <c r="W291" s="58"/>
      <c r="X291" s="58"/>
      <c r="Y291" s="58"/>
      <c r="Z291" s="58"/>
    </row>
    <row r="292" spans="1:26">
      <c r="A292" s="50" t="s">
        <v>21</v>
      </c>
      <c r="B292" s="51" t="s">
        <v>221</v>
      </c>
      <c r="C292" s="52"/>
      <c r="D292" s="64">
        <v>2015</v>
      </c>
      <c r="E292" s="37">
        <v>932058669</v>
      </c>
      <c r="F292" s="37">
        <v>2374396553</v>
      </c>
      <c r="G292" s="37">
        <v>533630370</v>
      </c>
      <c r="H292" s="37">
        <v>13522993</v>
      </c>
      <c r="I292" s="55">
        <f t="shared" si="14"/>
        <v>3853608585</v>
      </c>
      <c r="J292" s="54">
        <v>0</v>
      </c>
      <c r="K292" s="56">
        <f t="shared" si="15"/>
        <v>3853608585</v>
      </c>
      <c r="L292" s="37">
        <v>12709071</v>
      </c>
      <c r="M292" s="69" t="s">
        <v>735</v>
      </c>
      <c r="O292" s="38" t="str">
        <f>IF([1]totrevprm!O293="","",[1]totrevprm!O293)</f>
        <v/>
      </c>
      <c r="P292" s="35">
        <v>116118985.41991422</v>
      </c>
      <c r="Q292" s="35">
        <v>33546936</v>
      </c>
      <c r="V292" s="38"/>
      <c r="W292" s="58"/>
      <c r="X292" s="58"/>
      <c r="Y292" s="58"/>
      <c r="Z292" s="58"/>
    </row>
    <row r="293" spans="1:26">
      <c r="A293" s="50" t="s">
        <v>21</v>
      </c>
      <c r="B293" s="51" t="s">
        <v>221</v>
      </c>
      <c r="C293" s="52"/>
      <c r="D293" s="64">
        <v>2016</v>
      </c>
      <c r="E293" s="37">
        <v>954796281</v>
      </c>
      <c r="F293" s="37">
        <v>2668716176</v>
      </c>
      <c r="G293" s="37">
        <v>582228613</v>
      </c>
      <c r="H293" s="37">
        <v>18664148</v>
      </c>
      <c r="I293" s="55">
        <f t="shared" si="14"/>
        <v>4224405218</v>
      </c>
      <c r="J293" s="54">
        <v>0</v>
      </c>
      <c r="K293" s="56">
        <f t="shared" si="15"/>
        <v>4224405218</v>
      </c>
      <c r="L293" s="37">
        <v>68361015</v>
      </c>
      <c r="M293" s="69" t="s">
        <v>735</v>
      </c>
      <c r="O293" s="38" t="str">
        <f>IF([1]totrevprm!O294="","",[1]totrevprm!O294)</f>
        <v/>
      </c>
      <c r="P293" s="35">
        <v>106374791.98885824</v>
      </c>
      <c r="Q293" s="35">
        <v>35838701.189999998</v>
      </c>
      <c r="V293" s="38"/>
      <c r="W293" s="58"/>
      <c r="X293" s="58"/>
      <c r="Y293" s="58"/>
      <c r="Z293" s="58"/>
    </row>
    <row r="294" spans="1:26">
      <c r="A294" s="50" t="s">
        <v>21</v>
      </c>
      <c r="B294" s="51" t="s">
        <v>221</v>
      </c>
      <c r="C294" s="52"/>
      <c r="D294" s="64">
        <v>2017</v>
      </c>
      <c r="E294" s="37">
        <v>967482511</v>
      </c>
      <c r="F294" s="37">
        <v>3665055210</v>
      </c>
      <c r="G294" s="37">
        <v>704658255.11000001</v>
      </c>
      <c r="H294" s="37">
        <v>52947617</v>
      </c>
      <c r="I294" s="55">
        <f t="shared" si="14"/>
        <v>5390143593.1099997</v>
      </c>
      <c r="J294" s="54">
        <v>0</v>
      </c>
      <c r="K294" s="56">
        <f t="shared" si="15"/>
        <v>5390143593.1099997</v>
      </c>
      <c r="L294" s="60">
        <v>818567</v>
      </c>
      <c r="M294" s="69" t="s">
        <v>735</v>
      </c>
      <c r="O294" s="38" t="str">
        <f>IF([1]totrevprm!O295="","",[1]totrevprm!O295)</f>
        <v/>
      </c>
      <c r="P294" s="35">
        <v>116099806.73184718</v>
      </c>
      <c r="Q294" s="35">
        <v>34921021.100000001</v>
      </c>
      <c r="V294" s="38"/>
      <c r="W294" s="58"/>
      <c r="X294" s="58"/>
      <c r="Y294" s="58"/>
      <c r="Z294" s="58"/>
    </row>
    <row r="295" spans="1:26">
      <c r="A295" s="50" t="s">
        <v>21</v>
      </c>
      <c r="B295" s="51" t="s">
        <v>221</v>
      </c>
      <c r="C295" s="52"/>
      <c r="D295" s="64">
        <v>2018</v>
      </c>
      <c r="E295" s="37">
        <v>984509292</v>
      </c>
      <c r="F295" s="37">
        <v>3197502033</v>
      </c>
      <c r="G295" s="37">
        <v>735735607.07999992</v>
      </c>
      <c r="H295" s="37">
        <v>138709862</v>
      </c>
      <c r="I295" s="55">
        <f t="shared" si="14"/>
        <v>5056456794.0799999</v>
      </c>
      <c r="J295" s="54">
        <v>0</v>
      </c>
      <c r="K295" s="56">
        <f t="shared" si="15"/>
        <v>5056456794.0799999</v>
      </c>
      <c r="L295" s="60">
        <v>6829488</v>
      </c>
      <c r="M295" s="69" t="s">
        <v>735</v>
      </c>
      <c r="N295" t="s">
        <v>708</v>
      </c>
      <c r="O295" s="38" t="str">
        <f>IF([1]totrevprm!O296="","",[1]totrevprm!O296)</f>
        <v/>
      </c>
      <c r="P295" s="35">
        <v>128459747.83829272</v>
      </c>
      <c r="Q295" s="35">
        <v>35565188.920000002</v>
      </c>
      <c r="V295" s="38"/>
      <c r="W295" s="58"/>
      <c r="X295" s="58"/>
      <c r="Y295" s="58"/>
      <c r="Z295" s="58"/>
    </row>
    <row r="296" spans="1:26">
      <c r="A296" s="50" t="s">
        <v>21</v>
      </c>
      <c r="B296" s="51" t="s">
        <v>221</v>
      </c>
      <c r="C296" s="52"/>
      <c r="D296" s="64">
        <v>2019</v>
      </c>
      <c r="E296" s="37">
        <v>1079807725</v>
      </c>
      <c r="F296" s="37">
        <v>3784493080</v>
      </c>
      <c r="G296" s="37">
        <v>767517553.19720006</v>
      </c>
      <c r="H296" s="37">
        <v>368727834</v>
      </c>
      <c r="I296" s="55">
        <f t="shared" si="14"/>
        <v>6000546192.1971998</v>
      </c>
      <c r="J296" s="54">
        <v>0</v>
      </c>
      <c r="K296" s="56">
        <f t="shared" si="15"/>
        <v>6000546192.1971998</v>
      </c>
      <c r="L296" s="60">
        <v>1183644</v>
      </c>
      <c r="M296" s="67" t="s">
        <v>746</v>
      </c>
      <c r="N296" t="s">
        <v>708</v>
      </c>
      <c r="O296" s="38" t="str">
        <f>IF([1]totrevprm!O297="","",[1]totrevprm!O297)</f>
        <v>Yes</v>
      </c>
      <c r="P296" s="35">
        <v>111837204.2223295</v>
      </c>
      <c r="Q296" s="35">
        <v>35184681.424782805</v>
      </c>
      <c r="V296" s="38"/>
      <c r="W296" s="58"/>
      <c r="X296" s="58"/>
      <c r="Y296" s="58"/>
      <c r="Z296" s="58"/>
    </row>
    <row r="297" spans="1:26">
      <c r="A297" s="50" t="s">
        <v>21</v>
      </c>
      <c r="B297" s="51" t="s">
        <v>221</v>
      </c>
      <c r="C297" s="52"/>
      <c r="D297" s="64">
        <v>2020</v>
      </c>
      <c r="E297" s="37">
        <v>1100057857</v>
      </c>
      <c r="F297" s="37">
        <v>4344738619</v>
      </c>
      <c r="G297" s="37">
        <v>707201583</v>
      </c>
      <c r="H297" s="37">
        <v>35875504</v>
      </c>
      <c r="I297" s="55">
        <f t="shared" si="14"/>
        <v>6187873563</v>
      </c>
      <c r="J297" s="54">
        <v>0</v>
      </c>
      <c r="K297" s="56">
        <f t="shared" si="15"/>
        <v>6187873563</v>
      </c>
      <c r="L297" s="60">
        <v>-6425721</v>
      </c>
      <c r="M297" s="67" t="s">
        <v>738</v>
      </c>
      <c r="N297" t="s">
        <v>708</v>
      </c>
      <c r="O297" s="38" t="str">
        <f>IF([1]totrevprm!O298="","",[1]totrevprm!O298)</f>
        <v/>
      </c>
      <c r="P297" s="35">
        <v>110618725</v>
      </c>
      <c r="Q297" s="35">
        <v>35301569</v>
      </c>
      <c r="V297" s="38"/>
      <c r="W297" s="58"/>
      <c r="X297" s="58"/>
      <c r="Y297" s="58"/>
      <c r="Z297" s="58"/>
    </row>
    <row r="298" spans="1:26">
      <c r="A298" s="50" t="s">
        <v>21</v>
      </c>
      <c r="B298" s="51" t="s">
        <v>221</v>
      </c>
      <c r="C298" s="52"/>
      <c r="D298" s="64">
        <v>2021</v>
      </c>
      <c r="E298" s="37">
        <v>1555583006</v>
      </c>
      <c r="F298" s="37">
        <v>3666747169</v>
      </c>
      <c r="G298" s="37">
        <v>725553376.57999992</v>
      </c>
      <c r="H298" s="37">
        <v>12506106</v>
      </c>
      <c r="I298" s="55">
        <f t="shared" si="14"/>
        <v>5960389657.5799999</v>
      </c>
      <c r="J298" s="54">
        <v>0</v>
      </c>
      <c r="K298" s="56">
        <f t="shared" si="15"/>
        <v>5960389657.5799999</v>
      </c>
      <c r="L298" s="37">
        <v>0</v>
      </c>
      <c r="M298" s="67" t="s">
        <v>739</v>
      </c>
      <c r="N298" t="s">
        <v>708</v>
      </c>
      <c r="O298" s="38"/>
      <c r="P298" s="35">
        <v>116660198.34</v>
      </c>
      <c r="Q298" s="35">
        <v>38268116</v>
      </c>
      <c r="V298" s="38"/>
      <c r="W298" s="58"/>
      <c r="X298" s="58"/>
      <c r="Y298" s="58"/>
      <c r="Z298" s="58"/>
    </row>
    <row r="299" spans="1:26">
      <c r="A299" s="50" t="s">
        <v>21</v>
      </c>
      <c r="B299" s="51" t="s">
        <v>221</v>
      </c>
      <c r="C299" s="52"/>
      <c r="D299" s="64">
        <v>2022</v>
      </c>
      <c r="E299" s="37">
        <v>1353303346</v>
      </c>
      <c r="F299" s="37">
        <v>4297679097</v>
      </c>
      <c r="G299" s="37">
        <v>756852890</v>
      </c>
      <c r="H299" s="37">
        <v>14533737</v>
      </c>
      <c r="I299" s="55">
        <f t="shared" si="14"/>
        <v>6422369070</v>
      </c>
      <c r="J299" s="54">
        <v>0</v>
      </c>
      <c r="K299" s="56">
        <f t="shared" si="15"/>
        <v>6422369070</v>
      </c>
      <c r="L299" s="37">
        <v>0</v>
      </c>
      <c r="M299" s="67" t="s">
        <v>739</v>
      </c>
      <c r="O299" s="38"/>
      <c r="P299" s="60">
        <v>136894917</v>
      </c>
      <c r="Q299" s="60">
        <v>39449266</v>
      </c>
      <c r="V299" s="38"/>
      <c r="W299" s="58"/>
      <c r="X299" s="58"/>
      <c r="Y299" s="58"/>
      <c r="Z299" s="58"/>
    </row>
    <row r="300" spans="1:26">
      <c r="A300" s="50" t="s">
        <v>21</v>
      </c>
      <c r="B300" s="51" t="s">
        <v>221</v>
      </c>
      <c r="C300" s="52"/>
      <c r="D300" s="53">
        <v>2023</v>
      </c>
      <c r="E300" s="37">
        <v>1103913713</v>
      </c>
      <c r="F300" s="37">
        <v>6676594665.9415998</v>
      </c>
      <c r="G300" s="37">
        <v>783021136.25139999</v>
      </c>
      <c r="H300" s="37">
        <v>6104508</v>
      </c>
      <c r="I300" s="55">
        <f t="shared" ref="I300:I363" si="16">SUM(E300:H300)</f>
        <v>8569634023.1929998</v>
      </c>
      <c r="J300" s="54">
        <v>0</v>
      </c>
      <c r="K300" s="56">
        <f t="shared" si="15"/>
        <v>8569634023.1929998</v>
      </c>
      <c r="L300" s="37">
        <v>0</v>
      </c>
      <c r="M300" s="67" t="s">
        <v>739</v>
      </c>
      <c r="O300" s="38"/>
      <c r="P300" s="60">
        <v>152836474.28999999</v>
      </c>
      <c r="Q300" s="60">
        <v>39942458</v>
      </c>
      <c r="V300" s="38"/>
      <c r="W300" s="58"/>
      <c r="X300" s="58"/>
      <c r="Y300" s="58"/>
      <c r="Z300" s="58"/>
    </row>
    <row r="301" spans="1:26">
      <c r="A301" s="50"/>
      <c r="B301" s="52"/>
      <c r="C301" s="52"/>
      <c r="E301" s="75"/>
      <c r="F301" s="75"/>
      <c r="G301" s="75"/>
      <c r="H301" s="75"/>
      <c r="I301" s="55"/>
      <c r="K301" s="65"/>
      <c r="L301" s="37"/>
      <c r="M301" s="69"/>
      <c r="O301" s="38" t="str">
        <f>IF([1]totrevprm!O302="","",[1]totrevprm!O302)</f>
        <v/>
      </c>
    </row>
    <row r="302" spans="1:26">
      <c r="A302" s="76" t="s">
        <v>756</v>
      </c>
      <c r="B302" s="51" t="s">
        <v>757</v>
      </c>
      <c r="C302" s="52" t="s">
        <v>730</v>
      </c>
      <c r="D302" s="53">
        <v>1988</v>
      </c>
      <c r="E302" s="54">
        <v>0</v>
      </c>
      <c r="F302" s="54">
        <v>0</v>
      </c>
      <c r="G302" s="54">
        <v>0</v>
      </c>
      <c r="H302" s="54">
        <v>0</v>
      </c>
      <c r="I302" s="55">
        <f t="shared" si="16"/>
        <v>0</v>
      </c>
      <c r="J302" s="54">
        <v>0</v>
      </c>
      <c r="K302" s="56">
        <f>SUM(I302:J302)</f>
        <v>0</v>
      </c>
      <c r="L302" s="37">
        <v>0</v>
      </c>
      <c r="M302" s="69"/>
      <c r="O302" s="38" t="str">
        <f>IF([1]totrevprm!O303="","",[1]totrevprm!O303)</f>
        <v/>
      </c>
    </row>
    <row r="303" spans="1:26">
      <c r="A303" s="76" t="s">
        <v>756</v>
      </c>
      <c r="B303" s="51" t="s">
        <v>757</v>
      </c>
      <c r="C303" s="52" t="s">
        <v>731</v>
      </c>
      <c r="D303" s="53">
        <v>1989</v>
      </c>
      <c r="E303" s="54">
        <v>0</v>
      </c>
      <c r="F303" s="54">
        <v>0</v>
      </c>
      <c r="G303" s="54">
        <v>0</v>
      </c>
      <c r="H303" s="54">
        <v>0</v>
      </c>
      <c r="I303" s="55">
        <f t="shared" si="16"/>
        <v>0</v>
      </c>
      <c r="J303" s="54">
        <v>0</v>
      </c>
      <c r="K303" s="56">
        <f t="shared" ref="K303:K337" si="17">SUM(I303:J303)</f>
        <v>0</v>
      </c>
      <c r="L303" s="37">
        <v>0</v>
      </c>
      <c r="M303" s="69"/>
      <c r="O303" s="38" t="str">
        <f>IF([1]totrevprm!O304="","",[1]totrevprm!O304)</f>
        <v/>
      </c>
    </row>
    <row r="304" spans="1:26">
      <c r="A304" s="76" t="s">
        <v>756</v>
      </c>
      <c r="B304" s="51" t="s">
        <v>757</v>
      </c>
      <c r="C304" s="52" t="s">
        <v>731</v>
      </c>
      <c r="D304" s="53">
        <v>1990</v>
      </c>
      <c r="E304" s="54">
        <v>0</v>
      </c>
      <c r="F304" s="54">
        <v>0</v>
      </c>
      <c r="G304" s="54">
        <v>0</v>
      </c>
      <c r="H304" s="54">
        <v>0</v>
      </c>
      <c r="I304" s="55">
        <f t="shared" si="16"/>
        <v>0</v>
      </c>
      <c r="J304" s="54">
        <v>0</v>
      </c>
      <c r="K304" s="56">
        <f t="shared" si="17"/>
        <v>0</v>
      </c>
      <c r="L304" s="37">
        <v>0</v>
      </c>
      <c r="M304" s="69"/>
      <c r="O304" s="38" t="str">
        <f>IF([1]totrevprm!O305="","",[1]totrevprm!O305)</f>
        <v/>
      </c>
    </row>
    <row r="305" spans="1:26">
      <c r="A305" s="76" t="s">
        <v>756</v>
      </c>
      <c r="B305" s="51" t="s">
        <v>757</v>
      </c>
      <c r="C305" s="52" t="s">
        <v>731</v>
      </c>
      <c r="D305" s="53">
        <v>1991</v>
      </c>
      <c r="E305" s="54">
        <v>217338412</v>
      </c>
      <c r="F305" s="54">
        <v>180130467</v>
      </c>
      <c r="G305" s="54">
        <v>510479203</v>
      </c>
      <c r="H305" s="54">
        <v>0</v>
      </c>
      <c r="I305" s="55">
        <f t="shared" si="16"/>
        <v>907948082</v>
      </c>
      <c r="J305" s="54">
        <v>-657765</v>
      </c>
      <c r="K305" s="56">
        <f t="shared" si="17"/>
        <v>907290317</v>
      </c>
      <c r="L305" s="37">
        <v>0</v>
      </c>
      <c r="M305" s="69"/>
      <c r="O305" s="38" t="str">
        <f>IF([1]totrevprm!O306="","",[1]totrevprm!O306)</f>
        <v/>
      </c>
    </row>
    <row r="306" spans="1:26">
      <c r="A306" s="76" t="s">
        <v>756</v>
      </c>
      <c r="B306" s="51" t="s">
        <v>757</v>
      </c>
      <c r="C306" s="52" t="s">
        <v>731</v>
      </c>
      <c r="D306" s="53">
        <v>1992</v>
      </c>
      <c r="E306" s="54">
        <v>210556219</v>
      </c>
      <c r="F306" s="54">
        <v>229032963.80000001</v>
      </c>
      <c r="G306" s="54">
        <v>532295059</v>
      </c>
      <c r="H306" s="54">
        <v>0</v>
      </c>
      <c r="I306" s="55">
        <f t="shared" si="16"/>
        <v>971884241.79999995</v>
      </c>
      <c r="J306" s="54">
        <v>-30</v>
      </c>
      <c r="K306" s="56">
        <f t="shared" si="17"/>
        <v>971884211.79999995</v>
      </c>
      <c r="L306" s="37">
        <v>0</v>
      </c>
      <c r="M306" s="69"/>
      <c r="O306" s="38" t="str">
        <f>IF([1]totrevprm!O307="","",[1]totrevprm!O307)</f>
        <v/>
      </c>
    </row>
    <row r="307" spans="1:26">
      <c r="A307" s="76" t="s">
        <v>756</v>
      </c>
      <c r="B307" s="51" t="s">
        <v>757</v>
      </c>
      <c r="C307" s="52" t="s">
        <v>731</v>
      </c>
      <c r="D307" s="53">
        <v>1993</v>
      </c>
      <c r="E307" s="54">
        <v>207127514</v>
      </c>
      <c r="F307" s="54">
        <v>164168075</v>
      </c>
      <c r="G307" s="54">
        <v>555080312</v>
      </c>
      <c r="H307" s="54">
        <v>0</v>
      </c>
      <c r="I307" s="55">
        <f t="shared" si="16"/>
        <v>926375901</v>
      </c>
      <c r="J307" s="54">
        <v>-2880420</v>
      </c>
      <c r="K307" s="56">
        <f t="shared" si="17"/>
        <v>923495481</v>
      </c>
      <c r="L307" s="37">
        <v>0</v>
      </c>
      <c r="M307" s="69"/>
      <c r="O307" s="38" t="str">
        <f>IF([1]totrevprm!O308="","",[1]totrevprm!O308)</f>
        <v/>
      </c>
    </row>
    <row r="308" spans="1:26">
      <c r="A308" s="76" t="s">
        <v>756</v>
      </c>
      <c r="B308" s="51" t="s">
        <v>757</v>
      </c>
      <c r="C308" s="52" t="s">
        <v>731</v>
      </c>
      <c r="D308" s="53">
        <v>1994</v>
      </c>
      <c r="E308" s="54">
        <v>236776873</v>
      </c>
      <c r="F308" s="54">
        <v>174802375</v>
      </c>
      <c r="G308" s="54">
        <v>589711121</v>
      </c>
      <c r="H308" s="54">
        <v>0</v>
      </c>
      <c r="I308" s="55">
        <f t="shared" si="16"/>
        <v>1001290369</v>
      </c>
      <c r="J308" s="54">
        <v>-69981965</v>
      </c>
      <c r="K308" s="56">
        <f t="shared" si="17"/>
        <v>931308404</v>
      </c>
      <c r="L308" s="37">
        <v>0</v>
      </c>
      <c r="M308" s="69"/>
      <c r="O308" s="38" t="str">
        <f>IF([1]totrevprm!O309="","",[1]totrevprm!O309)</f>
        <v/>
      </c>
    </row>
    <row r="309" spans="1:26">
      <c r="A309" s="76" t="s">
        <v>756</v>
      </c>
      <c r="B309" s="51" t="s">
        <v>757</v>
      </c>
      <c r="C309" s="52" t="s">
        <v>731</v>
      </c>
      <c r="D309" s="53">
        <v>1995</v>
      </c>
      <c r="E309" s="54">
        <v>234349983</v>
      </c>
      <c r="F309" s="54">
        <v>198810580</v>
      </c>
      <c r="G309" s="54">
        <v>627674026</v>
      </c>
      <c r="H309" s="54">
        <v>0</v>
      </c>
      <c r="I309" s="55">
        <f t="shared" si="16"/>
        <v>1060834589</v>
      </c>
      <c r="J309" s="54">
        <v>-173117</v>
      </c>
      <c r="K309" s="56">
        <f t="shared" si="17"/>
        <v>1060661472</v>
      </c>
      <c r="L309" s="37">
        <v>0</v>
      </c>
      <c r="M309" s="69"/>
      <c r="O309" s="38" t="str">
        <f>IF([1]totrevprm!O310="","",[1]totrevprm!O310)</f>
        <v/>
      </c>
    </row>
    <row r="310" spans="1:26">
      <c r="A310" s="76" t="s">
        <v>756</v>
      </c>
      <c r="B310" s="51" t="s">
        <v>757</v>
      </c>
      <c r="C310" s="52" t="s">
        <v>731</v>
      </c>
      <c r="D310" s="53">
        <v>1996</v>
      </c>
      <c r="E310" s="54">
        <v>416473837</v>
      </c>
      <c r="F310" s="54">
        <v>153864229</v>
      </c>
      <c r="G310" s="54">
        <v>616338520</v>
      </c>
      <c r="H310" s="54">
        <v>0</v>
      </c>
      <c r="I310" s="55">
        <f t="shared" si="16"/>
        <v>1186676586</v>
      </c>
      <c r="J310" s="54">
        <v>-18</v>
      </c>
      <c r="K310" s="56">
        <f t="shared" si="17"/>
        <v>1186676568</v>
      </c>
      <c r="L310" s="37">
        <v>0</v>
      </c>
      <c r="M310" s="69"/>
      <c r="O310" s="38" t="str">
        <f>IF([1]totrevprm!O311="","",[1]totrevprm!O311)</f>
        <v/>
      </c>
    </row>
    <row r="311" spans="1:26">
      <c r="A311" s="76" t="s">
        <v>756</v>
      </c>
      <c r="B311" s="51" t="s">
        <v>757</v>
      </c>
      <c r="C311" s="52" t="s">
        <v>731</v>
      </c>
      <c r="D311" s="53">
        <v>1997</v>
      </c>
      <c r="E311" s="54">
        <v>263347768</v>
      </c>
      <c r="F311" s="54">
        <v>380001823</v>
      </c>
      <c r="G311" s="54">
        <v>578124488</v>
      </c>
      <c r="H311" s="54">
        <v>0</v>
      </c>
      <c r="I311" s="55">
        <f t="shared" si="16"/>
        <v>1221474079</v>
      </c>
      <c r="J311" s="54">
        <v>-101690</v>
      </c>
      <c r="K311" s="56">
        <f t="shared" si="17"/>
        <v>1221372389</v>
      </c>
      <c r="L311" s="37">
        <v>0</v>
      </c>
      <c r="M311" s="69"/>
      <c r="O311" s="38" t="str">
        <f>IF([1]totrevprm!O312="","",[1]totrevprm!O312)</f>
        <v/>
      </c>
    </row>
    <row r="312" spans="1:26">
      <c r="A312" s="76" t="s">
        <v>756</v>
      </c>
      <c r="B312" s="51" t="s">
        <v>757</v>
      </c>
      <c r="C312" s="52" t="s">
        <v>731</v>
      </c>
      <c r="D312" s="53">
        <v>1998</v>
      </c>
      <c r="E312" s="54">
        <v>292761053</v>
      </c>
      <c r="F312" s="54">
        <v>180723360</v>
      </c>
      <c r="G312" s="54">
        <v>691258384</v>
      </c>
      <c r="H312" s="54">
        <v>0</v>
      </c>
      <c r="I312" s="55">
        <f t="shared" si="16"/>
        <v>1164742797</v>
      </c>
      <c r="J312" s="54">
        <v>-17177</v>
      </c>
      <c r="K312" s="56">
        <f t="shared" si="17"/>
        <v>1164725620</v>
      </c>
      <c r="L312" s="37">
        <v>0</v>
      </c>
      <c r="M312" s="69"/>
      <c r="O312" s="38" t="str">
        <f>IF([1]totrevprm!O313="","",[1]totrevprm!O313)</f>
        <v/>
      </c>
    </row>
    <row r="313" spans="1:26">
      <c r="A313" s="76" t="s">
        <v>756</v>
      </c>
      <c r="B313" s="51" t="s">
        <v>757</v>
      </c>
      <c r="C313" s="52" t="s">
        <v>731</v>
      </c>
      <c r="D313" s="53">
        <v>1999</v>
      </c>
      <c r="E313" s="54">
        <v>249107368</v>
      </c>
      <c r="F313" s="54">
        <v>372749297</v>
      </c>
      <c r="G313" s="54">
        <v>739288811</v>
      </c>
      <c r="H313" s="54">
        <v>0</v>
      </c>
      <c r="I313" s="55">
        <f t="shared" si="16"/>
        <v>1361145476</v>
      </c>
      <c r="J313" s="54">
        <v>-159949</v>
      </c>
      <c r="K313" s="56">
        <f t="shared" si="17"/>
        <v>1360985527</v>
      </c>
      <c r="L313" s="37">
        <v>0</v>
      </c>
      <c r="M313" s="69"/>
      <c r="O313" s="38" t="str">
        <f>IF([1]totrevprm!O314="","",[1]totrevprm!O314)</f>
        <v/>
      </c>
    </row>
    <row r="314" spans="1:26">
      <c r="A314" s="76" t="s">
        <v>756</v>
      </c>
      <c r="B314" s="51" t="s">
        <v>757</v>
      </c>
      <c r="C314" s="52" t="s">
        <v>731</v>
      </c>
      <c r="D314" s="53">
        <v>2000</v>
      </c>
      <c r="E314" s="54">
        <v>266914407</v>
      </c>
      <c r="F314" s="54">
        <v>190477399</v>
      </c>
      <c r="G314" s="54">
        <v>810659448</v>
      </c>
      <c r="H314" s="54">
        <v>0</v>
      </c>
      <c r="I314" s="55">
        <f t="shared" si="16"/>
        <v>1268051254</v>
      </c>
      <c r="J314" s="54">
        <v>-112448920</v>
      </c>
      <c r="K314" s="56">
        <f t="shared" si="17"/>
        <v>1155602334</v>
      </c>
      <c r="L314" s="37">
        <v>0</v>
      </c>
      <c r="M314" s="69"/>
      <c r="O314" s="38" t="str">
        <f>IF([1]totrevprm!O315="","",[1]totrevprm!O315)</f>
        <v/>
      </c>
      <c r="V314" s="38" t="s">
        <v>757</v>
      </c>
      <c r="W314" s="58">
        <v>117740</v>
      </c>
      <c r="X314" s="58">
        <v>916529</v>
      </c>
      <c r="Y314" s="58">
        <v>2102419</v>
      </c>
      <c r="Z314" s="58">
        <v>0</v>
      </c>
    </row>
    <row r="315" spans="1:26">
      <c r="A315" s="76" t="s">
        <v>756</v>
      </c>
      <c r="B315" s="51" t="s">
        <v>757</v>
      </c>
      <c r="C315" s="52" t="s">
        <v>731</v>
      </c>
      <c r="D315" s="53">
        <v>2001</v>
      </c>
      <c r="E315" s="54">
        <v>258847716</v>
      </c>
      <c r="F315" s="54">
        <v>249653429</v>
      </c>
      <c r="G315" s="54">
        <v>750560040</v>
      </c>
      <c r="H315" s="54">
        <v>0</v>
      </c>
      <c r="I315" s="55">
        <f t="shared" si="16"/>
        <v>1259061185</v>
      </c>
      <c r="J315" s="54">
        <v>-43038936</v>
      </c>
      <c r="K315" s="56">
        <f t="shared" si="17"/>
        <v>1216022249</v>
      </c>
      <c r="L315" s="37">
        <v>0</v>
      </c>
      <c r="M315" s="69"/>
      <c r="O315" s="38" t="str">
        <f>IF([1]totrevprm!O316="","",[1]totrevprm!O316)</f>
        <v/>
      </c>
      <c r="V315" s="38"/>
      <c r="W315" s="58"/>
      <c r="X315" s="58"/>
      <c r="Y315" s="58"/>
      <c r="Z315" s="58"/>
    </row>
    <row r="316" spans="1:26">
      <c r="A316" s="76" t="s">
        <v>756</v>
      </c>
      <c r="B316" s="51" t="s">
        <v>757</v>
      </c>
      <c r="C316" s="52" t="s">
        <v>731</v>
      </c>
      <c r="D316" s="53">
        <v>2002</v>
      </c>
      <c r="E316" s="54">
        <v>276884688</v>
      </c>
      <c r="F316" s="54">
        <v>485283204</v>
      </c>
      <c r="G316" s="54">
        <v>877958136</v>
      </c>
      <c r="H316" s="54">
        <v>0</v>
      </c>
      <c r="I316" s="55">
        <f t="shared" si="16"/>
        <v>1640126028</v>
      </c>
      <c r="J316" s="54">
        <v>-7</v>
      </c>
      <c r="K316" s="56">
        <f t="shared" si="17"/>
        <v>1640126021</v>
      </c>
      <c r="L316" s="37">
        <v>0</v>
      </c>
      <c r="M316" s="69"/>
      <c r="O316" s="38" t="str">
        <f>IF([1]totrevprm!O317="","",[1]totrevprm!O317)</f>
        <v/>
      </c>
      <c r="V316" s="38"/>
      <c r="W316" s="58"/>
      <c r="X316" s="58"/>
      <c r="Y316" s="58"/>
      <c r="Z316" s="58"/>
    </row>
    <row r="317" spans="1:26">
      <c r="A317" s="76" t="s">
        <v>756</v>
      </c>
      <c r="B317" s="51" t="s">
        <v>757</v>
      </c>
      <c r="C317" s="52" t="s">
        <v>731</v>
      </c>
      <c r="D317" s="53">
        <v>2003</v>
      </c>
      <c r="E317" s="59">
        <v>311849706</v>
      </c>
      <c r="F317" s="59">
        <v>490061992</v>
      </c>
      <c r="G317" s="59">
        <v>901468918</v>
      </c>
      <c r="H317" s="54">
        <v>0</v>
      </c>
      <c r="I317" s="55">
        <f t="shared" si="16"/>
        <v>1703380616</v>
      </c>
      <c r="J317" s="54">
        <v>-120622</v>
      </c>
      <c r="K317" s="56">
        <f t="shared" si="17"/>
        <v>1703259994</v>
      </c>
      <c r="L317" s="37">
        <v>0</v>
      </c>
      <c r="M317" s="69"/>
      <c r="O317" s="38" t="str">
        <f>IF([1]totrevprm!O318="","",[1]totrevprm!O318)</f>
        <v/>
      </c>
      <c r="V317" s="38"/>
      <c r="W317" s="58"/>
      <c r="X317" s="58"/>
      <c r="Y317" s="58"/>
      <c r="Z317" s="58"/>
    </row>
    <row r="318" spans="1:26">
      <c r="A318" s="76" t="s">
        <v>756</v>
      </c>
      <c r="B318" s="51" t="s">
        <v>757</v>
      </c>
      <c r="C318" s="52" t="s">
        <v>731</v>
      </c>
      <c r="D318" s="53">
        <v>2004</v>
      </c>
      <c r="E318" s="59">
        <v>305373489</v>
      </c>
      <c r="F318" s="59">
        <v>389560861</v>
      </c>
      <c r="G318" s="59">
        <v>930139944</v>
      </c>
      <c r="H318" s="54">
        <v>0</v>
      </c>
      <c r="I318" s="55">
        <f t="shared" si="16"/>
        <v>1625074294</v>
      </c>
      <c r="J318" s="54">
        <v>-2675893</v>
      </c>
      <c r="K318" s="56">
        <f t="shared" si="17"/>
        <v>1622398401</v>
      </c>
      <c r="L318" s="37">
        <v>0</v>
      </c>
      <c r="M318" s="69"/>
      <c r="O318" s="38" t="str">
        <f>IF([1]totrevprm!O319="","",[1]totrevprm!O319)</f>
        <v/>
      </c>
      <c r="V318" s="38"/>
      <c r="W318" s="58"/>
      <c r="X318" s="58"/>
      <c r="Y318" s="58"/>
      <c r="Z318" s="58"/>
    </row>
    <row r="319" spans="1:26">
      <c r="A319" s="76" t="s">
        <v>756</v>
      </c>
      <c r="B319" s="51" t="s">
        <v>757</v>
      </c>
      <c r="C319" s="52"/>
      <c r="D319" s="53">
        <v>2005</v>
      </c>
      <c r="E319" s="59">
        <v>357640743</v>
      </c>
      <c r="F319" s="59">
        <v>254186592</v>
      </c>
      <c r="G319" s="59">
        <v>963803577.01999903</v>
      </c>
      <c r="H319" s="54">
        <v>0</v>
      </c>
      <c r="I319" s="55">
        <f t="shared" si="16"/>
        <v>1575630912.019999</v>
      </c>
      <c r="J319" s="54">
        <v>0</v>
      </c>
      <c r="K319" s="56">
        <f t="shared" si="17"/>
        <v>1575630912.019999</v>
      </c>
      <c r="L319" s="37">
        <v>0</v>
      </c>
      <c r="M319" s="69"/>
      <c r="O319" s="38" t="str">
        <f>IF([1]totrevprm!O320="","",[1]totrevprm!O320)</f>
        <v/>
      </c>
      <c r="V319" s="38"/>
      <c r="W319" s="58"/>
      <c r="X319" s="58"/>
      <c r="Y319" s="58"/>
      <c r="Z319" s="58"/>
    </row>
    <row r="320" spans="1:26">
      <c r="A320" s="76" t="s">
        <v>756</v>
      </c>
      <c r="B320" s="51" t="s">
        <v>757</v>
      </c>
      <c r="C320" s="52"/>
      <c r="D320" s="53">
        <v>2006</v>
      </c>
      <c r="E320" s="37">
        <v>355321670</v>
      </c>
      <c r="F320" s="37">
        <v>273683351</v>
      </c>
      <c r="G320" s="37">
        <v>963082608</v>
      </c>
      <c r="H320" s="37">
        <v>0</v>
      </c>
      <c r="I320" s="55">
        <f t="shared" si="16"/>
        <v>1592087629</v>
      </c>
      <c r="J320" s="54">
        <v>-772059</v>
      </c>
      <c r="K320" s="56">
        <f t="shared" si="17"/>
        <v>1591315570</v>
      </c>
      <c r="L320" s="37">
        <v>0</v>
      </c>
      <c r="M320" s="69"/>
      <c r="O320" s="38" t="str">
        <f>IF([1]totrevprm!O321="","",[1]totrevprm!O321)</f>
        <v/>
      </c>
      <c r="V320" s="38"/>
      <c r="W320" s="58"/>
      <c r="X320" s="58"/>
      <c r="Y320" s="58"/>
      <c r="Z320" s="58"/>
    </row>
    <row r="321" spans="1:26">
      <c r="A321" s="76" t="s">
        <v>756</v>
      </c>
      <c r="B321" s="51" t="s">
        <v>757</v>
      </c>
      <c r="C321" s="52"/>
      <c r="D321" s="53">
        <v>2007</v>
      </c>
      <c r="E321" s="37">
        <v>376219516</v>
      </c>
      <c r="F321" s="37">
        <v>454474562</v>
      </c>
      <c r="G321" s="37">
        <v>1166633067</v>
      </c>
      <c r="H321" s="37">
        <v>0</v>
      </c>
      <c r="I321" s="55">
        <f t="shared" si="16"/>
        <v>1997327145</v>
      </c>
      <c r="J321" s="54">
        <v>0</v>
      </c>
      <c r="K321" s="56">
        <f t="shared" si="17"/>
        <v>1997327145</v>
      </c>
      <c r="L321" s="37">
        <v>0</v>
      </c>
      <c r="M321" s="69"/>
      <c r="O321" s="38" t="str">
        <f>IF([1]totrevprm!O322="","",[1]totrevprm!O322)</f>
        <v/>
      </c>
      <c r="V321" s="38"/>
      <c r="W321" s="58"/>
      <c r="X321" s="58"/>
      <c r="Y321" s="58"/>
      <c r="Z321" s="58"/>
    </row>
    <row r="322" spans="1:26">
      <c r="A322" s="76" t="s">
        <v>756</v>
      </c>
      <c r="B322" s="51" t="s">
        <v>757</v>
      </c>
      <c r="C322" s="52"/>
      <c r="D322" s="53">
        <v>2008</v>
      </c>
      <c r="E322" s="37">
        <v>367138554</v>
      </c>
      <c r="F322" s="37">
        <v>463223374</v>
      </c>
      <c r="G322" s="37">
        <v>1296792711</v>
      </c>
      <c r="H322" s="37">
        <v>0</v>
      </c>
      <c r="I322" s="55">
        <f t="shared" si="16"/>
        <v>2127154639</v>
      </c>
      <c r="J322" s="54">
        <v>-1</v>
      </c>
      <c r="K322" s="56">
        <f t="shared" si="17"/>
        <v>2127154638</v>
      </c>
      <c r="L322" s="37">
        <v>0</v>
      </c>
      <c r="M322" s="69"/>
      <c r="O322" s="38" t="str">
        <f>IF([1]totrevprm!O323="","",[1]totrevprm!O323)</f>
        <v/>
      </c>
      <c r="V322" s="38"/>
      <c r="W322" s="58"/>
      <c r="X322" s="58"/>
      <c r="Y322" s="58"/>
      <c r="Z322" s="58"/>
    </row>
    <row r="323" spans="1:26">
      <c r="A323" s="76" t="s">
        <v>756</v>
      </c>
      <c r="B323" s="51" t="s">
        <v>757</v>
      </c>
      <c r="C323" s="52"/>
      <c r="D323" s="53">
        <v>2009</v>
      </c>
      <c r="E323" s="37">
        <v>589760311</v>
      </c>
      <c r="F323" s="37">
        <v>402348019</v>
      </c>
      <c r="G323" s="37">
        <v>1340338177</v>
      </c>
      <c r="H323" s="37">
        <v>0</v>
      </c>
      <c r="I323" s="55">
        <f t="shared" si="16"/>
        <v>2332446507</v>
      </c>
      <c r="J323" s="54">
        <v>-3</v>
      </c>
      <c r="K323" s="56">
        <f t="shared" si="17"/>
        <v>2332446504</v>
      </c>
      <c r="L323" s="37">
        <v>0</v>
      </c>
      <c r="M323" s="69"/>
      <c r="O323" s="38" t="str">
        <f>IF([1]totrevprm!O324="","",[1]totrevprm!O324)</f>
        <v/>
      </c>
      <c r="V323" s="38"/>
      <c r="W323" s="58"/>
      <c r="X323" s="58"/>
      <c r="Y323" s="58"/>
      <c r="Z323" s="58"/>
    </row>
    <row r="324" spans="1:26">
      <c r="A324" s="76" t="s">
        <v>756</v>
      </c>
      <c r="B324" s="51" t="s">
        <v>757</v>
      </c>
      <c r="C324" s="52"/>
      <c r="D324" s="53">
        <v>2010</v>
      </c>
      <c r="E324" s="37">
        <v>582050124</v>
      </c>
      <c r="F324" s="37">
        <v>356639884</v>
      </c>
      <c r="G324" s="37">
        <v>1356062472</v>
      </c>
      <c r="H324" s="37">
        <v>0</v>
      </c>
      <c r="I324" s="55">
        <f t="shared" si="16"/>
        <v>2294752480</v>
      </c>
      <c r="J324" s="54">
        <v>-12683</v>
      </c>
      <c r="K324" s="56">
        <f t="shared" si="17"/>
        <v>2294739797</v>
      </c>
      <c r="L324" s="37">
        <v>0</v>
      </c>
      <c r="M324" s="69"/>
      <c r="O324" s="38" t="str">
        <f>IF([1]totrevprm!O325="","",[1]totrevprm!O325)</f>
        <v/>
      </c>
      <c r="V324" s="38"/>
      <c r="W324" s="58"/>
      <c r="X324" s="58"/>
      <c r="Y324" s="58"/>
      <c r="Z324" s="58"/>
    </row>
    <row r="325" spans="1:26">
      <c r="A325" s="76" t="s">
        <v>756</v>
      </c>
      <c r="B325" s="51" t="s">
        <v>757</v>
      </c>
      <c r="C325" s="52"/>
      <c r="D325" s="53">
        <v>2011</v>
      </c>
      <c r="E325" s="37">
        <v>555448782</v>
      </c>
      <c r="F325" s="37">
        <v>322957063</v>
      </c>
      <c r="G325" s="37">
        <v>1478092695.6599998</v>
      </c>
      <c r="H325" s="37">
        <v>0</v>
      </c>
      <c r="I325" s="55">
        <f t="shared" si="16"/>
        <v>2356498540.6599998</v>
      </c>
      <c r="J325" s="54">
        <v>0</v>
      </c>
      <c r="K325" s="56">
        <f t="shared" si="17"/>
        <v>2356498540.6599998</v>
      </c>
      <c r="L325" s="37">
        <v>0</v>
      </c>
      <c r="M325" s="69"/>
      <c r="O325" s="38" t="str">
        <f>IF([1]totrevprm!O326="","",[1]totrevprm!O326)</f>
        <v/>
      </c>
      <c r="V325" s="38"/>
      <c r="W325" s="58"/>
      <c r="X325" s="58"/>
      <c r="Y325" s="58"/>
      <c r="Z325" s="58"/>
    </row>
    <row r="326" spans="1:26">
      <c r="A326" s="76" t="s">
        <v>756</v>
      </c>
      <c r="B326" s="51" t="s">
        <v>757</v>
      </c>
      <c r="C326" s="52"/>
      <c r="D326" s="53">
        <v>2012</v>
      </c>
      <c r="E326" s="37">
        <v>569416328</v>
      </c>
      <c r="F326" s="37">
        <v>331727663</v>
      </c>
      <c r="G326" s="37">
        <v>1417656271</v>
      </c>
      <c r="H326" s="37">
        <v>0</v>
      </c>
      <c r="I326" s="55">
        <f t="shared" si="16"/>
        <v>2318800262</v>
      </c>
      <c r="J326" s="54">
        <v>-21</v>
      </c>
      <c r="K326" s="56">
        <f t="shared" si="17"/>
        <v>2318800241</v>
      </c>
      <c r="L326" s="37">
        <v>0</v>
      </c>
      <c r="M326" s="69"/>
      <c r="O326" s="38" t="str">
        <f>IF([1]totrevprm!O327="","",[1]totrevprm!O327)</f>
        <v/>
      </c>
      <c r="V326" s="38"/>
      <c r="W326" s="58"/>
      <c r="X326" s="58"/>
      <c r="Y326" s="58"/>
      <c r="Z326" s="58"/>
    </row>
    <row r="327" spans="1:26">
      <c r="A327" s="76" t="s">
        <v>756</v>
      </c>
      <c r="B327" s="51" t="s">
        <v>757</v>
      </c>
      <c r="C327" s="52"/>
      <c r="D327" s="53">
        <v>2013</v>
      </c>
      <c r="E327" s="37">
        <v>599092036</v>
      </c>
      <c r="F327" s="37">
        <v>344442817</v>
      </c>
      <c r="G327" s="37">
        <v>1546493942</v>
      </c>
      <c r="H327" s="37">
        <v>0</v>
      </c>
      <c r="I327" s="55">
        <f t="shared" si="16"/>
        <v>2490028795</v>
      </c>
      <c r="J327" s="54">
        <v>-332663</v>
      </c>
      <c r="K327" s="56">
        <f t="shared" si="17"/>
        <v>2489696132</v>
      </c>
      <c r="L327" s="37">
        <v>0</v>
      </c>
      <c r="M327" s="69"/>
      <c r="O327" s="38" t="str">
        <f>IF([1]totrevprm!O328="","",[1]totrevprm!O328)</f>
        <v/>
      </c>
      <c r="V327" s="38"/>
      <c r="W327" s="58"/>
      <c r="X327" s="58"/>
      <c r="Y327" s="58"/>
      <c r="Z327" s="58"/>
    </row>
    <row r="328" spans="1:26">
      <c r="A328" s="76" t="s">
        <v>756</v>
      </c>
      <c r="B328" s="51" t="s">
        <v>757</v>
      </c>
      <c r="C328" s="52"/>
      <c r="D328" s="64">
        <v>2014</v>
      </c>
      <c r="E328" s="37">
        <v>608274115</v>
      </c>
      <c r="F328" s="37">
        <v>489914827</v>
      </c>
      <c r="G328" s="37">
        <v>1457442455.8199999</v>
      </c>
      <c r="H328" s="37">
        <v>0</v>
      </c>
      <c r="I328" s="55">
        <f t="shared" si="16"/>
        <v>2555631397.8199997</v>
      </c>
      <c r="J328" s="54">
        <v>-51367</v>
      </c>
      <c r="K328" s="56">
        <f t="shared" si="17"/>
        <v>2555580030.8199997</v>
      </c>
      <c r="L328" s="37">
        <v>0</v>
      </c>
      <c r="M328" s="69"/>
      <c r="O328" s="38" t="str">
        <f>IF([1]totrevprm!O329="","",[1]totrevprm!O329)</f>
        <v/>
      </c>
      <c r="V328" s="38"/>
      <c r="W328" s="58"/>
      <c r="X328" s="58"/>
      <c r="Y328" s="58"/>
      <c r="Z328" s="58"/>
    </row>
    <row r="329" spans="1:26">
      <c r="A329" s="76" t="s">
        <v>756</v>
      </c>
      <c r="B329" s="51" t="s">
        <v>757</v>
      </c>
      <c r="C329" s="52"/>
      <c r="D329" s="64">
        <v>2015</v>
      </c>
      <c r="E329" s="37">
        <v>635801187</v>
      </c>
      <c r="F329" s="37">
        <v>396142039</v>
      </c>
      <c r="G329" s="37">
        <v>1498032963</v>
      </c>
      <c r="H329" s="37">
        <v>0</v>
      </c>
      <c r="I329" s="55">
        <f t="shared" si="16"/>
        <v>2529976189</v>
      </c>
      <c r="J329" s="54">
        <v>-131280</v>
      </c>
      <c r="K329" s="56">
        <f t="shared" si="17"/>
        <v>2529844909</v>
      </c>
      <c r="L329" s="37">
        <v>0</v>
      </c>
      <c r="M329" s="69"/>
      <c r="O329" s="38" t="str">
        <f>IF([1]totrevprm!O330="","",[1]totrevprm!O330)</f>
        <v/>
      </c>
      <c r="P329" s="35">
        <v>139741254.6024828</v>
      </c>
      <c r="Q329" s="35">
        <v>29545515.450000003</v>
      </c>
      <c r="V329" s="38"/>
      <c r="W329" s="58"/>
      <c r="X329" s="58"/>
      <c r="Y329" s="58"/>
      <c r="Z329" s="58"/>
    </row>
    <row r="330" spans="1:26">
      <c r="A330" s="76" t="s">
        <v>756</v>
      </c>
      <c r="B330" s="51" t="s">
        <v>757</v>
      </c>
      <c r="C330" s="52"/>
      <c r="D330" s="64">
        <v>2016</v>
      </c>
      <c r="E330" s="37">
        <v>694218698</v>
      </c>
      <c r="F330" s="37">
        <v>487935023</v>
      </c>
      <c r="G330" s="37">
        <v>1433172159</v>
      </c>
      <c r="H330" s="37">
        <v>0</v>
      </c>
      <c r="I330" s="55">
        <f t="shared" si="16"/>
        <v>2615325880</v>
      </c>
      <c r="J330" s="54">
        <v>-3</v>
      </c>
      <c r="K330" s="56">
        <f t="shared" si="17"/>
        <v>2615325877</v>
      </c>
      <c r="L330" s="37">
        <v>0</v>
      </c>
      <c r="M330" s="69"/>
      <c r="O330" s="38" t="str">
        <f>IF([1]totrevprm!O331="","",[1]totrevprm!O331)</f>
        <v/>
      </c>
      <c r="P330" s="35">
        <v>164466122.18365282</v>
      </c>
      <c r="Q330" s="35">
        <v>40847852</v>
      </c>
      <c r="V330" s="38"/>
      <c r="W330" s="58"/>
      <c r="X330" s="58"/>
      <c r="Y330" s="58"/>
      <c r="Z330" s="58"/>
    </row>
    <row r="331" spans="1:26">
      <c r="A331" s="76" t="s">
        <v>756</v>
      </c>
      <c r="B331" s="51" t="s">
        <v>757</v>
      </c>
      <c r="C331" s="52"/>
      <c r="D331" s="64">
        <v>2017</v>
      </c>
      <c r="E331" s="37">
        <v>694587613</v>
      </c>
      <c r="F331" s="37">
        <v>470558762</v>
      </c>
      <c r="G331" s="37">
        <v>1345269877.9000001</v>
      </c>
      <c r="H331" s="37">
        <v>0</v>
      </c>
      <c r="I331" s="55">
        <f t="shared" si="16"/>
        <v>2510416252.9000001</v>
      </c>
      <c r="J331" s="54">
        <v>-23375</v>
      </c>
      <c r="K331" s="56">
        <f t="shared" si="17"/>
        <v>2510392877.9000001</v>
      </c>
      <c r="L331" s="37">
        <v>0</v>
      </c>
      <c r="M331" s="69"/>
      <c r="O331" s="38" t="str">
        <f>IF([1]totrevprm!O332="","",[1]totrevprm!O332)</f>
        <v/>
      </c>
      <c r="P331" s="35">
        <v>157557511.73450321</v>
      </c>
      <c r="Q331" s="35">
        <v>36640834.719999999</v>
      </c>
      <c r="V331" s="38"/>
      <c r="W331" s="58"/>
      <c r="X331" s="58"/>
      <c r="Y331" s="58"/>
      <c r="Z331" s="58"/>
    </row>
    <row r="332" spans="1:26">
      <c r="A332" s="76" t="s">
        <v>756</v>
      </c>
      <c r="B332" s="51" t="s">
        <v>757</v>
      </c>
      <c r="C332" s="52"/>
      <c r="D332" s="64">
        <v>2018</v>
      </c>
      <c r="E332" s="37">
        <v>670445833</v>
      </c>
      <c r="F332" s="37">
        <v>493423681</v>
      </c>
      <c r="G332" s="37">
        <v>1412820301</v>
      </c>
      <c r="H332" s="37">
        <v>0</v>
      </c>
      <c r="I332" s="55">
        <f t="shared" si="16"/>
        <v>2576689815</v>
      </c>
      <c r="J332" s="54">
        <v>-47128</v>
      </c>
      <c r="K332" s="56">
        <f t="shared" si="17"/>
        <v>2576642687</v>
      </c>
      <c r="L332" s="60">
        <v>0</v>
      </c>
      <c r="M332" s="69"/>
      <c r="O332" s="38" t="str">
        <f>IF([1]totrevprm!O333="","",[1]totrevprm!O333)</f>
        <v/>
      </c>
      <c r="P332" s="35">
        <v>174501812.87031531</v>
      </c>
      <c r="Q332" s="35">
        <v>35397078</v>
      </c>
      <c r="V332" s="38"/>
      <c r="W332" s="58"/>
      <c r="X332" s="58"/>
      <c r="Y332" s="58"/>
      <c r="Z332" s="58"/>
    </row>
    <row r="333" spans="1:26">
      <c r="A333" s="76" t="s">
        <v>756</v>
      </c>
      <c r="B333" s="51" t="s">
        <v>757</v>
      </c>
      <c r="C333" s="52"/>
      <c r="D333" s="64">
        <v>2019</v>
      </c>
      <c r="E333" s="37">
        <v>653119970</v>
      </c>
      <c r="F333" s="37">
        <v>525600101</v>
      </c>
      <c r="G333" s="37">
        <v>1725703642.9925001</v>
      </c>
      <c r="H333" s="37">
        <v>0</v>
      </c>
      <c r="I333" s="55">
        <f t="shared" si="16"/>
        <v>2904423713.9925003</v>
      </c>
      <c r="J333" s="54">
        <v>-3</v>
      </c>
      <c r="K333" s="56">
        <f t="shared" si="17"/>
        <v>2904423710.9925003</v>
      </c>
      <c r="L333" s="60">
        <v>0</v>
      </c>
      <c r="M333" s="69"/>
      <c r="O333" s="38" t="str">
        <f>IF([1]totrevprm!O334="","",[1]totrevprm!O334)</f>
        <v/>
      </c>
      <c r="P333" s="35">
        <v>168249041.59742749</v>
      </c>
      <c r="Q333" s="35">
        <v>37631530.833898008</v>
      </c>
      <c r="V333" s="38"/>
      <c r="W333" s="58"/>
      <c r="X333" s="58"/>
      <c r="Y333" s="58"/>
      <c r="Z333" s="58"/>
    </row>
    <row r="334" spans="1:26">
      <c r="A334" s="76" t="s">
        <v>756</v>
      </c>
      <c r="B334" s="51" t="s">
        <v>757</v>
      </c>
      <c r="C334" s="52"/>
      <c r="D334" s="64">
        <v>2020</v>
      </c>
      <c r="E334" s="37">
        <v>657339610</v>
      </c>
      <c r="F334" s="37">
        <v>583133211</v>
      </c>
      <c r="G334" s="37">
        <v>1777954388</v>
      </c>
      <c r="H334" s="37">
        <v>0</v>
      </c>
      <c r="I334" s="55">
        <f t="shared" si="16"/>
        <v>3018427209</v>
      </c>
      <c r="J334" s="54">
        <v>-8</v>
      </c>
      <c r="K334" s="56">
        <f t="shared" si="17"/>
        <v>3018427201</v>
      </c>
      <c r="L334" s="60">
        <v>0</v>
      </c>
      <c r="M334" s="69"/>
      <c r="O334" s="38" t="str">
        <f>IF([1]totrevprm!O335="","",[1]totrevprm!O335)</f>
        <v/>
      </c>
      <c r="P334" s="35">
        <v>159781631</v>
      </c>
      <c r="Q334" s="35">
        <v>34555370</v>
      </c>
      <c r="V334" s="38"/>
      <c r="W334" s="58"/>
      <c r="X334" s="58"/>
      <c r="Y334" s="58"/>
      <c r="Z334" s="58"/>
    </row>
    <row r="335" spans="1:26">
      <c r="A335" s="76" t="s">
        <v>756</v>
      </c>
      <c r="B335" s="51" t="s">
        <v>757</v>
      </c>
      <c r="C335" s="52"/>
      <c r="D335" s="64">
        <v>2021</v>
      </c>
      <c r="E335" s="37">
        <v>732028479</v>
      </c>
      <c r="F335" s="37">
        <v>678292734</v>
      </c>
      <c r="G335" s="37">
        <v>1843346478</v>
      </c>
      <c r="H335" s="37">
        <v>0</v>
      </c>
      <c r="I335" s="55">
        <f t="shared" si="16"/>
        <v>3253667691</v>
      </c>
      <c r="J335" s="60">
        <v>-6</v>
      </c>
      <c r="K335" s="56">
        <f t="shared" si="17"/>
        <v>3253667685</v>
      </c>
      <c r="L335" s="60">
        <v>0</v>
      </c>
      <c r="M335" s="69"/>
      <c r="O335" s="38"/>
      <c r="P335" s="35">
        <v>178429021.88</v>
      </c>
      <c r="Q335" s="35">
        <v>35975665</v>
      </c>
      <c r="V335" s="38"/>
      <c r="W335" s="58"/>
      <c r="X335" s="58"/>
      <c r="Y335" s="58"/>
      <c r="Z335" s="58"/>
    </row>
    <row r="336" spans="1:26">
      <c r="A336" s="76" t="s">
        <v>756</v>
      </c>
      <c r="B336" s="51" t="s">
        <v>757</v>
      </c>
      <c r="C336" s="52"/>
      <c r="D336" s="64">
        <v>2022</v>
      </c>
      <c r="E336" s="37">
        <v>781738365</v>
      </c>
      <c r="F336" s="37">
        <v>733062094</v>
      </c>
      <c r="G336" s="37">
        <v>1884180942</v>
      </c>
      <c r="H336" s="37">
        <v>0</v>
      </c>
      <c r="I336" s="55">
        <f t="shared" si="16"/>
        <v>3398981401</v>
      </c>
      <c r="J336" s="60">
        <v>-5639</v>
      </c>
      <c r="K336" s="56">
        <f t="shared" si="17"/>
        <v>3398975762</v>
      </c>
      <c r="L336" s="60">
        <v>0</v>
      </c>
      <c r="M336" s="69"/>
      <c r="O336" s="38"/>
      <c r="P336" s="60">
        <v>198160506</v>
      </c>
      <c r="Q336" s="60">
        <v>36142906</v>
      </c>
      <c r="V336" s="38"/>
      <c r="W336" s="58"/>
      <c r="X336" s="58"/>
      <c r="Y336" s="58"/>
      <c r="Z336" s="58"/>
    </row>
    <row r="337" spans="1:26">
      <c r="A337" s="76" t="s">
        <v>756</v>
      </c>
      <c r="B337" s="51" t="s">
        <v>757</v>
      </c>
      <c r="C337" s="52"/>
      <c r="D337" s="53">
        <v>2023</v>
      </c>
      <c r="E337" s="37">
        <v>768799041</v>
      </c>
      <c r="F337" s="37">
        <v>712252747.80739999</v>
      </c>
      <c r="G337" s="37">
        <v>1959730971.4397001</v>
      </c>
      <c r="H337" s="37">
        <v>0</v>
      </c>
      <c r="I337" s="55">
        <f t="shared" si="16"/>
        <v>3440782760.2470999</v>
      </c>
      <c r="J337" s="60">
        <v>-222535</v>
      </c>
      <c r="K337" s="56">
        <f t="shared" si="17"/>
        <v>3440560225.2470999</v>
      </c>
      <c r="L337" s="37">
        <v>0</v>
      </c>
      <c r="M337" s="69"/>
      <c r="O337" s="38"/>
      <c r="P337" s="60">
        <v>196615359.13999999</v>
      </c>
      <c r="Q337" s="60">
        <v>36552098</v>
      </c>
      <c r="V337" s="38"/>
      <c r="W337" s="58"/>
      <c r="X337" s="58"/>
      <c r="Y337" s="58"/>
      <c r="Z337" s="58"/>
    </row>
    <row r="338" spans="1:26">
      <c r="A338" s="50"/>
      <c r="B338" s="52"/>
      <c r="C338" s="52"/>
      <c r="E338" s="54"/>
      <c r="F338" s="54"/>
      <c r="G338" s="54"/>
      <c r="H338" s="54"/>
      <c r="I338" s="55"/>
      <c r="K338" s="65"/>
      <c r="L338" s="37"/>
      <c r="M338" s="69"/>
      <c r="O338" s="38" t="str">
        <f>IF([1]totrevprm!O339="","",[1]totrevprm!O339)</f>
        <v/>
      </c>
    </row>
    <row r="339" spans="1:26">
      <c r="A339" s="50" t="s">
        <v>25</v>
      </c>
      <c r="B339" s="51" t="s">
        <v>337</v>
      </c>
      <c r="C339" s="52" t="s">
        <v>730</v>
      </c>
      <c r="D339" s="53">
        <v>1988</v>
      </c>
      <c r="E339" s="54">
        <v>2904264606</v>
      </c>
      <c r="F339" s="54">
        <v>2766315166</v>
      </c>
      <c r="G339" s="54">
        <v>4016774828</v>
      </c>
      <c r="H339" s="54">
        <v>0</v>
      </c>
      <c r="I339" s="55">
        <f t="shared" si="16"/>
        <v>9687354600</v>
      </c>
      <c r="J339" s="54">
        <v>-7073682</v>
      </c>
      <c r="K339" s="56">
        <f>SUM(I339:J339)</f>
        <v>9680280918</v>
      </c>
      <c r="L339" s="37">
        <v>0</v>
      </c>
      <c r="M339" s="69"/>
      <c r="O339" s="38" t="str">
        <f>IF([1]totrevprm!O340="","",[1]totrevprm!O340)</f>
        <v/>
      </c>
    </row>
    <row r="340" spans="1:26">
      <c r="A340" s="50" t="s">
        <v>25</v>
      </c>
      <c r="B340" s="51" t="s">
        <v>337</v>
      </c>
      <c r="C340" s="52" t="s">
        <v>731</v>
      </c>
      <c r="D340" s="53">
        <v>1989</v>
      </c>
      <c r="E340" s="54">
        <v>2622317118</v>
      </c>
      <c r="F340" s="54">
        <v>3090286175</v>
      </c>
      <c r="G340" s="54">
        <v>4566724561</v>
      </c>
      <c r="H340" s="54">
        <v>0</v>
      </c>
      <c r="I340" s="55">
        <f t="shared" si="16"/>
        <v>10279327854</v>
      </c>
      <c r="J340" s="54">
        <v>-7819830</v>
      </c>
      <c r="K340" s="56">
        <f t="shared" ref="K340:K374" si="18">SUM(I340:J340)</f>
        <v>10271508024</v>
      </c>
      <c r="L340" s="37">
        <v>0</v>
      </c>
      <c r="M340" s="69"/>
      <c r="O340" s="38" t="str">
        <f>IF([1]totrevprm!O341="","",[1]totrevprm!O341)</f>
        <v/>
      </c>
    </row>
    <row r="341" spans="1:26">
      <c r="A341" s="50" t="s">
        <v>25</v>
      </c>
      <c r="B341" s="51" t="s">
        <v>337</v>
      </c>
      <c r="C341" s="52" t="s">
        <v>731</v>
      </c>
      <c r="D341" s="53">
        <v>1990</v>
      </c>
      <c r="E341" s="54">
        <v>2785056749</v>
      </c>
      <c r="F341" s="54">
        <v>3399675776.1599998</v>
      </c>
      <c r="G341" s="54">
        <v>4910814104</v>
      </c>
      <c r="H341" s="54">
        <v>0</v>
      </c>
      <c r="I341" s="55">
        <f t="shared" si="16"/>
        <v>11095546629.16</v>
      </c>
      <c r="J341" s="54">
        <v>-7322883</v>
      </c>
      <c r="K341" s="56">
        <f t="shared" si="18"/>
        <v>11088223746.16</v>
      </c>
      <c r="L341" s="37">
        <v>0</v>
      </c>
      <c r="M341" s="69"/>
      <c r="O341" s="38" t="str">
        <f>IF([1]totrevprm!O342="","",[1]totrevprm!O342)</f>
        <v/>
      </c>
    </row>
    <row r="342" spans="1:26">
      <c r="A342" s="50" t="s">
        <v>25</v>
      </c>
      <c r="B342" s="51" t="s">
        <v>337</v>
      </c>
      <c r="C342" s="52" t="s">
        <v>731</v>
      </c>
      <c r="D342" s="53">
        <v>1991</v>
      </c>
      <c r="E342" s="54">
        <v>3018214798</v>
      </c>
      <c r="F342" s="54">
        <v>3260602915</v>
      </c>
      <c r="G342" s="54">
        <v>4824686085</v>
      </c>
      <c r="H342" s="54">
        <v>0</v>
      </c>
      <c r="I342" s="55">
        <f t="shared" si="16"/>
        <v>11103503798</v>
      </c>
      <c r="J342" s="54">
        <v>-67500517</v>
      </c>
      <c r="K342" s="56">
        <f t="shared" si="18"/>
        <v>11036003281</v>
      </c>
      <c r="L342" s="37">
        <v>0</v>
      </c>
      <c r="M342" s="69"/>
      <c r="O342" s="38" t="str">
        <f>IF([1]totrevprm!O343="","",[1]totrevprm!O343)</f>
        <v/>
      </c>
    </row>
    <row r="343" spans="1:26">
      <c r="A343" s="50" t="s">
        <v>25</v>
      </c>
      <c r="B343" s="51" t="s">
        <v>337</v>
      </c>
      <c r="C343" s="52" t="s">
        <v>731</v>
      </c>
      <c r="D343" s="53">
        <v>1992</v>
      </c>
      <c r="E343" s="54">
        <v>3162112541</v>
      </c>
      <c r="F343" s="54">
        <v>3336448588.6399999</v>
      </c>
      <c r="G343" s="54">
        <v>5037561670</v>
      </c>
      <c r="H343" s="54">
        <v>0</v>
      </c>
      <c r="I343" s="55">
        <f t="shared" si="16"/>
        <v>11536122799.639999</v>
      </c>
      <c r="J343" s="54">
        <v>-3520149</v>
      </c>
      <c r="K343" s="56">
        <f t="shared" si="18"/>
        <v>11532602650.639999</v>
      </c>
      <c r="L343" s="37">
        <v>0</v>
      </c>
      <c r="M343" s="69"/>
      <c r="O343" s="38" t="str">
        <f>IF([1]totrevprm!O344="","",[1]totrevprm!O344)</f>
        <v/>
      </c>
    </row>
    <row r="344" spans="1:26">
      <c r="A344" s="50" t="s">
        <v>25</v>
      </c>
      <c r="B344" s="51" t="s">
        <v>337</v>
      </c>
      <c r="C344" s="52" t="s">
        <v>731</v>
      </c>
      <c r="D344" s="53">
        <v>1993</v>
      </c>
      <c r="E344" s="54">
        <v>3409968139</v>
      </c>
      <c r="F344" s="54">
        <v>2977923343</v>
      </c>
      <c r="G344" s="54">
        <v>5262005332</v>
      </c>
      <c r="H344" s="54">
        <v>0</v>
      </c>
      <c r="I344" s="55">
        <f t="shared" si="16"/>
        <v>11649896814</v>
      </c>
      <c r="J344" s="54">
        <v>-148684</v>
      </c>
      <c r="K344" s="56">
        <f t="shared" si="18"/>
        <v>11649748130</v>
      </c>
      <c r="L344" s="37">
        <v>0</v>
      </c>
      <c r="M344" s="69"/>
      <c r="O344" s="38" t="str">
        <f>IF([1]totrevprm!O345="","",[1]totrevprm!O345)</f>
        <v/>
      </c>
    </row>
    <row r="345" spans="1:26">
      <c r="A345" s="50" t="s">
        <v>25</v>
      </c>
      <c r="B345" s="51" t="s">
        <v>337</v>
      </c>
      <c r="C345" s="52" t="s">
        <v>731</v>
      </c>
      <c r="D345" s="53">
        <v>1994</v>
      </c>
      <c r="E345" s="54">
        <v>3715944861</v>
      </c>
      <c r="F345" s="54">
        <v>3650195195</v>
      </c>
      <c r="G345" s="54">
        <v>5365881056</v>
      </c>
      <c r="H345" s="54">
        <v>0</v>
      </c>
      <c r="I345" s="55">
        <f t="shared" si="16"/>
        <v>12732021112</v>
      </c>
      <c r="J345" s="54">
        <v>-35296063</v>
      </c>
      <c r="K345" s="56">
        <f t="shared" si="18"/>
        <v>12696725049</v>
      </c>
      <c r="L345" s="37">
        <v>0</v>
      </c>
      <c r="M345" s="69"/>
      <c r="O345" s="38" t="str">
        <f>IF([1]totrevprm!O346="","",[1]totrevprm!O346)</f>
        <v/>
      </c>
    </row>
    <row r="346" spans="1:26">
      <c r="A346" s="50" t="s">
        <v>25</v>
      </c>
      <c r="B346" s="51" t="s">
        <v>337</v>
      </c>
      <c r="C346" s="52" t="s">
        <v>731</v>
      </c>
      <c r="D346" s="53">
        <v>1995</v>
      </c>
      <c r="E346" s="54">
        <v>4287121478</v>
      </c>
      <c r="F346" s="54">
        <v>3533068915</v>
      </c>
      <c r="G346" s="54">
        <v>5524451760</v>
      </c>
      <c r="H346" s="54">
        <v>0</v>
      </c>
      <c r="I346" s="55">
        <f t="shared" si="16"/>
        <v>13344642153</v>
      </c>
      <c r="J346" s="54">
        <v>-60929235</v>
      </c>
      <c r="K346" s="56">
        <f t="shared" si="18"/>
        <v>13283712918</v>
      </c>
      <c r="L346" s="37">
        <v>0</v>
      </c>
      <c r="M346" s="69"/>
      <c r="O346" s="38" t="str">
        <f>IF([1]totrevprm!O347="","",[1]totrevprm!O347)</f>
        <v/>
      </c>
    </row>
    <row r="347" spans="1:26">
      <c r="A347" s="50" t="s">
        <v>25</v>
      </c>
      <c r="B347" s="51" t="s">
        <v>337</v>
      </c>
      <c r="C347" s="52" t="s">
        <v>731</v>
      </c>
      <c r="D347" s="53">
        <v>1996</v>
      </c>
      <c r="E347" s="54">
        <v>4054776472</v>
      </c>
      <c r="F347" s="54">
        <v>3336938386</v>
      </c>
      <c r="G347" s="54">
        <v>5511083411</v>
      </c>
      <c r="H347" s="54">
        <v>0</v>
      </c>
      <c r="I347" s="55">
        <f t="shared" si="16"/>
        <v>12902798269</v>
      </c>
      <c r="J347" s="54">
        <v>-376557</v>
      </c>
      <c r="K347" s="56">
        <f t="shared" si="18"/>
        <v>12902421712</v>
      </c>
      <c r="L347" s="37">
        <v>0</v>
      </c>
      <c r="M347" s="69"/>
      <c r="O347" s="38" t="str">
        <f>IF([1]totrevprm!O348="","",[1]totrevprm!O348)</f>
        <v/>
      </c>
    </row>
    <row r="348" spans="1:26">
      <c r="A348" s="50" t="s">
        <v>25</v>
      </c>
      <c r="B348" s="51" t="s">
        <v>337</v>
      </c>
      <c r="C348" s="52" t="s">
        <v>731</v>
      </c>
      <c r="D348" s="53">
        <v>1997</v>
      </c>
      <c r="E348" s="54">
        <v>4280528455</v>
      </c>
      <c r="F348" s="54">
        <v>3709224961</v>
      </c>
      <c r="G348" s="54">
        <v>5430501418</v>
      </c>
      <c r="H348" s="54">
        <v>0</v>
      </c>
      <c r="I348" s="55">
        <f t="shared" si="16"/>
        <v>13420254834</v>
      </c>
      <c r="J348" s="54">
        <v>-1572521</v>
      </c>
      <c r="K348" s="56">
        <f t="shared" si="18"/>
        <v>13418682313</v>
      </c>
      <c r="L348" s="37">
        <v>0</v>
      </c>
      <c r="M348" s="69"/>
      <c r="O348" s="38" t="str">
        <f>IF([1]totrevprm!O349="","",[1]totrevprm!O349)</f>
        <v/>
      </c>
    </row>
    <row r="349" spans="1:26">
      <c r="A349" s="50" t="s">
        <v>25</v>
      </c>
      <c r="B349" s="51" t="s">
        <v>337</v>
      </c>
      <c r="C349" s="52" t="s">
        <v>731</v>
      </c>
      <c r="D349" s="53">
        <v>1998</v>
      </c>
      <c r="E349" s="54">
        <v>4277963293</v>
      </c>
      <c r="F349" s="54">
        <v>3707410535</v>
      </c>
      <c r="G349" s="54">
        <v>5537143929</v>
      </c>
      <c r="H349" s="54">
        <v>0</v>
      </c>
      <c r="I349" s="55">
        <f t="shared" si="16"/>
        <v>13522517757</v>
      </c>
      <c r="J349" s="54">
        <v>-8123806</v>
      </c>
      <c r="K349" s="56">
        <f t="shared" si="18"/>
        <v>13514393951</v>
      </c>
      <c r="L349" s="37">
        <v>0</v>
      </c>
      <c r="M349" s="69"/>
      <c r="O349" s="38" t="str">
        <f>IF([1]totrevprm!O350="","",[1]totrevprm!O350)</f>
        <v/>
      </c>
    </row>
    <row r="350" spans="1:26">
      <c r="A350" s="50" t="s">
        <v>25</v>
      </c>
      <c r="B350" s="51" t="s">
        <v>337</v>
      </c>
      <c r="C350" s="52" t="s">
        <v>731</v>
      </c>
      <c r="D350" s="53">
        <v>1999</v>
      </c>
      <c r="E350" s="54">
        <v>4145941046</v>
      </c>
      <c r="F350" s="54">
        <v>5013620199</v>
      </c>
      <c r="G350" s="54">
        <v>5741068706</v>
      </c>
      <c r="H350" s="54">
        <v>0</v>
      </c>
      <c r="I350" s="55">
        <f t="shared" si="16"/>
        <v>14900629951</v>
      </c>
      <c r="J350" s="54">
        <v>-19035</v>
      </c>
      <c r="K350" s="56">
        <f t="shared" si="18"/>
        <v>14900610916</v>
      </c>
      <c r="L350" s="37">
        <v>0</v>
      </c>
      <c r="M350" s="69"/>
      <c r="O350" s="38" t="str">
        <f>IF([1]totrevprm!O351="","",[1]totrevprm!O351)</f>
        <v/>
      </c>
    </row>
    <row r="351" spans="1:26">
      <c r="A351" s="50" t="s">
        <v>25</v>
      </c>
      <c r="B351" s="51" t="s">
        <v>337</v>
      </c>
      <c r="C351" s="52" t="s">
        <v>731</v>
      </c>
      <c r="D351" s="53">
        <v>2000</v>
      </c>
      <c r="E351" s="54">
        <v>4328405879</v>
      </c>
      <c r="F351" s="54">
        <v>5902011296</v>
      </c>
      <c r="G351" s="54">
        <v>6043302610</v>
      </c>
      <c r="H351" s="54">
        <v>0</v>
      </c>
      <c r="I351" s="55">
        <f t="shared" si="16"/>
        <v>16273719785</v>
      </c>
      <c r="J351" s="54">
        <v>-6840884</v>
      </c>
      <c r="K351" s="56">
        <f t="shared" si="18"/>
        <v>16266878901</v>
      </c>
      <c r="L351" s="37">
        <v>0</v>
      </c>
      <c r="M351" s="69"/>
      <c r="O351" s="38" t="str">
        <f>IF([1]totrevprm!O352="","",[1]totrevprm!O352)</f>
        <v/>
      </c>
      <c r="V351" s="38" t="s">
        <v>337</v>
      </c>
      <c r="W351" s="58">
        <v>3929057</v>
      </c>
      <c r="X351" s="58">
        <v>97590591</v>
      </c>
      <c r="Y351" s="58">
        <v>54115449</v>
      </c>
      <c r="Z351" s="58">
        <v>0</v>
      </c>
    </row>
    <row r="352" spans="1:26">
      <c r="A352" s="50" t="s">
        <v>25</v>
      </c>
      <c r="B352" s="51" t="s">
        <v>337</v>
      </c>
      <c r="C352" s="52" t="s">
        <v>731</v>
      </c>
      <c r="D352" s="53">
        <v>2001</v>
      </c>
      <c r="E352" s="54">
        <v>4556230821</v>
      </c>
      <c r="F352" s="54">
        <v>8535906409</v>
      </c>
      <c r="G352" s="54">
        <v>6691943712</v>
      </c>
      <c r="H352" s="54">
        <v>0</v>
      </c>
      <c r="I352" s="55">
        <f t="shared" si="16"/>
        <v>19784080942</v>
      </c>
      <c r="J352" s="54">
        <v>-6570745</v>
      </c>
      <c r="K352" s="56">
        <f t="shared" si="18"/>
        <v>19777510197</v>
      </c>
      <c r="L352" s="37">
        <v>0</v>
      </c>
      <c r="M352" s="69"/>
      <c r="O352" s="38" t="str">
        <f>IF([1]totrevprm!O353="","",[1]totrevprm!O353)</f>
        <v/>
      </c>
      <c r="V352" s="38"/>
      <c r="W352" s="58"/>
      <c r="X352" s="58"/>
      <c r="Y352" s="58"/>
      <c r="Z352" s="58"/>
    </row>
    <row r="353" spans="1:26">
      <c r="A353" s="50" t="s">
        <v>25</v>
      </c>
      <c r="B353" s="51" t="s">
        <v>337</v>
      </c>
      <c r="C353" s="52" t="s">
        <v>731</v>
      </c>
      <c r="D353" s="53">
        <v>2002</v>
      </c>
      <c r="E353" s="54">
        <v>4722240139</v>
      </c>
      <c r="F353" s="54">
        <v>12062139569</v>
      </c>
      <c r="G353" s="54">
        <v>7128916882</v>
      </c>
      <c r="H353" s="54">
        <v>0</v>
      </c>
      <c r="I353" s="55">
        <f t="shared" si="16"/>
        <v>23913296590</v>
      </c>
      <c r="J353" s="54">
        <v>-554604</v>
      </c>
      <c r="K353" s="56">
        <f t="shared" si="18"/>
        <v>23912741986</v>
      </c>
      <c r="L353" s="37">
        <v>0</v>
      </c>
      <c r="M353" s="69"/>
      <c r="O353" s="38" t="str">
        <f>IF([1]totrevprm!O354="","",[1]totrevprm!O354)</f>
        <v/>
      </c>
      <c r="V353" s="38"/>
      <c r="W353" s="58"/>
      <c r="X353" s="58"/>
      <c r="Y353" s="58"/>
      <c r="Z353" s="58"/>
    </row>
    <row r="354" spans="1:26">
      <c r="A354" s="50" t="s">
        <v>25</v>
      </c>
      <c r="B354" s="51" t="s">
        <v>337</v>
      </c>
      <c r="C354" s="52" t="s">
        <v>731</v>
      </c>
      <c r="D354" s="53">
        <v>2003</v>
      </c>
      <c r="E354" s="59">
        <v>5134646920</v>
      </c>
      <c r="F354" s="59">
        <v>11338322377</v>
      </c>
      <c r="G354" s="59">
        <v>7680083229</v>
      </c>
      <c r="H354" s="54">
        <v>0</v>
      </c>
      <c r="I354" s="55">
        <f t="shared" si="16"/>
        <v>24153052526</v>
      </c>
      <c r="J354" s="54">
        <v>-1006</v>
      </c>
      <c r="K354" s="56">
        <f t="shared" si="18"/>
        <v>24153051520</v>
      </c>
      <c r="L354" s="37">
        <v>0</v>
      </c>
      <c r="M354" s="69"/>
      <c r="O354" s="38" t="str">
        <f>IF([1]totrevprm!O355="","",[1]totrevprm!O355)</f>
        <v/>
      </c>
      <c r="V354" s="38"/>
      <c r="W354" s="58"/>
      <c r="X354" s="58"/>
      <c r="Y354" s="58"/>
      <c r="Z354" s="58"/>
    </row>
    <row r="355" spans="1:26">
      <c r="A355" s="50" t="s">
        <v>25</v>
      </c>
      <c r="B355" s="51" t="s">
        <v>337</v>
      </c>
      <c r="C355" s="52" t="s">
        <v>731</v>
      </c>
      <c r="D355" s="53">
        <v>2004</v>
      </c>
      <c r="E355" s="59">
        <v>5619245870</v>
      </c>
      <c r="F355" s="59">
        <v>8878815674</v>
      </c>
      <c r="G355" s="59">
        <v>8589728379</v>
      </c>
      <c r="H355" s="54">
        <v>0</v>
      </c>
      <c r="I355" s="55">
        <f t="shared" si="16"/>
        <v>23087789923</v>
      </c>
      <c r="J355" s="54">
        <v>-4926090</v>
      </c>
      <c r="K355" s="56">
        <f t="shared" si="18"/>
        <v>23082863833</v>
      </c>
      <c r="L355" s="37">
        <v>0</v>
      </c>
      <c r="M355" s="69"/>
      <c r="O355" s="38" t="str">
        <f>IF([1]totrevprm!O356="","",[1]totrevprm!O356)</f>
        <v/>
      </c>
      <c r="V355" s="38"/>
      <c r="W355" s="58"/>
      <c r="X355" s="58"/>
      <c r="Y355" s="58"/>
      <c r="Z355" s="58"/>
    </row>
    <row r="356" spans="1:26">
      <c r="A356" s="50" t="s">
        <v>25</v>
      </c>
      <c r="B356" s="51" t="s">
        <v>337</v>
      </c>
      <c r="C356" s="52"/>
      <c r="D356" s="53">
        <v>2005</v>
      </c>
      <c r="E356" s="59">
        <v>5896022804</v>
      </c>
      <c r="F356" s="59">
        <v>7607281653</v>
      </c>
      <c r="G356" s="59">
        <v>9941072388.2799892</v>
      </c>
      <c r="H356" s="54">
        <v>0</v>
      </c>
      <c r="I356" s="55">
        <f t="shared" si="16"/>
        <v>23444376845.279991</v>
      </c>
      <c r="J356" s="54">
        <v>-108777</v>
      </c>
      <c r="K356" s="56">
        <f t="shared" si="18"/>
        <v>23444268068.279991</v>
      </c>
      <c r="L356" s="37">
        <v>0</v>
      </c>
      <c r="M356" s="69"/>
      <c r="O356" s="38" t="str">
        <f>IF([1]totrevprm!O357="","",[1]totrevprm!O357)</f>
        <v/>
      </c>
      <c r="V356" s="38"/>
      <c r="W356" s="58"/>
      <c r="X356" s="58"/>
      <c r="Y356" s="58"/>
      <c r="Z356" s="58"/>
    </row>
    <row r="357" spans="1:26">
      <c r="A357" s="50" t="s">
        <v>25</v>
      </c>
      <c r="B357" s="51" t="s">
        <v>337</v>
      </c>
      <c r="C357" s="52"/>
      <c r="D357" s="53">
        <v>2006</v>
      </c>
      <c r="E357" s="37">
        <v>6477413628</v>
      </c>
      <c r="F357" s="37">
        <v>8236527265</v>
      </c>
      <c r="G357" s="37">
        <v>10959160794</v>
      </c>
      <c r="H357" s="54">
        <v>0</v>
      </c>
      <c r="I357" s="55">
        <f t="shared" si="16"/>
        <v>25673101687</v>
      </c>
      <c r="J357" s="54">
        <v>-12334098</v>
      </c>
      <c r="K357" s="56">
        <f t="shared" si="18"/>
        <v>25660767589</v>
      </c>
      <c r="L357" s="37">
        <v>0</v>
      </c>
      <c r="M357" s="69"/>
      <c r="O357" s="38" t="str">
        <f>IF([1]totrevprm!O358="","",[1]totrevprm!O358)</f>
        <v/>
      </c>
      <c r="V357" s="38"/>
      <c r="W357" s="58"/>
      <c r="X357" s="58"/>
      <c r="Y357" s="58"/>
      <c r="Z357" s="58"/>
    </row>
    <row r="358" spans="1:26">
      <c r="A358" s="50" t="s">
        <v>25</v>
      </c>
      <c r="B358" s="51" t="s">
        <v>337</v>
      </c>
      <c r="C358" s="52"/>
      <c r="D358" s="53">
        <v>2007</v>
      </c>
      <c r="E358" s="37">
        <v>6737841562</v>
      </c>
      <c r="F358" s="37">
        <v>9503241605</v>
      </c>
      <c r="G358" s="37">
        <v>14723125905</v>
      </c>
      <c r="H358" s="54">
        <v>0</v>
      </c>
      <c r="I358" s="55">
        <f t="shared" si="16"/>
        <v>30964209072</v>
      </c>
      <c r="J358" s="54">
        <v>-2</v>
      </c>
      <c r="K358" s="56">
        <f t="shared" si="18"/>
        <v>30964209070</v>
      </c>
      <c r="L358" s="37">
        <v>0</v>
      </c>
      <c r="M358" s="69"/>
      <c r="O358" s="38" t="str">
        <f>IF([1]totrevprm!O359="","",[1]totrevprm!O359)</f>
        <v/>
      </c>
      <c r="V358" s="38"/>
      <c r="W358" s="58"/>
      <c r="X358" s="58"/>
      <c r="Y358" s="58"/>
      <c r="Z358" s="58"/>
    </row>
    <row r="359" spans="1:26">
      <c r="A359" s="50" t="s">
        <v>25</v>
      </c>
      <c r="B359" s="51" t="s">
        <v>337</v>
      </c>
      <c r="C359" s="52"/>
      <c r="D359" s="53">
        <v>2008</v>
      </c>
      <c r="E359" s="37">
        <v>6902676520</v>
      </c>
      <c r="F359" s="37">
        <v>13498259765</v>
      </c>
      <c r="G359" s="37">
        <v>15399410273</v>
      </c>
      <c r="H359" s="54">
        <v>0</v>
      </c>
      <c r="I359" s="55">
        <f t="shared" si="16"/>
        <v>35800346558</v>
      </c>
      <c r="J359" s="54">
        <v>-41109</v>
      </c>
      <c r="K359" s="56">
        <f t="shared" si="18"/>
        <v>35800305449</v>
      </c>
      <c r="L359" s="37">
        <v>0</v>
      </c>
      <c r="M359" s="69"/>
      <c r="O359" s="38" t="str">
        <f>IF([1]totrevprm!O360="","",[1]totrevprm!O360)</f>
        <v/>
      </c>
      <c r="V359" s="38"/>
      <c r="W359" s="58"/>
      <c r="X359" s="58"/>
      <c r="Y359" s="58"/>
      <c r="Z359" s="58"/>
    </row>
    <row r="360" spans="1:26">
      <c r="A360" s="50" t="s">
        <v>25</v>
      </c>
      <c r="B360" s="51" t="s">
        <v>337</v>
      </c>
      <c r="C360" s="52"/>
      <c r="D360" s="53">
        <v>2009</v>
      </c>
      <c r="E360" s="37">
        <v>6999870075</v>
      </c>
      <c r="F360" s="37">
        <v>13125370809</v>
      </c>
      <c r="G360" s="37">
        <v>15565154033</v>
      </c>
      <c r="H360" s="54">
        <v>0</v>
      </c>
      <c r="I360" s="55">
        <f t="shared" si="16"/>
        <v>35690394917</v>
      </c>
      <c r="J360" s="54">
        <v>-6694</v>
      </c>
      <c r="K360" s="56">
        <f t="shared" si="18"/>
        <v>35690388223</v>
      </c>
      <c r="L360" s="37">
        <v>0</v>
      </c>
      <c r="M360" s="69"/>
      <c r="O360" s="38" t="str">
        <f>IF([1]totrevprm!O361="","",[1]totrevprm!O361)</f>
        <v/>
      </c>
      <c r="V360" s="38"/>
      <c r="W360" s="58"/>
      <c r="X360" s="58"/>
      <c r="Y360" s="58"/>
      <c r="Z360" s="58"/>
    </row>
    <row r="361" spans="1:26">
      <c r="A361" s="50" t="s">
        <v>25</v>
      </c>
      <c r="B361" s="51" t="s">
        <v>337</v>
      </c>
      <c r="C361" s="52"/>
      <c r="D361" s="53">
        <v>2010</v>
      </c>
      <c r="E361" s="37">
        <v>7258349178</v>
      </c>
      <c r="F361" s="37">
        <v>11073309892</v>
      </c>
      <c r="G361" s="37">
        <v>16019974112</v>
      </c>
      <c r="H361" s="54">
        <v>0</v>
      </c>
      <c r="I361" s="55">
        <f t="shared" si="16"/>
        <v>34351633182</v>
      </c>
      <c r="J361" s="54">
        <v>-24284</v>
      </c>
      <c r="K361" s="56">
        <f t="shared" si="18"/>
        <v>34351608898</v>
      </c>
      <c r="L361" s="37">
        <v>0</v>
      </c>
      <c r="M361" s="69"/>
      <c r="O361" s="38" t="str">
        <f>IF([1]totrevprm!O362="","",[1]totrevprm!O362)</f>
        <v/>
      </c>
      <c r="V361" s="38"/>
      <c r="W361" s="58"/>
      <c r="X361" s="58"/>
      <c r="Y361" s="58"/>
      <c r="Z361" s="58"/>
    </row>
    <row r="362" spans="1:26">
      <c r="A362" s="50" t="s">
        <v>25</v>
      </c>
      <c r="B362" s="51" t="s">
        <v>337</v>
      </c>
      <c r="C362" s="52"/>
      <c r="D362" s="53">
        <v>2011</v>
      </c>
      <c r="E362" s="37">
        <v>7532542724</v>
      </c>
      <c r="F362" s="37">
        <v>10744644453</v>
      </c>
      <c r="G362" s="37">
        <v>16012672883.950001</v>
      </c>
      <c r="H362" s="54">
        <v>0</v>
      </c>
      <c r="I362" s="55">
        <f t="shared" si="16"/>
        <v>34289860060.950001</v>
      </c>
      <c r="J362" s="54">
        <v>-533170</v>
      </c>
      <c r="K362" s="56">
        <f t="shared" si="18"/>
        <v>34289326890.950001</v>
      </c>
      <c r="L362" s="37">
        <v>0</v>
      </c>
      <c r="M362" s="69"/>
      <c r="O362" s="38" t="str">
        <f>IF([1]totrevprm!O363="","",[1]totrevprm!O363)</f>
        <v/>
      </c>
      <c r="V362" s="38"/>
      <c r="W362" s="58"/>
      <c r="X362" s="58"/>
      <c r="Y362" s="58"/>
      <c r="Z362" s="58"/>
    </row>
    <row r="363" spans="1:26">
      <c r="A363" s="50" t="s">
        <v>25</v>
      </c>
      <c r="B363" s="51" t="s">
        <v>337</v>
      </c>
      <c r="C363" s="52"/>
      <c r="D363" s="53">
        <v>2012</v>
      </c>
      <c r="E363" s="37">
        <v>7825022377</v>
      </c>
      <c r="F363" s="37">
        <v>13111423767</v>
      </c>
      <c r="G363" s="37">
        <v>14295540155</v>
      </c>
      <c r="H363" s="54">
        <v>0</v>
      </c>
      <c r="I363" s="55">
        <f t="shared" si="16"/>
        <v>35231986299</v>
      </c>
      <c r="J363" s="54">
        <v>-3779</v>
      </c>
      <c r="K363" s="56">
        <f t="shared" si="18"/>
        <v>35231982520</v>
      </c>
      <c r="L363" s="37">
        <v>0</v>
      </c>
      <c r="M363" s="69"/>
      <c r="O363" s="38" t="str">
        <f>IF([1]totrevprm!O364="","",[1]totrevprm!O364)</f>
        <v/>
      </c>
      <c r="V363" s="38"/>
      <c r="W363" s="58"/>
      <c r="X363" s="58"/>
      <c r="Y363" s="58"/>
      <c r="Z363" s="58"/>
    </row>
    <row r="364" spans="1:26">
      <c r="A364" s="50" t="s">
        <v>25</v>
      </c>
      <c r="B364" s="51" t="s">
        <v>337</v>
      </c>
      <c r="C364" s="52"/>
      <c r="D364" s="53">
        <v>2013</v>
      </c>
      <c r="E364" s="37">
        <v>7908130067</v>
      </c>
      <c r="F364" s="37">
        <v>11167755761</v>
      </c>
      <c r="G364" s="37">
        <v>13725596130</v>
      </c>
      <c r="H364" s="54">
        <v>0</v>
      </c>
      <c r="I364" s="55">
        <f t="shared" ref="I364:I427" si="19">SUM(E364:H364)</f>
        <v>32801481958</v>
      </c>
      <c r="J364" s="54">
        <v>-499768</v>
      </c>
      <c r="K364" s="56">
        <f t="shared" si="18"/>
        <v>32800982190</v>
      </c>
      <c r="L364" s="37">
        <v>0</v>
      </c>
      <c r="M364" s="69"/>
      <c r="O364" s="38" t="str">
        <f>IF([1]totrevprm!O365="","",[1]totrevprm!O365)</f>
        <v/>
      </c>
      <c r="V364" s="38"/>
      <c r="W364" s="58"/>
      <c r="X364" s="58"/>
      <c r="Y364" s="58"/>
      <c r="Z364" s="58"/>
    </row>
    <row r="365" spans="1:26">
      <c r="A365" s="50" t="s">
        <v>25</v>
      </c>
      <c r="B365" s="51" t="s">
        <v>337</v>
      </c>
      <c r="C365" s="52"/>
      <c r="D365" s="64">
        <v>2014</v>
      </c>
      <c r="E365" s="37">
        <v>8148702937</v>
      </c>
      <c r="F365" s="37">
        <v>12262895711</v>
      </c>
      <c r="G365" s="37">
        <v>15280959381.98</v>
      </c>
      <c r="H365" s="37">
        <v>0</v>
      </c>
      <c r="I365" s="55">
        <f t="shared" si="19"/>
        <v>35692558029.979996</v>
      </c>
      <c r="J365" s="54">
        <v>-388109</v>
      </c>
      <c r="K365" s="56">
        <f t="shared" si="18"/>
        <v>35692169920.979996</v>
      </c>
      <c r="L365" s="37">
        <v>0</v>
      </c>
      <c r="M365" s="69"/>
      <c r="O365" s="38" t="str">
        <f>IF([1]totrevprm!O366="","",[1]totrevprm!O366)</f>
        <v/>
      </c>
      <c r="V365" s="38"/>
      <c r="W365" s="58"/>
      <c r="X365" s="58"/>
      <c r="Y365" s="58"/>
      <c r="Z365" s="58"/>
    </row>
    <row r="366" spans="1:26">
      <c r="A366" s="50" t="s">
        <v>25</v>
      </c>
      <c r="B366" s="51" t="s">
        <v>337</v>
      </c>
      <c r="C366" s="52"/>
      <c r="D366" s="64">
        <v>2015</v>
      </c>
      <c r="E366" s="37">
        <v>8605260060</v>
      </c>
      <c r="F366" s="37">
        <v>13676689759</v>
      </c>
      <c r="G366" s="37">
        <v>16086129162</v>
      </c>
      <c r="H366" s="37">
        <v>0</v>
      </c>
      <c r="I366" s="55">
        <f t="shared" si="19"/>
        <v>38368078981</v>
      </c>
      <c r="J366" s="54">
        <v>-223193</v>
      </c>
      <c r="K366" s="56">
        <f t="shared" si="18"/>
        <v>38367855788</v>
      </c>
      <c r="L366" s="37">
        <v>0</v>
      </c>
      <c r="M366" s="69"/>
      <c r="O366" s="38" t="str">
        <f>IF([1]totrevprm!O367="","",[1]totrevprm!O367)</f>
        <v/>
      </c>
      <c r="P366" s="35">
        <v>1311678073.5461662</v>
      </c>
      <c r="Q366" s="35">
        <v>662127772.36492538</v>
      </c>
      <c r="V366" s="38"/>
      <c r="W366" s="58"/>
      <c r="X366" s="58"/>
      <c r="Y366" s="58"/>
      <c r="Z366" s="58"/>
    </row>
    <row r="367" spans="1:26">
      <c r="A367" s="50" t="s">
        <v>25</v>
      </c>
      <c r="B367" s="51" t="s">
        <v>337</v>
      </c>
      <c r="C367" s="52"/>
      <c r="D367" s="64">
        <v>2016</v>
      </c>
      <c r="E367" s="37">
        <v>9063076811</v>
      </c>
      <c r="F367" s="37">
        <v>14836143334</v>
      </c>
      <c r="G367" s="37">
        <v>16576886331</v>
      </c>
      <c r="H367" s="37">
        <v>0</v>
      </c>
      <c r="I367" s="55">
        <f t="shared" si="19"/>
        <v>40476106476</v>
      </c>
      <c r="J367" s="54">
        <v>-42827</v>
      </c>
      <c r="K367" s="56">
        <f t="shared" si="18"/>
        <v>40476063649</v>
      </c>
      <c r="L367" s="37">
        <v>0</v>
      </c>
      <c r="M367" s="69"/>
      <c r="O367" s="38" t="str">
        <f>IF([1]totrevprm!O368="","",[1]totrevprm!O368)</f>
        <v/>
      </c>
      <c r="P367" s="35">
        <v>1391556823.6049004</v>
      </c>
      <c r="Q367" s="35">
        <v>666553455.18015039</v>
      </c>
      <c r="V367" s="38"/>
      <c r="W367" s="58"/>
      <c r="X367" s="58"/>
      <c r="Y367" s="58"/>
      <c r="Z367" s="58"/>
    </row>
    <row r="368" spans="1:26">
      <c r="A368" s="50" t="s">
        <v>25</v>
      </c>
      <c r="B368" s="51" t="s">
        <v>337</v>
      </c>
      <c r="C368" s="52"/>
      <c r="D368" s="64">
        <v>2017</v>
      </c>
      <c r="E368" s="37">
        <v>9426316098</v>
      </c>
      <c r="F368" s="37">
        <v>14556727092</v>
      </c>
      <c r="G368" s="37">
        <v>18105143020.93</v>
      </c>
      <c r="H368" s="37">
        <v>0</v>
      </c>
      <c r="I368" s="55">
        <f t="shared" si="19"/>
        <v>42088186210.93</v>
      </c>
      <c r="J368" s="54">
        <v>-135202</v>
      </c>
      <c r="K368" s="56">
        <f t="shared" si="18"/>
        <v>42088051008.93</v>
      </c>
      <c r="L368" s="37">
        <v>0</v>
      </c>
      <c r="M368" s="69"/>
      <c r="O368" s="38" t="str">
        <f>IF([1]totrevprm!O369="","",[1]totrevprm!O369)</f>
        <v/>
      </c>
      <c r="P368" s="35">
        <v>1481795309.2928731</v>
      </c>
      <c r="Q368" s="35">
        <v>680447603.09023619</v>
      </c>
      <c r="V368" s="38"/>
      <c r="W368" s="58"/>
      <c r="X368" s="58"/>
      <c r="Y368" s="58"/>
      <c r="Z368" s="58"/>
    </row>
    <row r="369" spans="1:26">
      <c r="A369" s="50" t="s">
        <v>25</v>
      </c>
      <c r="B369" s="51" t="s">
        <v>337</v>
      </c>
      <c r="C369" s="52"/>
      <c r="D369" s="64">
        <v>2018</v>
      </c>
      <c r="E369" s="37">
        <v>9482791750</v>
      </c>
      <c r="F369" s="37">
        <v>16822865202</v>
      </c>
      <c r="G369" s="37">
        <v>20800801687</v>
      </c>
      <c r="H369" s="37">
        <v>0</v>
      </c>
      <c r="I369" s="55">
        <f t="shared" si="19"/>
        <v>47106458639</v>
      </c>
      <c r="J369" s="54">
        <v>-15964</v>
      </c>
      <c r="K369" s="56">
        <f t="shared" si="18"/>
        <v>47106442675</v>
      </c>
      <c r="L369" s="60">
        <v>0</v>
      </c>
      <c r="M369" s="69"/>
      <c r="O369" s="38" t="str">
        <f>IF([1]totrevprm!O370="","",[1]totrevprm!O370)</f>
        <v/>
      </c>
      <c r="P369" s="35">
        <v>1524462852.1269</v>
      </c>
      <c r="Q369" s="35">
        <v>673576875.23355353</v>
      </c>
      <c r="V369" s="38"/>
      <c r="W369" s="58"/>
      <c r="X369" s="58"/>
      <c r="Y369" s="58"/>
      <c r="Z369" s="58"/>
    </row>
    <row r="370" spans="1:26">
      <c r="A370" s="50" t="s">
        <v>25</v>
      </c>
      <c r="B370" s="51" t="s">
        <v>337</v>
      </c>
      <c r="C370" s="52"/>
      <c r="D370" s="64">
        <v>2019</v>
      </c>
      <c r="E370" s="37">
        <v>10294840353</v>
      </c>
      <c r="F370" s="37">
        <v>17671506776</v>
      </c>
      <c r="G370" s="37">
        <v>22416945054.3563</v>
      </c>
      <c r="H370" s="37">
        <v>0</v>
      </c>
      <c r="I370" s="55">
        <f t="shared" si="19"/>
        <v>50383292183.3563</v>
      </c>
      <c r="J370" s="54">
        <v>-16735648</v>
      </c>
      <c r="K370" s="56">
        <f t="shared" si="18"/>
        <v>50366556535.3563</v>
      </c>
      <c r="L370" s="60">
        <v>0</v>
      </c>
      <c r="M370" s="77" t="s">
        <v>758</v>
      </c>
      <c r="O370" s="38" t="str">
        <f>IF([1]totrevprm!O371="","",[1]totrevprm!O371)</f>
        <v>Yes</v>
      </c>
      <c r="P370" s="35">
        <v>1550984152.7975957</v>
      </c>
      <c r="Q370" s="35">
        <v>685613370.80906987</v>
      </c>
      <c r="S370" s="36">
        <v>15472432357</v>
      </c>
      <c r="T370" s="36" t="s">
        <v>717</v>
      </c>
      <c r="U370" s="36">
        <v>41</v>
      </c>
      <c r="V370" s="38"/>
      <c r="W370" s="58"/>
      <c r="X370" s="58"/>
      <c r="Y370" s="37">
        <f>37889377411.3563</f>
        <v>37889377411.3563</v>
      </c>
      <c r="Z370" s="58"/>
    </row>
    <row r="371" spans="1:26">
      <c r="A371" s="50" t="s">
        <v>25</v>
      </c>
      <c r="B371" s="51" t="s">
        <v>337</v>
      </c>
      <c r="C371" s="52"/>
      <c r="D371" s="64">
        <v>2020</v>
      </c>
      <c r="E371" s="37">
        <v>10293063086</v>
      </c>
      <c r="F371" s="37">
        <v>17821254549</v>
      </c>
      <c r="G371" s="37">
        <v>23465780320</v>
      </c>
      <c r="H371" s="37">
        <v>0</v>
      </c>
      <c r="I371" s="55">
        <f t="shared" si="19"/>
        <v>51580097955</v>
      </c>
      <c r="J371" s="54">
        <v>-1527</v>
      </c>
      <c r="K371" s="56">
        <f t="shared" si="18"/>
        <v>51580096428</v>
      </c>
      <c r="L371" s="60">
        <v>0</v>
      </c>
      <c r="M371" s="77" t="s">
        <v>758</v>
      </c>
      <c r="O371" s="38" t="s">
        <v>708</v>
      </c>
      <c r="P371" s="35">
        <v>1529629081</v>
      </c>
      <c r="Q371" s="35">
        <v>696164110</v>
      </c>
      <c r="S371" s="36">
        <v>10611420247</v>
      </c>
      <c r="T371" s="36" t="s">
        <v>717</v>
      </c>
      <c r="U371" s="36">
        <v>46</v>
      </c>
      <c r="V371" s="38"/>
      <c r="W371" s="58"/>
      <c r="X371" s="58"/>
      <c r="Y371" s="37">
        <f>34077200567</f>
        <v>34077200567</v>
      </c>
      <c r="Z371" s="58"/>
    </row>
    <row r="372" spans="1:26">
      <c r="A372" s="50" t="s">
        <v>25</v>
      </c>
      <c r="B372" s="51" t="s">
        <v>337</v>
      </c>
      <c r="C372" s="52"/>
      <c r="D372" s="64">
        <v>2021</v>
      </c>
      <c r="E372" s="37">
        <v>11703427453</v>
      </c>
      <c r="F372" s="37">
        <v>20459107193</v>
      </c>
      <c r="G372" s="37">
        <v>23725167927.919998</v>
      </c>
      <c r="H372" s="37">
        <v>0</v>
      </c>
      <c r="I372" s="55">
        <f t="shared" si="19"/>
        <v>55887702573.919998</v>
      </c>
      <c r="J372" s="54">
        <v>-12965</v>
      </c>
      <c r="K372" s="56">
        <f t="shared" si="18"/>
        <v>55887689608.919998</v>
      </c>
      <c r="L372" s="60">
        <v>0</v>
      </c>
      <c r="M372" s="77" t="s">
        <v>758</v>
      </c>
      <c r="O372" s="38" t="s">
        <v>708</v>
      </c>
      <c r="P372" s="35">
        <v>1495622419.8299999</v>
      </c>
      <c r="Q372" s="35">
        <v>775291362</v>
      </c>
      <c r="S372" s="36">
        <v>11717227755</v>
      </c>
      <c r="T372" s="36" t="s">
        <v>717</v>
      </c>
      <c r="U372" s="36">
        <v>43</v>
      </c>
      <c r="V372" s="38"/>
      <c r="W372" s="58"/>
      <c r="X372" s="58"/>
      <c r="Y372" s="37">
        <v>35442395682.919998</v>
      </c>
      <c r="Z372" s="58"/>
    </row>
    <row r="373" spans="1:26">
      <c r="A373" s="50" t="s">
        <v>25</v>
      </c>
      <c r="B373" s="51" t="s">
        <v>337</v>
      </c>
      <c r="C373" s="52"/>
      <c r="D373" s="64">
        <v>2022</v>
      </c>
      <c r="E373" s="37">
        <v>11910851062</v>
      </c>
      <c r="F373" s="37">
        <v>27760215066</v>
      </c>
      <c r="G373" s="37">
        <v>24190872729</v>
      </c>
      <c r="H373" s="37">
        <v>0</v>
      </c>
      <c r="I373" s="55">
        <f t="shared" si="19"/>
        <v>63861938857</v>
      </c>
      <c r="J373" s="54">
        <v>-777100</v>
      </c>
      <c r="K373" s="56">
        <f t="shared" si="18"/>
        <v>63861161757</v>
      </c>
      <c r="L373" s="60">
        <v>0</v>
      </c>
      <c r="M373" s="77" t="s">
        <v>758</v>
      </c>
      <c r="O373" s="38" t="s">
        <v>708</v>
      </c>
      <c r="P373" s="60">
        <v>1633067941</v>
      </c>
      <c r="Q373" s="60">
        <v>773454135</v>
      </c>
      <c r="S373" s="36">
        <v>15196650380</v>
      </c>
      <c r="T373" s="36" t="s">
        <v>717</v>
      </c>
      <c r="U373" s="36">
        <v>45</v>
      </c>
      <c r="V373" s="38"/>
      <c r="W373" s="58"/>
      <c r="X373" s="58"/>
      <c r="Y373" s="60">
        <v>39387523109</v>
      </c>
      <c r="Z373" s="58"/>
    </row>
    <row r="374" spans="1:26">
      <c r="A374" s="50" t="s">
        <v>25</v>
      </c>
      <c r="B374" s="51" t="s">
        <v>337</v>
      </c>
      <c r="C374" s="52"/>
      <c r="D374" s="53">
        <v>2023</v>
      </c>
      <c r="E374" s="37">
        <v>12130849528</v>
      </c>
      <c r="F374" s="37">
        <v>33325785172.201199</v>
      </c>
      <c r="G374" s="37">
        <v>26765122329</v>
      </c>
      <c r="H374" s="37">
        <v>0</v>
      </c>
      <c r="I374" s="55">
        <f t="shared" si="19"/>
        <v>72221757029.201202</v>
      </c>
      <c r="J374" s="60">
        <v>-904465</v>
      </c>
      <c r="K374" s="56">
        <f t="shared" si="18"/>
        <v>72220852564.201202</v>
      </c>
      <c r="L374" s="37">
        <v>0</v>
      </c>
      <c r="M374" s="77" t="s">
        <v>758</v>
      </c>
      <c r="O374" s="38"/>
      <c r="P374" s="60">
        <v>1766267989.26</v>
      </c>
      <c r="Q374" s="60">
        <v>772209089</v>
      </c>
      <c r="S374" s="36">
        <v>21141601292</v>
      </c>
      <c r="T374" s="36" t="s">
        <v>717</v>
      </c>
      <c r="U374" s="36">
        <v>45</v>
      </c>
      <c r="V374" s="38"/>
      <c r="W374" s="58"/>
      <c r="X374" s="58"/>
      <c r="Y374" s="60">
        <v>47906723621</v>
      </c>
      <c r="Z374" s="58"/>
    </row>
    <row r="375" spans="1:26">
      <c r="A375" s="50"/>
      <c r="B375" s="52"/>
      <c r="C375" s="52"/>
      <c r="E375" s="54"/>
      <c r="F375" s="54"/>
      <c r="G375" s="54"/>
      <c r="H375" s="54"/>
      <c r="I375" s="55"/>
      <c r="K375" s="65"/>
      <c r="L375" s="37"/>
      <c r="M375" s="69"/>
      <c r="O375" s="38"/>
    </row>
    <row r="376" spans="1:26">
      <c r="A376" s="50" t="s">
        <v>27</v>
      </c>
      <c r="B376" s="51" t="s">
        <v>417</v>
      </c>
      <c r="C376" s="52" t="s">
        <v>759</v>
      </c>
      <c r="D376" s="53">
        <v>1988</v>
      </c>
      <c r="E376" s="54">
        <v>1651853622</v>
      </c>
      <c r="F376" s="54">
        <v>637077492</v>
      </c>
      <c r="G376" s="54">
        <v>1539502266</v>
      </c>
      <c r="H376" s="54">
        <v>590976969</v>
      </c>
      <c r="I376" s="55">
        <f t="shared" si="19"/>
        <v>4419410349</v>
      </c>
      <c r="J376" s="54">
        <v>0</v>
      </c>
      <c r="K376" s="56">
        <f>SUM(I376:J376)</f>
        <v>4419410349</v>
      </c>
      <c r="L376" s="37">
        <v>0</v>
      </c>
      <c r="M376" s="69"/>
      <c r="O376" s="38" t="str">
        <f>IF([1]totrevprm!O377="","",[1]totrevprm!O377)</f>
        <v/>
      </c>
    </row>
    <row r="377" spans="1:26">
      <c r="A377" s="50" t="s">
        <v>27</v>
      </c>
      <c r="B377" s="51" t="s">
        <v>417</v>
      </c>
      <c r="C377" s="52" t="s">
        <v>731</v>
      </c>
      <c r="D377" s="53">
        <v>1989</v>
      </c>
      <c r="E377" s="54">
        <v>1746241815</v>
      </c>
      <c r="F377" s="54">
        <v>628533462</v>
      </c>
      <c r="G377" s="54">
        <v>1693237863</v>
      </c>
      <c r="H377" s="54">
        <v>596919974</v>
      </c>
      <c r="I377" s="55">
        <f t="shared" si="19"/>
        <v>4664933114</v>
      </c>
      <c r="J377" s="54">
        <v>0</v>
      </c>
      <c r="K377" s="56">
        <f t="shared" ref="K377:K411" si="20">SUM(I377:J377)</f>
        <v>4664933114</v>
      </c>
      <c r="L377" s="37">
        <v>0</v>
      </c>
      <c r="M377" s="69"/>
      <c r="O377" s="38" t="str">
        <f>IF([1]totrevprm!O378="","",[1]totrevprm!O378)</f>
        <v/>
      </c>
    </row>
    <row r="378" spans="1:26">
      <c r="A378" s="50" t="s">
        <v>27</v>
      </c>
      <c r="B378" s="51" t="s">
        <v>417</v>
      </c>
      <c r="C378" s="52" t="s">
        <v>731</v>
      </c>
      <c r="D378" s="53">
        <v>1990</v>
      </c>
      <c r="E378" s="54">
        <v>2309173087</v>
      </c>
      <c r="F378" s="54">
        <v>760124195.79999995</v>
      </c>
      <c r="G378" s="54">
        <v>1824468127</v>
      </c>
      <c r="H378" s="54">
        <v>551210647</v>
      </c>
      <c r="I378" s="55">
        <f t="shared" si="19"/>
        <v>5444976056.8000002</v>
      </c>
      <c r="J378" s="54">
        <v>0</v>
      </c>
      <c r="K378" s="56">
        <f t="shared" si="20"/>
        <v>5444976056.8000002</v>
      </c>
      <c r="L378" s="37">
        <v>0</v>
      </c>
      <c r="M378" s="69"/>
      <c r="O378" s="38" t="str">
        <f>IF([1]totrevprm!O379="","",[1]totrevprm!O379)</f>
        <v/>
      </c>
    </row>
    <row r="379" spans="1:26">
      <c r="A379" s="50" t="s">
        <v>27</v>
      </c>
      <c r="B379" s="51" t="s">
        <v>417</v>
      </c>
      <c r="C379" s="52" t="s">
        <v>731</v>
      </c>
      <c r="D379" s="53">
        <v>1991</v>
      </c>
      <c r="E379" s="54">
        <v>1841069807</v>
      </c>
      <c r="F379" s="54">
        <v>605465260</v>
      </c>
      <c r="G379" s="54">
        <v>1912591664</v>
      </c>
      <c r="H379" s="54">
        <v>689638415</v>
      </c>
      <c r="I379" s="55">
        <f t="shared" si="19"/>
        <v>5048765146</v>
      </c>
      <c r="J379" s="54">
        <v>0</v>
      </c>
      <c r="K379" s="56">
        <f t="shared" si="20"/>
        <v>5048765146</v>
      </c>
      <c r="L379" s="37">
        <v>0</v>
      </c>
      <c r="M379" s="69"/>
      <c r="O379" s="38" t="str">
        <f>IF([1]totrevprm!O380="","",[1]totrevprm!O380)</f>
        <v/>
      </c>
    </row>
    <row r="380" spans="1:26">
      <c r="A380" s="50" t="s">
        <v>27</v>
      </c>
      <c r="B380" s="51" t="s">
        <v>417</v>
      </c>
      <c r="C380" s="52" t="s">
        <v>731</v>
      </c>
      <c r="D380" s="53">
        <v>1992</v>
      </c>
      <c r="E380" s="54">
        <v>1970694356</v>
      </c>
      <c r="F380" s="54">
        <v>803565372.88</v>
      </c>
      <c r="G380" s="54">
        <v>2000369427</v>
      </c>
      <c r="H380" s="54">
        <v>526747407</v>
      </c>
      <c r="I380" s="55">
        <f t="shared" si="19"/>
        <v>5301376562.8800001</v>
      </c>
      <c r="J380" s="54">
        <v>0</v>
      </c>
      <c r="K380" s="56">
        <f t="shared" si="20"/>
        <v>5301376562.8800001</v>
      </c>
      <c r="L380" s="37">
        <v>0</v>
      </c>
      <c r="M380" s="69"/>
      <c r="O380" s="38" t="str">
        <f>IF([1]totrevprm!O381="","",[1]totrevprm!O381)</f>
        <v/>
      </c>
    </row>
    <row r="381" spans="1:26">
      <c r="A381" s="50" t="s">
        <v>27</v>
      </c>
      <c r="B381" s="51" t="s">
        <v>417</v>
      </c>
      <c r="C381" s="52" t="s">
        <v>731</v>
      </c>
      <c r="D381" s="53">
        <v>1993</v>
      </c>
      <c r="E381" s="54">
        <v>2098423104</v>
      </c>
      <c r="F381" s="54">
        <v>531702558</v>
      </c>
      <c r="G381" s="54">
        <v>2146166805</v>
      </c>
      <c r="H381" s="54">
        <v>522014082</v>
      </c>
      <c r="I381" s="55">
        <f t="shared" si="19"/>
        <v>5298306549</v>
      </c>
      <c r="J381" s="54">
        <v>0</v>
      </c>
      <c r="K381" s="56">
        <f t="shared" si="20"/>
        <v>5298306549</v>
      </c>
      <c r="L381" s="37">
        <v>0</v>
      </c>
      <c r="M381" s="69"/>
      <c r="O381" s="38" t="str">
        <f>IF([1]totrevprm!O382="","",[1]totrevprm!O382)</f>
        <v/>
      </c>
    </row>
    <row r="382" spans="1:26">
      <c r="A382" s="50" t="s">
        <v>27</v>
      </c>
      <c r="B382" s="51" t="s">
        <v>417</v>
      </c>
      <c r="C382" s="52" t="s">
        <v>731</v>
      </c>
      <c r="D382" s="53">
        <v>1994</v>
      </c>
      <c r="E382" s="54">
        <v>2282019202</v>
      </c>
      <c r="F382" s="54">
        <v>705403547</v>
      </c>
      <c r="G382" s="54">
        <v>2282243817</v>
      </c>
      <c r="H382" s="54">
        <v>487037622</v>
      </c>
      <c r="I382" s="55">
        <f t="shared" si="19"/>
        <v>5756704188</v>
      </c>
      <c r="J382" s="54">
        <v>0</v>
      </c>
      <c r="K382" s="56">
        <f t="shared" si="20"/>
        <v>5756704188</v>
      </c>
      <c r="L382" s="37">
        <v>0</v>
      </c>
      <c r="M382" s="69"/>
      <c r="O382" s="38" t="str">
        <f>IF([1]totrevprm!O383="","",[1]totrevprm!O383)</f>
        <v/>
      </c>
    </row>
    <row r="383" spans="1:26">
      <c r="A383" s="50" t="s">
        <v>27</v>
      </c>
      <c r="B383" s="51" t="s">
        <v>417</v>
      </c>
      <c r="C383" s="52" t="s">
        <v>731</v>
      </c>
      <c r="D383" s="53">
        <v>1995</v>
      </c>
      <c r="E383" s="54">
        <v>2567907585</v>
      </c>
      <c r="F383" s="54">
        <v>716891479</v>
      </c>
      <c r="G383" s="54">
        <v>2380262718</v>
      </c>
      <c r="H383" s="54">
        <v>531272701</v>
      </c>
      <c r="I383" s="55">
        <f t="shared" si="19"/>
        <v>6196334483</v>
      </c>
      <c r="J383" s="54">
        <v>0</v>
      </c>
      <c r="K383" s="56">
        <f t="shared" si="20"/>
        <v>6196334483</v>
      </c>
      <c r="L383" s="37">
        <v>0</v>
      </c>
      <c r="M383" s="69"/>
      <c r="O383" s="38" t="str">
        <f>IF([1]totrevprm!O384="","",[1]totrevprm!O384)</f>
        <v/>
      </c>
    </row>
    <row r="384" spans="1:26">
      <c r="A384" s="50" t="s">
        <v>27</v>
      </c>
      <c r="B384" s="51" t="s">
        <v>417</v>
      </c>
      <c r="C384" s="52" t="s">
        <v>731</v>
      </c>
      <c r="D384" s="53">
        <v>1996</v>
      </c>
      <c r="E384" s="54">
        <v>2369005513</v>
      </c>
      <c r="F384" s="54">
        <v>764306413</v>
      </c>
      <c r="G384" s="54">
        <v>2449589248</v>
      </c>
      <c r="H384" s="54">
        <v>441261624</v>
      </c>
      <c r="I384" s="55">
        <f t="shared" si="19"/>
        <v>6024162798</v>
      </c>
      <c r="J384" s="54">
        <v>0</v>
      </c>
      <c r="K384" s="56">
        <f t="shared" si="20"/>
        <v>6024162798</v>
      </c>
      <c r="L384" s="37">
        <v>0</v>
      </c>
      <c r="M384" s="69"/>
      <c r="O384" s="38" t="str">
        <f>IF([1]totrevprm!O385="","",[1]totrevprm!O385)</f>
        <v/>
      </c>
    </row>
    <row r="385" spans="1:26">
      <c r="A385" s="50" t="s">
        <v>27</v>
      </c>
      <c r="B385" s="51" t="s">
        <v>417</v>
      </c>
      <c r="C385" s="52" t="s">
        <v>731</v>
      </c>
      <c r="D385" s="53">
        <v>1997</v>
      </c>
      <c r="E385" s="54">
        <v>2428324567</v>
      </c>
      <c r="F385" s="54">
        <v>768673675</v>
      </c>
      <c r="G385" s="54">
        <v>2434033051</v>
      </c>
      <c r="H385" s="54">
        <v>447223192</v>
      </c>
      <c r="I385" s="55">
        <f t="shared" si="19"/>
        <v>6078254485</v>
      </c>
      <c r="J385" s="54">
        <v>0</v>
      </c>
      <c r="K385" s="56">
        <f t="shared" si="20"/>
        <v>6078254485</v>
      </c>
      <c r="L385" s="37">
        <v>0</v>
      </c>
      <c r="M385" s="69"/>
      <c r="O385" s="38" t="str">
        <f>IF([1]totrevprm!O386="","",[1]totrevprm!O386)</f>
        <v/>
      </c>
    </row>
    <row r="386" spans="1:26">
      <c r="A386" s="50" t="s">
        <v>27</v>
      </c>
      <c r="B386" s="51" t="s">
        <v>417</v>
      </c>
      <c r="C386" s="52" t="s">
        <v>731</v>
      </c>
      <c r="D386" s="53">
        <v>1998</v>
      </c>
      <c r="E386" s="54">
        <v>2622036548</v>
      </c>
      <c r="F386" s="54">
        <v>747830907</v>
      </c>
      <c r="G386" s="54">
        <v>2510294567</v>
      </c>
      <c r="H386" s="54">
        <v>420309326</v>
      </c>
      <c r="I386" s="55">
        <f t="shared" si="19"/>
        <v>6300471348</v>
      </c>
      <c r="J386" s="54">
        <v>0</v>
      </c>
      <c r="K386" s="56">
        <f t="shared" si="20"/>
        <v>6300471348</v>
      </c>
      <c r="L386" s="37">
        <v>0</v>
      </c>
      <c r="M386" s="69"/>
      <c r="O386" s="38" t="str">
        <f>IF([1]totrevprm!O387="","",[1]totrevprm!O387)</f>
        <v/>
      </c>
    </row>
    <row r="387" spans="1:26">
      <c r="A387" s="50" t="s">
        <v>27</v>
      </c>
      <c r="B387" s="51" t="s">
        <v>417</v>
      </c>
      <c r="C387" s="52" t="s">
        <v>731</v>
      </c>
      <c r="D387" s="53">
        <v>1999</v>
      </c>
      <c r="E387" s="54">
        <v>2768837267</v>
      </c>
      <c r="F387" s="54">
        <v>1144539525</v>
      </c>
      <c r="G387" s="54">
        <v>2687358073</v>
      </c>
      <c r="H387" s="54">
        <v>368226950</v>
      </c>
      <c r="I387" s="55">
        <f t="shared" si="19"/>
        <v>6968961815</v>
      </c>
      <c r="J387" s="54">
        <v>0</v>
      </c>
      <c r="K387" s="56">
        <f t="shared" si="20"/>
        <v>6968961815</v>
      </c>
      <c r="L387" s="37">
        <v>0</v>
      </c>
      <c r="M387" s="69"/>
      <c r="O387" s="38" t="str">
        <f>IF([1]totrevprm!O388="","",[1]totrevprm!O388)</f>
        <v/>
      </c>
    </row>
    <row r="388" spans="1:26">
      <c r="A388" s="50" t="s">
        <v>27</v>
      </c>
      <c r="B388" s="51" t="s">
        <v>417</v>
      </c>
      <c r="C388" s="52" t="s">
        <v>731</v>
      </c>
      <c r="D388" s="53">
        <v>2000</v>
      </c>
      <c r="E388" s="54">
        <v>2705365144</v>
      </c>
      <c r="F388" s="54">
        <v>1188060986</v>
      </c>
      <c r="G388" s="54">
        <v>2792966214</v>
      </c>
      <c r="H388" s="54">
        <v>441152243</v>
      </c>
      <c r="I388" s="55">
        <f t="shared" si="19"/>
        <v>7127544587</v>
      </c>
      <c r="J388" s="54">
        <v>0</v>
      </c>
      <c r="K388" s="56">
        <f t="shared" si="20"/>
        <v>7127544587</v>
      </c>
      <c r="L388" s="37">
        <v>0</v>
      </c>
      <c r="M388" s="69"/>
      <c r="O388" s="38" t="str">
        <f>IF([1]totrevprm!O389="","",[1]totrevprm!O389)</f>
        <v/>
      </c>
      <c r="V388" s="38" t="s">
        <v>417</v>
      </c>
      <c r="W388" s="58">
        <v>12035231</v>
      </c>
      <c r="X388" s="58">
        <v>36556567</v>
      </c>
      <c r="Y388" s="58">
        <v>22268300</v>
      </c>
      <c r="Z388" s="58">
        <v>0</v>
      </c>
    </row>
    <row r="389" spans="1:26">
      <c r="A389" s="50" t="s">
        <v>27</v>
      </c>
      <c r="B389" s="51" t="s">
        <v>417</v>
      </c>
      <c r="C389" s="52" t="s">
        <v>731</v>
      </c>
      <c r="D389" s="53">
        <v>2001</v>
      </c>
      <c r="E389" s="54">
        <v>2809156234</v>
      </c>
      <c r="F389" s="54">
        <v>1740072374</v>
      </c>
      <c r="G389" s="54">
        <v>2884712920</v>
      </c>
      <c r="H389" s="54">
        <v>408108249</v>
      </c>
      <c r="I389" s="55">
        <f t="shared" si="19"/>
        <v>7842049777</v>
      </c>
      <c r="J389" s="54">
        <v>0</v>
      </c>
      <c r="K389" s="56">
        <f t="shared" si="20"/>
        <v>7842049777</v>
      </c>
      <c r="L389" s="37">
        <v>0</v>
      </c>
      <c r="M389" s="69"/>
      <c r="O389" s="38" t="str">
        <f>IF([1]totrevprm!O390="","",[1]totrevprm!O390)</f>
        <v/>
      </c>
      <c r="V389" s="38"/>
      <c r="W389" s="58"/>
      <c r="X389" s="58"/>
      <c r="Y389" s="58"/>
      <c r="Z389" s="58"/>
    </row>
    <row r="390" spans="1:26">
      <c r="A390" s="50" t="s">
        <v>27</v>
      </c>
      <c r="B390" s="51" t="s">
        <v>417</v>
      </c>
      <c r="C390" s="52" t="s">
        <v>731</v>
      </c>
      <c r="D390" s="53">
        <v>2002</v>
      </c>
      <c r="E390" s="54">
        <v>2920365305</v>
      </c>
      <c r="F390" s="54">
        <v>2492103815</v>
      </c>
      <c r="G390" s="54">
        <v>2847086261</v>
      </c>
      <c r="H390" s="54">
        <v>529180604</v>
      </c>
      <c r="I390" s="55">
        <f t="shared" si="19"/>
        <v>8788735985</v>
      </c>
      <c r="J390" s="54">
        <v>0</v>
      </c>
      <c r="K390" s="56">
        <f t="shared" si="20"/>
        <v>8788735985</v>
      </c>
      <c r="L390" s="37">
        <v>0</v>
      </c>
      <c r="M390" s="69"/>
      <c r="O390" s="38" t="str">
        <f>IF([1]totrevprm!O391="","",[1]totrevprm!O391)</f>
        <v/>
      </c>
      <c r="V390" s="38"/>
      <c r="W390" s="58"/>
      <c r="X390" s="58"/>
      <c r="Y390" s="58"/>
      <c r="Z390" s="58"/>
    </row>
    <row r="391" spans="1:26">
      <c r="A391" s="50" t="s">
        <v>27</v>
      </c>
      <c r="B391" s="51" t="s">
        <v>417</v>
      </c>
      <c r="C391" s="52" t="s">
        <v>731</v>
      </c>
      <c r="D391" s="53">
        <v>2003</v>
      </c>
      <c r="E391" s="59">
        <v>3000073998</v>
      </c>
      <c r="F391" s="59">
        <v>2506300505</v>
      </c>
      <c r="G391" s="59">
        <v>2844873479</v>
      </c>
      <c r="H391" s="59">
        <v>669389456</v>
      </c>
      <c r="I391" s="55">
        <f t="shared" si="19"/>
        <v>9020637438</v>
      </c>
      <c r="J391" s="54">
        <v>0</v>
      </c>
      <c r="K391" s="56">
        <f t="shared" si="20"/>
        <v>9020637438</v>
      </c>
      <c r="L391" s="37">
        <v>0</v>
      </c>
      <c r="M391" s="69"/>
      <c r="O391" s="38" t="str">
        <f>IF([1]totrevprm!O392="","",[1]totrevprm!O392)</f>
        <v/>
      </c>
      <c r="V391" s="38"/>
      <c r="W391" s="58"/>
      <c r="X391" s="58"/>
      <c r="Y391" s="58"/>
      <c r="Z391" s="58"/>
    </row>
    <row r="392" spans="1:26">
      <c r="A392" s="50" t="s">
        <v>27</v>
      </c>
      <c r="B392" s="51" t="s">
        <v>417</v>
      </c>
      <c r="C392" s="52" t="s">
        <v>731</v>
      </c>
      <c r="D392" s="53">
        <v>2004</v>
      </c>
      <c r="E392" s="59">
        <v>3125411036</v>
      </c>
      <c r="F392" s="59">
        <v>1976527927</v>
      </c>
      <c r="G392" s="59">
        <v>2985047415</v>
      </c>
      <c r="H392" s="59">
        <v>611573059</v>
      </c>
      <c r="I392" s="55">
        <f t="shared" si="19"/>
        <v>8698559437</v>
      </c>
      <c r="J392" s="54">
        <v>0</v>
      </c>
      <c r="K392" s="56">
        <f t="shared" si="20"/>
        <v>8698559437</v>
      </c>
      <c r="L392" s="37">
        <v>0</v>
      </c>
      <c r="M392" s="69"/>
      <c r="O392" s="38" t="str">
        <f>IF([1]totrevprm!O393="","",[1]totrevprm!O393)</f>
        <v/>
      </c>
      <c r="V392" s="38"/>
      <c r="W392" s="58"/>
      <c r="X392" s="58"/>
      <c r="Y392" s="58"/>
      <c r="Z392" s="58"/>
    </row>
    <row r="393" spans="1:26">
      <c r="A393" s="50" t="s">
        <v>27</v>
      </c>
      <c r="B393" s="51" t="s">
        <v>417</v>
      </c>
      <c r="C393" s="52"/>
      <c r="D393" s="53">
        <v>2005</v>
      </c>
      <c r="E393" s="59">
        <v>3263007134</v>
      </c>
      <c r="F393" s="59">
        <v>1960725744</v>
      </c>
      <c r="G393" s="59">
        <v>3209940916.6399899</v>
      </c>
      <c r="H393" s="59">
        <v>644182010</v>
      </c>
      <c r="I393" s="55">
        <f t="shared" si="19"/>
        <v>9077855804.6399899</v>
      </c>
      <c r="J393" s="54">
        <v>0</v>
      </c>
      <c r="K393" s="56">
        <f t="shared" si="20"/>
        <v>9077855804.6399899</v>
      </c>
      <c r="L393" s="37">
        <v>0</v>
      </c>
      <c r="M393" s="69"/>
      <c r="O393" s="38" t="str">
        <f>IF([1]totrevprm!O394="","",[1]totrevprm!O394)</f>
        <v/>
      </c>
      <c r="V393" s="38"/>
      <c r="W393" s="58"/>
      <c r="X393" s="58"/>
      <c r="Y393" s="58"/>
      <c r="Z393" s="58"/>
    </row>
    <row r="394" spans="1:26">
      <c r="A394" s="50" t="s">
        <v>27</v>
      </c>
      <c r="B394" s="51" t="s">
        <v>417</v>
      </c>
      <c r="C394" s="52"/>
      <c r="D394" s="53">
        <v>2006</v>
      </c>
      <c r="E394" s="37">
        <v>3505771048</v>
      </c>
      <c r="F394" s="37">
        <v>2099956017</v>
      </c>
      <c r="G394" s="37">
        <v>3741417739</v>
      </c>
      <c r="H394" s="37">
        <v>647129014</v>
      </c>
      <c r="I394" s="55">
        <f t="shared" si="19"/>
        <v>9994273818</v>
      </c>
      <c r="J394" s="54">
        <v>0</v>
      </c>
      <c r="K394" s="56">
        <f t="shared" si="20"/>
        <v>9994273818</v>
      </c>
      <c r="L394" s="37">
        <v>0</v>
      </c>
      <c r="M394" s="69"/>
      <c r="O394" s="38" t="str">
        <f>IF([1]totrevprm!O395="","",[1]totrevprm!O395)</f>
        <v/>
      </c>
      <c r="V394" s="38"/>
      <c r="W394" s="58"/>
      <c r="X394" s="58"/>
      <c r="Y394" s="58"/>
      <c r="Z394" s="58"/>
    </row>
    <row r="395" spans="1:26">
      <c r="A395" s="50" t="s">
        <v>27</v>
      </c>
      <c r="B395" s="51" t="s">
        <v>417</v>
      </c>
      <c r="C395" s="52"/>
      <c r="D395" s="53">
        <v>2007</v>
      </c>
      <c r="E395" s="37">
        <v>3582468504</v>
      </c>
      <c r="F395" s="37">
        <v>2129925976</v>
      </c>
      <c r="G395" s="37">
        <v>4402674249</v>
      </c>
      <c r="H395" s="37">
        <v>614422918</v>
      </c>
      <c r="I395" s="55">
        <f t="shared" si="19"/>
        <v>10729491647</v>
      </c>
      <c r="J395" s="54">
        <v>0</v>
      </c>
      <c r="K395" s="56">
        <f t="shared" si="20"/>
        <v>10729491647</v>
      </c>
      <c r="L395" s="37">
        <v>0</v>
      </c>
      <c r="M395" s="69"/>
      <c r="O395" s="38" t="str">
        <f>IF([1]totrevprm!O396="","",[1]totrevprm!O396)</f>
        <v/>
      </c>
      <c r="V395" s="38"/>
      <c r="W395" s="58"/>
      <c r="X395" s="58"/>
      <c r="Y395" s="58"/>
      <c r="Z395" s="58"/>
    </row>
    <row r="396" spans="1:26">
      <c r="A396" s="50" t="s">
        <v>27</v>
      </c>
      <c r="B396" s="51" t="s">
        <v>417</v>
      </c>
      <c r="C396" s="52"/>
      <c r="D396" s="53">
        <v>2008</v>
      </c>
      <c r="E396" s="37">
        <v>3702644975</v>
      </c>
      <c r="F396" s="37">
        <v>3044225771</v>
      </c>
      <c r="G396" s="37">
        <v>4891949987</v>
      </c>
      <c r="H396" s="37">
        <v>809438239</v>
      </c>
      <c r="I396" s="55">
        <f t="shared" si="19"/>
        <v>12448258972</v>
      </c>
      <c r="J396" s="54">
        <v>0</v>
      </c>
      <c r="K396" s="56">
        <f t="shared" si="20"/>
        <v>12448258972</v>
      </c>
      <c r="L396" s="37">
        <v>0</v>
      </c>
      <c r="M396" s="69"/>
      <c r="O396" s="38" t="str">
        <f>IF([1]totrevprm!O397="","",[1]totrevprm!O397)</f>
        <v/>
      </c>
      <c r="V396" s="38"/>
      <c r="W396" s="58"/>
      <c r="X396" s="58"/>
      <c r="Y396" s="58"/>
      <c r="Z396" s="58"/>
    </row>
    <row r="397" spans="1:26">
      <c r="A397" s="50" t="s">
        <v>27</v>
      </c>
      <c r="B397" s="51" t="s">
        <v>417</v>
      </c>
      <c r="C397" s="52"/>
      <c r="D397" s="53">
        <v>2009</v>
      </c>
      <c r="E397" s="37">
        <v>3820786015</v>
      </c>
      <c r="F397" s="37">
        <v>2985838083</v>
      </c>
      <c r="G397" s="37">
        <v>5335452434</v>
      </c>
      <c r="H397" s="37">
        <v>624736998</v>
      </c>
      <c r="I397" s="55">
        <f t="shared" si="19"/>
        <v>12766813530</v>
      </c>
      <c r="J397" s="54">
        <v>0</v>
      </c>
      <c r="K397" s="56">
        <f t="shared" si="20"/>
        <v>12766813530</v>
      </c>
      <c r="L397" s="37">
        <v>0</v>
      </c>
      <c r="M397" s="69"/>
      <c r="O397" s="38" t="str">
        <f>IF([1]totrevprm!O398="","",[1]totrevprm!O398)</f>
        <v/>
      </c>
      <c r="V397" s="38"/>
      <c r="W397" s="58"/>
      <c r="X397" s="58"/>
      <c r="Y397" s="58"/>
      <c r="Z397" s="58"/>
    </row>
    <row r="398" spans="1:26">
      <c r="A398" s="50" t="s">
        <v>27</v>
      </c>
      <c r="B398" s="51" t="s">
        <v>417</v>
      </c>
      <c r="C398" s="52"/>
      <c r="D398" s="53">
        <v>2010</v>
      </c>
      <c r="E398" s="37">
        <v>3995546886</v>
      </c>
      <c r="F398" s="37">
        <v>2436414758</v>
      </c>
      <c r="G398" s="37">
        <v>6271861186</v>
      </c>
      <c r="H398" s="37">
        <v>708006189</v>
      </c>
      <c r="I398" s="55">
        <f t="shared" si="19"/>
        <v>13411829019</v>
      </c>
      <c r="J398" s="54">
        <v>0</v>
      </c>
      <c r="K398" s="56">
        <f t="shared" si="20"/>
        <v>13411829019</v>
      </c>
      <c r="L398" s="37">
        <v>0</v>
      </c>
      <c r="M398" s="69"/>
      <c r="O398" s="38" t="str">
        <f>IF([1]totrevprm!O399="","",[1]totrevprm!O399)</f>
        <v/>
      </c>
      <c r="V398" s="38"/>
      <c r="W398" s="58"/>
      <c r="X398" s="58"/>
      <c r="Y398" s="58"/>
      <c r="Z398" s="58"/>
    </row>
    <row r="399" spans="1:26">
      <c r="A399" s="50" t="s">
        <v>27</v>
      </c>
      <c r="B399" s="51" t="s">
        <v>417</v>
      </c>
      <c r="C399" s="52"/>
      <c r="D399" s="53">
        <v>2011</v>
      </c>
      <c r="E399" s="37">
        <v>3983128965</v>
      </c>
      <c r="F399" s="37">
        <v>2572352693</v>
      </c>
      <c r="G399" s="37">
        <v>6426640876</v>
      </c>
      <c r="H399" s="37">
        <v>678456498</v>
      </c>
      <c r="I399" s="55">
        <f t="shared" si="19"/>
        <v>13660579032</v>
      </c>
      <c r="J399" s="54">
        <v>0</v>
      </c>
      <c r="K399" s="56">
        <f t="shared" si="20"/>
        <v>13660579032</v>
      </c>
      <c r="L399" s="37">
        <v>0</v>
      </c>
      <c r="M399" s="69"/>
      <c r="O399" s="38" t="str">
        <f>IF([1]totrevprm!O400="","",[1]totrevprm!O400)</f>
        <v/>
      </c>
      <c r="V399" s="38"/>
      <c r="W399" s="58"/>
      <c r="X399" s="58"/>
      <c r="Y399" s="58"/>
      <c r="Z399" s="58"/>
    </row>
    <row r="400" spans="1:26">
      <c r="A400" s="50" t="s">
        <v>27</v>
      </c>
      <c r="B400" s="51" t="s">
        <v>417</v>
      </c>
      <c r="C400" s="52"/>
      <c r="D400" s="53">
        <v>2012</v>
      </c>
      <c r="E400" s="37">
        <v>4320375438</v>
      </c>
      <c r="F400" s="37">
        <v>3347688205</v>
      </c>
      <c r="G400" s="37">
        <v>5308193551</v>
      </c>
      <c r="H400" s="37">
        <v>619779629</v>
      </c>
      <c r="I400" s="55">
        <f t="shared" si="19"/>
        <v>13596036823</v>
      </c>
      <c r="J400" s="54">
        <v>0</v>
      </c>
      <c r="K400" s="56">
        <f t="shared" si="20"/>
        <v>13596036823</v>
      </c>
      <c r="L400" s="37">
        <v>0</v>
      </c>
      <c r="M400" s="69"/>
      <c r="O400" s="38" t="str">
        <f>IF([1]totrevprm!O401="","",[1]totrevprm!O401)</f>
        <v/>
      </c>
      <c r="V400" s="38"/>
      <c r="W400" s="58"/>
      <c r="X400" s="58"/>
      <c r="Y400" s="58"/>
      <c r="Z400" s="58"/>
    </row>
    <row r="401" spans="1:26">
      <c r="A401" s="50" t="s">
        <v>27</v>
      </c>
      <c r="B401" s="51" t="s">
        <v>417</v>
      </c>
      <c r="C401" s="52"/>
      <c r="D401" s="53">
        <v>2013</v>
      </c>
      <c r="E401" s="37">
        <v>4338355798</v>
      </c>
      <c r="F401" s="37">
        <v>2565193385</v>
      </c>
      <c r="G401" s="37">
        <v>4630988577</v>
      </c>
      <c r="H401" s="37">
        <v>843683795</v>
      </c>
      <c r="I401" s="55">
        <f t="shared" si="19"/>
        <v>12378221555</v>
      </c>
      <c r="J401" s="54">
        <v>0</v>
      </c>
      <c r="K401" s="56">
        <f t="shared" si="20"/>
        <v>12378221555</v>
      </c>
      <c r="L401" s="37">
        <v>0</v>
      </c>
      <c r="M401" s="69"/>
      <c r="O401" s="38" t="str">
        <f>IF([1]totrevprm!O402="","",[1]totrevprm!O402)</f>
        <v/>
      </c>
      <c r="V401" s="38"/>
      <c r="W401" s="58"/>
      <c r="X401" s="58"/>
      <c r="Y401" s="58"/>
      <c r="Z401" s="58"/>
    </row>
    <row r="402" spans="1:26">
      <c r="A402" s="50" t="s">
        <v>27</v>
      </c>
      <c r="B402" s="51" t="s">
        <v>417</v>
      </c>
      <c r="C402" s="52"/>
      <c r="D402" s="64">
        <v>2014</v>
      </c>
      <c r="E402" s="37">
        <v>4254780749</v>
      </c>
      <c r="F402" s="37">
        <v>3198786000</v>
      </c>
      <c r="G402" s="37">
        <v>4872373920.0900002</v>
      </c>
      <c r="H402" s="37">
        <v>732966381</v>
      </c>
      <c r="I402" s="55">
        <f t="shared" si="19"/>
        <v>13058907050.09</v>
      </c>
      <c r="J402" s="54">
        <v>0</v>
      </c>
      <c r="K402" s="56">
        <f t="shared" si="20"/>
        <v>13058907050.09</v>
      </c>
      <c r="L402" s="37">
        <v>0</v>
      </c>
      <c r="M402" s="69"/>
      <c r="O402" s="38" t="str">
        <f>IF([1]totrevprm!O403="","",[1]totrevprm!O403)</f>
        <v/>
      </c>
      <c r="V402" s="38"/>
      <c r="W402" s="58"/>
      <c r="X402" s="58"/>
      <c r="Y402" s="58"/>
      <c r="Z402" s="58"/>
    </row>
    <row r="403" spans="1:26">
      <c r="A403" s="50" t="s">
        <v>27</v>
      </c>
      <c r="B403" s="51" t="s">
        <v>417</v>
      </c>
      <c r="C403" s="52"/>
      <c r="D403" s="64">
        <v>2015</v>
      </c>
      <c r="E403" s="37">
        <v>4599717888</v>
      </c>
      <c r="F403" s="37">
        <v>3626597863</v>
      </c>
      <c r="G403" s="37">
        <v>5000813660</v>
      </c>
      <c r="H403" s="37">
        <v>721901987</v>
      </c>
      <c r="I403" s="55">
        <f t="shared" si="19"/>
        <v>13949031398</v>
      </c>
      <c r="J403" s="54">
        <v>0</v>
      </c>
      <c r="K403" s="56">
        <f t="shared" si="20"/>
        <v>13949031398</v>
      </c>
      <c r="L403" s="37">
        <v>0</v>
      </c>
      <c r="M403" s="69"/>
      <c r="O403" s="38" t="str">
        <f>IF([1]totrevprm!O404="","",[1]totrevprm!O404)</f>
        <v/>
      </c>
      <c r="P403" s="35">
        <v>893663734.93981206</v>
      </c>
      <c r="Q403" s="35">
        <v>254924428.26791045</v>
      </c>
      <c r="V403" s="38"/>
      <c r="W403" s="58"/>
      <c r="X403" s="58"/>
      <c r="Y403" s="58"/>
      <c r="Z403" s="58"/>
    </row>
    <row r="404" spans="1:26">
      <c r="A404" s="50" t="s">
        <v>27</v>
      </c>
      <c r="B404" s="51" t="s">
        <v>417</v>
      </c>
      <c r="C404" s="52"/>
      <c r="D404" s="64">
        <v>2016</v>
      </c>
      <c r="E404" s="37">
        <v>4700024884</v>
      </c>
      <c r="F404" s="37">
        <v>4302951403</v>
      </c>
      <c r="G404" s="37">
        <v>5313730741</v>
      </c>
      <c r="H404" s="37">
        <v>670809579</v>
      </c>
      <c r="I404" s="55">
        <f t="shared" si="19"/>
        <v>14987516607</v>
      </c>
      <c r="J404" s="54">
        <v>0</v>
      </c>
      <c r="K404" s="56">
        <f t="shared" si="20"/>
        <v>14987516607</v>
      </c>
      <c r="L404" s="37">
        <v>0</v>
      </c>
      <c r="M404" s="69"/>
      <c r="O404" s="38" t="str">
        <f>IF([1]totrevprm!O405="","",[1]totrevprm!O405)</f>
        <v/>
      </c>
      <c r="P404" s="35">
        <v>950343790.76654196</v>
      </c>
      <c r="Q404" s="35">
        <v>261109691.88338345</v>
      </c>
      <c r="V404" s="38"/>
      <c r="W404" s="58"/>
      <c r="X404" s="58"/>
      <c r="Y404" s="58"/>
      <c r="Z404" s="58"/>
    </row>
    <row r="405" spans="1:26">
      <c r="A405" s="50" t="s">
        <v>27</v>
      </c>
      <c r="B405" s="51" t="s">
        <v>417</v>
      </c>
      <c r="C405" s="52"/>
      <c r="D405" s="64">
        <v>2017</v>
      </c>
      <c r="E405" s="37">
        <v>4956195887</v>
      </c>
      <c r="F405" s="37">
        <v>4256103473</v>
      </c>
      <c r="G405" s="37">
        <v>5362162347.8099995</v>
      </c>
      <c r="H405" s="37">
        <v>576491438</v>
      </c>
      <c r="I405" s="55">
        <f t="shared" si="19"/>
        <v>15150953145.809999</v>
      </c>
      <c r="J405" s="54">
        <v>0</v>
      </c>
      <c r="K405" s="56">
        <f t="shared" si="20"/>
        <v>15150953145.809999</v>
      </c>
      <c r="L405" s="37">
        <v>0</v>
      </c>
      <c r="M405" s="69"/>
      <c r="O405" s="38" t="str">
        <f>IF([1]totrevprm!O406="","",[1]totrevprm!O406)</f>
        <v/>
      </c>
      <c r="P405" s="35">
        <v>969622598.98910546</v>
      </c>
      <c r="Q405" s="35">
        <v>259110615.96267715</v>
      </c>
      <c r="V405" s="38"/>
      <c r="W405" s="58"/>
      <c r="X405" s="58"/>
      <c r="Y405" s="58"/>
      <c r="Z405" s="58"/>
    </row>
    <row r="406" spans="1:26">
      <c r="A406" s="50" t="s">
        <v>27</v>
      </c>
      <c r="B406" s="51" t="s">
        <v>417</v>
      </c>
      <c r="C406" s="52"/>
      <c r="D406" s="64">
        <v>2018</v>
      </c>
      <c r="E406" s="37">
        <v>5003339940</v>
      </c>
      <c r="F406" s="37">
        <v>5252832446</v>
      </c>
      <c r="G406" s="37">
        <v>5658166599.3999996</v>
      </c>
      <c r="H406" s="37">
        <v>882158247</v>
      </c>
      <c r="I406" s="55">
        <f t="shared" si="19"/>
        <v>16796497232.4</v>
      </c>
      <c r="J406" s="54">
        <v>0</v>
      </c>
      <c r="K406" s="56">
        <f t="shared" si="20"/>
        <v>16796497232.4</v>
      </c>
      <c r="L406" s="60">
        <v>0</v>
      </c>
      <c r="M406" s="69"/>
      <c r="O406" s="38" t="str">
        <f>IF([1]totrevprm!O407="","",[1]totrevprm!O407)</f>
        <v/>
      </c>
      <c r="P406" s="35">
        <v>1045099448.4000993</v>
      </c>
      <c r="Q406" s="35">
        <v>258590135.97573763</v>
      </c>
      <c r="V406" s="38"/>
      <c r="W406" s="58"/>
      <c r="X406" s="58"/>
      <c r="Y406" s="58"/>
      <c r="Z406" s="58"/>
    </row>
    <row r="407" spans="1:26">
      <c r="A407" s="50" t="s">
        <v>27</v>
      </c>
      <c r="B407" s="51" t="s">
        <v>417</v>
      </c>
      <c r="C407" s="52"/>
      <c r="D407" s="64">
        <v>2019</v>
      </c>
      <c r="E407" s="37">
        <v>5010563561</v>
      </c>
      <c r="F407" s="37">
        <v>5442622323</v>
      </c>
      <c r="G407" s="37">
        <v>5853509283.3761005</v>
      </c>
      <c r="H407" s="37">
        <v>671459968</v>
      </c>
      <c r="I407" s="55">
        <f t="shared" si="19"/>
        <v>16978155135.376101</v>
      </c>
      <c r="J407" s="54">
        <v>0</v>
      </c>
      <c r="K407" s="56">
        <f t="shared" si="20"/>
        <v>16978155135.376101</v>
      </c>
      <c r="L407" s="60">
        <v>0</v>
      </c>
      <c r="M407" s="69"/>
      <c r="O407" s="38" t="str">
        <f>IF([1]totrevprm!O408="","",[1]totrevprm!O408)</f>
        <v/>
      </c>
      <c r="P407" s="35">
        <v>1064715033.1709826</v>
      </c>
      <c r="Q407" s="35">
        <v>264725168.39075872</v>
      </c>
      <c r="V407" s="38"/>
      <c r="W407" s="58"/>
      <c r="X407" s="58"/>
      <c r="Y407" s="58"/>
      <c r="Z407" s="58"/>
    </row>
    <row r="408" spans="1:26" ht="12.6" customHeight="1">
      <c r="A408" s="50" t="s">
        <v>27</v>
      </c>
      <c r="B408" s="51" t="s">
        <v>417</v>
      </c>
      <c r="C408" s="52"/>
      <c r="D408" s="64">
        <v>2020</v>
      </c>
      <c r="E408" s="37">
        <v>5371228096</v>
      </c>
      <c r="F408" s="37">
        <v>5202453560</v>
      </c>
      <c r="G408" s="37">
        <v>13116483733</v>
      </c>
      <c r="H408" s="37">
        <v>637300402</v>
      </c>
      <c r="I408" s="55">
        <f t="shared" si="19"/>
        <v>24327465791</v>
      </c>
      <c r="J408" s="54">
        <v>0</v>
      </c>
      <c r="K408" s="56">
        <f t="shared" si="20"/>
        <v>24327465791</v>
      </c>
      <c r="L408" s="60">
        <v>0</v>
      </c>
      <c r="M408" s="69" t="s">
        <v>760</v>
      </c>
      <c r="N408" t="s">
        <v>708</v>
      </c>
      <c r="O408" s="38" t="str">
        <f>IF([1]totrevprm!O409="","",[1]totrevprm!O409)</f>
        <v>Yes</v>
      </c>
      <c r="P408" s="35">
        <v>966178482</v>
      </c>
      <c r="Q408" s="35">
        <v>258475016</v>
      </c>
      <c r="V408" s="38"/>
      <c r="W408" s="58"/>
      <c r="X408" s="58"/>
      <c r="Y408" s="58"/>
      <c r="Z408" s="58"/>
    </row>
    <row r="409" spans="1:26">
      <c r="A409" s="50" t="s">
        <v>27</v>
      </c>
      <c r="B409" s="51" t="s">
        <v>417</v>
      </c>
      <c r="C409" s="52"/>
      <c r="D409" s="64">
        <v>2021</v>
      </c>
      <c r="E409" s="37">
        <v>5703153016</v>
      </c>
      <c r="F409" s="37">
        <v>6431084866</v>
      </c>
      <c r="G409" s="37">
        <v>14078935003.639999</v>
      </c>
      <c r="H409" s="37">
        <v>115948729</v>
      </c>
      <c r="I409" s="55">
        <f t="shared" si="19"/>
        <v>26329121614.639999</v>
      </c>
      <c r="J409" s="54">
        <v>0</v>
      </c>
      <c r="K409" s="56">
        <f t="shared" si="20"/>
        <v>26329121614.639999</v>
      </c>
      <c r="L409" s="60">
        <v>0</v>
      </c>
      <c r="M409" s="69" t="s">
        <v>739</v>
      </c>
      <c r="N409" t="s">
        <v>708</v>
      </c>
      <c r="O409" s="38"/>
      <c r="P409" s="35">
        <v>920625735.63999999</v>
      </c>
      <c r="Q409" s="35">
        <v>311860646</v>
      </c>
      <c r="V409" s="38"/>
      <c r="W409" s="58"/>
      <c r="X409" s="58"/>
      <c r="Y409" s="58"/>
      <c r="Z409" s="58"/>
    </row>
    <row r="410" spans="1:26">
      <c r="A410" s="50" t="s">
        <v>27</v>
      </c>
      <c r="B410" s="51" t="s">
        <v>417</v>
      </c>
      <c r="C410" s="52"/>
      <c r="D410" s="64">
        <v>2022</v>
      </c>
      <c r="E410" s="37">
        <v>5648308212</v>
      </c>
      <c r="F410" s="37">
        <v>8130853724</v>
      </c>
      <c r="G410" s="37">
        <v>14774362918</v>
      </c>
      <c r="H410" s="37">
        <v>141695982</v>
      </c>
      <c r="I410" s="55">
        <f t="shared" si="19"/>
        <v>28695220836</v>
      </c>
      <c r="J410" s="54">
        <v>0</v>
      </c>
      <c r="K410" s="56">
        <f t="shared" si="20"/>
        <v>28695220836</v>
      </c>
      <c r="L410" s="60">
        <v>0</v>
      </c>
      <c r="M410" s="69" t="s">
        <v>739</v>
      </c>
      <c r="N410" t="s">
        <v>708</v>
      </c>
      <c r="O410" s="38"/>
      <c r="P410" s="60">
        <v>1003183769</v>
      </c>
      <c r="Q410" s="60">
        <v>279034517</v>
      </c>
      <c r="V410" s="38"/>
      <c r="W410" s="58"/>
      <c r="X410" s="58"/>
      <c r="Y410" s="58"/>
      <c r="Z410" s="58"/>
    </row>
    <row r="411" spans="1:26">
      <c r="A411" s="50" t="s">
        <v>27</v>
      </c>
      <c r="B411" s="51" t="s">
        <v>417</v>
      </c>
      <c r="C411" s="52"/>
      <c r="D411" s="53">
        <v>2023</v>
      </c>
      <c r="E411" s="37">
        <v>5845460401</v>
      </c>
      <c r="F411" s="37">
        <v>9260909116.1945</v>
      </c>
      <c r="G411" s="37">
        <v>16159636216.8929</v>
      </c>
      <c r="H411" s="37">
        <v>149185911</v>
      </c>
      <c r="I411" s="55">
        <f t="shared" si="19"/>
        <v>31415191645.087402</v>
      </c>
      <c r="J411" s="54">
        <v>0</v>
      </c>
      <c r="K411" s="56">
        <f t="shared" si="20"/>
        <v>31415191645.087402</v>
      </c>
      <c r="L411" s="37">
        <v>0</v>
      </c>
      <c r="M411" s="69" t="s">
        <v>739</v>
      </c>
      <c r="O411" s="38"/>
      <c r="P411" s="60">
        <v>1067743990.66</v>
      </c>
      <c r="Q411" s="60">
        <v>280643922</v>
      </c>
      <c r="V411" s="38"/>
      <c r="W411" s="58"/>
      <c r="X411" s="58"/>
      <c r="Y411" s="58"/>
      <c r="Z411" s="58"/>
    </row>
    <row r="412" spans="1:26">
      <c r="A412" s="50"/>
      <c r="B412" s="52"/>
      <c r="C412" s="52"/>
      <c r="E412" s="54"/>
      <c r="F412" s="54"/>
      <c r="G412" s="54"/>
      <c r="H412" s="54"/>
      <c r="I412" s="55"/>
      <c r="K412" s="65"/>
      <c r="L412" s="37"/>
      <c r="M412" s="69"/>
      <c r="O412" s="38"/>
    </row>
    <row r="413" spans="1:26">
      <c r="A413" s="50" t="s">
        <v>29</v>
      </c>
      <c r="B413" s="51" t="s">
        <v>530</v>
      </c>
      <c r="C413" s="52" t="s">
        <v>730</v>
      </c>
      <c r="D413" s="53">
        <v>1988</v>
      </c>
      <c r="E413" s="54">
        <v>292686064</v>
      </c>
      <c r="F413" s="54">
        <v>222200416</v>
      </c>
      <c r="G413" s="54">
        <v>119228811</v>
      </c>
      <c r="H413" s="54">
        <v>0</v>
      </c>
      <c r="I413" s="55">
        <f t="shared" si="19"/>
        <v>634115291</v>
      </c>
      <c r="J413" s="54">
        <v>-509273</v>
      </c>
      <c r="K413" s="56">
        <f>SUM(I413:J413)</f>
        <v>633606018</v>
      </c>
      <c r="L413" s="37">
        <v>0</v>
      </c>
      <c r="M413" s="69"/>
      <c r="O413" s="38" t="str">
        <f>IF([1]totrevprm!O414="","",[1]totrevprm!O414)</f>
        <v/>
      </c>
    </row>
    <row r="414" spans="1:26">
      <c r="A414" s="50" t="s">
        <v>29</v>
      </c>
      <c r="B414" s="51" t="s">
        <v>530</v>
      </c>
      <c r="C414" s="52" t="s">
        <v>731</v>
      </c>
      <c r="D414" s="53">
        <v>1989</v>
      </c>
      <c r="E414" s="54">
        <v>271467846</v>
      </c>
      <c r="F414" s="54">
        <v>293377869</v>
      </c>
      <c r="G414" s="54">
        <v>125767114</v>
      </c>
      <c r="H414" s="54">
        <v>0</v>
      </c>
      <c r="I414" s="55">
        <f t="shared" si="19"/>
        <v>690612829</v>
      </c>
      <c r="J414" s="54">
        <v>-4304714</v>
      </c>
      <c r="K414" s="56">
        <f t="shared" ref="K414:K448" si="21">SUM(I414:J414)</f>
        <v>686308115</v>
      </c>
      <c r="L414" s="37">
        <v>0</v>
      </c>
      <c r="M414" s="69"/>
      <c r="O414" s="38" t="str">
        <f>IF([1]totrevprm!O415="","",[1]totrevprm!O415)</f>
        <v/>
      </c>
    </row>
    <row r="415" spans="1:26">
      <c r="A415" s="50" t="s">
        <v>29</v>
      </c>
      <c r="B415" s="51" t="s">
        <v>530</v>
      </c>
      <c r="C415" s="52" t="s">
        <v>731</v>
      </c>
      <c r="D415" s="53">
        <v>1990</v>
      </c>
      <c r="E415" s="54">
        <v>307921019</v>
      </c>
      <c r="F415" s="54">
        <v>385024537.83999997</v>
      </c>
      <c r="G415" s="54">
        <v>130123595</v>
      </c>
      <c r="H415" s="54">
        <v>0</v>
      </c>
      <c r="I415" s="55">
        <f t="shared" si="19"/>
        <v>823069151.83999991</v>
      </c>
      <c r="J415" s="54">
        <v>-1219417</v>
      </c>
      <c r="K415" s="56">
        <f t="shared" si="21"/>
        <v>821849734.83999991</v>
      </c>
      <c r="L415" s="37">
        <v>0</v>
      </c>
      <c r="M415" s="69"/>
      <c r="O415" s="38" t="str">
        <f>IF([1]totrevprm!O416="","",[1]totrevprm!O416)</f>
        <v/>
      </c>
    </row>
    <row r="416" spans="1:26">
      <c r="A416" s="50" t="s">
        <v>29</v>
      </c>
      <c r="B416" s="51" t="s">
        <v>530</v>
      </c>
      <c r="C416" s="52" t="s">
        <v>731</v>
      </c>
      <c r="D416" s="53">
        <v>1991</v>
      </c>
      <c r="E416" s="54">
        <v>339685365</v>
      </c>
      <c r="F416" s="54">
        <v>291514770</v>
      </c>
      <c r="G416" s="54">
        <v>138284159</v>
      </c>
      <c r="H416" s="54">
        <v>0</v>
      </c>
      <c r="I416" s="55">
        <f t="shared" si="19"/>
        <v>769484294</v>
      </c>
      <c r="J416" s="54">
        <v>-119347</v>
      </c>
      <c r="K416" s="56">
        <f t="shared" si="21"/>
        <v>769364947</v>
      </c>
      <c r="L416" s="37">
        <v>0</v>
      </c>
      <c r="M416" s="69"/>
      <c r="O416" s="38" t="str">
        <f>IF([1]totrevprm!O417="","",[1]totrevprm!O417)</f>
        <v/>
      </c>
    </row>
    <row r="417" spans="1:26">
      <c r="A417" s="50" t="s">
        <v>29</v>
      </c>
      <c r="B417" s="51" t="s">
        <v>530</v>
      </c>
      <c r="C417" s="52" t="s">
        <v>731</v>
      </c>
      <c r="D417" s="53">
        <v>1992</v>
      </c>
      <c r="E417" s="54">
        <v>350257420</v>
      </c>
      <c r="F417" s="54">
        <v>308282151.60000002</v>
      </c>
      <c r="G417" s="54">
        <v>148633372</v>
      </c>
      <c r="H417" s="54">
        <v>0</v>
      </c>
      <c r="I417" s="55">
        <f t="shared" si="19"/>
        <v>807172943.60000002</v>
      </c>
      <c r="J417" s="54">
        <v>-23529</v>
      </c>
      <c r="K417" s="56">
        <f t="shared" si="21"/>
        <v>807149414.60000002</v>
      </c>
      <c r="L417" s="37">
        <v>0</v>
      </c>
      <c r="M417" s="69"/>
      <c r="O417" s="38" t="str">
        <f>IF([1]totrevprm!O418="","",[1]totrevprm!O418)</f>
        <v/>
      </c>
    </row>
    <row r="418" spans="1:26">
      <c r="A418" s="50" t="s">
        <v>29</v>
      </c>
      <c r="B418" s="51" t="s">
        <v>530</v>
      </c>
      <c r="C418" s="52" t="s">
        <v>731</v>
      </c>
      <c r="D418" s="53">
        <v>1993</v>
      </c>
      <c r="E418" s="54">
        <v>352932662</v>
      </c>
      <c r="F418" s="54">
        <v>256075180</v>
      </c>
      <c r="G418" s="54">
        <v>153389324</v>
      </c>
      <c r="H418" s="54">
        <v>0</v>
      </c>
      <c r="I418" s="55">
        <f t="shared" si="19"/>
        <v>762397166</v>
      </c>
      <c r="J418" s="54">
        <v>-5782</v>
      </c>
      <c r="K418" s="56">
        <f t="shared" si="21"/>
        <v>762391384</v>
      </c>
      <c r="L418" s="37">
        <v>0</v>
      </c>
      <c r="M418" s="69"/>
      <c r="O418" s="38" t="str">
        <f>IF([1]totrevprm!O419="","",[1]totrevprm!O419)</f>
        <v/>
      </c>
    </row>
    <row r="419" spans="1:26">
      <c r="A419" s="50" t="s">
        <v>29</v>
      </c>
      <c r="B419" s="51" t="s">
        <v>530</v>
      </c>
      <c r="C419" s="52" t="s">
        <v>731</v>
      </c>
      <c r="D419" s="53">
        <v>1994</v>
      </c>
      <c r="E419" s="54">
        <v>376354138</v>
      </c>
      <c r="F419" s="54">
        <v>387647554</v>
      </c>
      <c r="G419" s="54">
        <v>157065300</v>
      </c>
      <c r="H419" s="54">
        <v>0</v>
      </c>
      <c r="I419" s="55">
        <f t="shared" si="19"/>
        <v>921066992</v>
      </c>
      <c r="J419" s="54">
        <v>-26594</v>
      </c>
      <c r="K419" s="56">
        <f t="shared" si="21"/>
        <v>921040398</v>
      </c>
      <c r="L419" s="37">
        <v>0</v>
      </c>
      <c r="M419" s="69"/>
      <c r="O419" s="38" t="str">
        <f>IF([1]totrevprm!O420="","",[1]totrevprm!O420)</f>
        <v/>
      </c>
    </row>
    <row r="420" spans="1:26">
      <c r="A420" s="50" t="s">
        <v>29</v>
      </c>
      <c r="B420" s="51" t="s">
        <v>530</v>
      </c>
      <c r="C420" s="52" t="s">
        <v>731</v>
      </c>
      <c r="D420" s="53">
        <v>1995</v>
      </c>
      <c r="E420" s="54">
        <v>459545008</v>
      </c>
      <c r="F420" s="54">
        <v>384824639</v>
      </c>
      <c r="G420" s="54">
        <v>158199562</v>
      </c>
      <c r="H420" s="54">
        <v>0</v>
      </c>
      <c r="I420" s="55">
        <f t="shared" si="19"/>
        <v>1002569209</v>
      </c>
      <c r="J420" s="54">
        <v>-5</v>
      </c>
      <c r="K420" s="56">
        <f t="shared" si="21"/>
        <v>1002569204</v>
      </c>
      <c r="L420" s="37">
        <v>0</v>
      </c>
      <c r="M420" s="69"/>
      <c r="O420" s="38" t="str">
        <f>IF([1]totrevprm!O421="","",[1]totrevprm!O421)</f>
        <v/>
      </c>
    </row>
    <row r="421" spans="1:26">
      <c r="A421" s="50" t="s">
        <v>29</v>
      </c>
      <c r="B421" s="51" t="s">
        <v>530</v>
      </c>
      <c r="C421" s="52" t="s">
        <v>731</v>
      </c>
      <c r="D421" s="53">
        <v>1996</v>
      </c>
      <c r="E421" s="54">
        <v>413233413</v>
      </c>
      <c r="F421" s="54">
        <v>489260313</v>
      </c>
      <c r="G421" s="54">
        <v>175717710</v>
      </c>
      <c r="H421" s="54">
        <v>0</v>
      </c>
      <c r="I421" s="55">
        <f t="shared" si="19"/>
        <v>1078211436</v>
      </c>
      <c r="J421" s="54">
        <v>-2</v>
      </c>
      <c r="K421" s="56">
        <f t="shared" si="21"/>
        <v>1078211434</v>
      </c>
      <c r="L421" s="37">
        <v>0</v>
      </c>
      <c r="M421" s="69"/>
      <c r="O421" s="38" t="str">
        <f>IF([1]totrevprm!O422="","",[1]totrevprm!O422)</f>
        <v/>
      </c>
    </row>
    <row r="422" spans="1:26">
      <c r="A422" s="50" t="s">
        <v>29</v>
      </c>
      <c r="B422" s="51" t="s">
        <v>530</v>
      </c>
      <c r="C422" s="52" t="s">
        <v>731</v>
      </c>
      <c r="D422" s="53">
        <v>1997</v>
      </c>
      <c r="E422" s="54">
        <v>446611937</v>
      </c>
      <c r="F422" s="54">
        <v>357280503</v>
      </c>
      <c r="G422" s="54">
        <v>175447406</v>
      </c>
      <c r="H422" s="54">
        <v>0</v>
      </c>
      <c r="I422" s="55">
        <f t="shared" si="19"/>
        <v>979339846</v>
      </c>
      <c r="J422" s="54">
        <v>-6</v>
      </c>
      <c r="K422" s="56">
        <f t="shared" si="21"/>
        <v>979339840</v>
      </c>
      <c r="L422" s="37">
        <v>0</v>
      </c>
      <c r="M422" s="69"/>
      <c r="O422" s="38" t="str">
        <f>IF([1]totrevprm!O423="","",[1]totrevprm!O423)</f>
        <v/>
      </c>
    </row>
    <row r="423" spans="1:26">
      <c r="A423" s="50" t="s">
        <v>29</v>
      </c>
      <c r="B423" s="51" t="s">
        <v>530</v>
      </c>
      <c r="C423" s="52" t="s">
        <v>731</v>
      </c>
      <c r="D423" s="53">
        <v>1998</v>
      </c>
      <c r="E423" s="54">
        <v>413901881</v>
      </c>
      <c r="F423" s="54">
        <v>413338303</v>
      </c>
      <c r="G423" s="54">
        <v>170690538</v>
      </c>
      <c r="H423" s="54">
        <v>0</v>
      </c>
      <c r="I423" s="55">
        <f t="shared" si="19"/>
        <v>997930722</v>
      </c>
      <c r="J423" s="54">
        <v>-613711</v>
      </c>
      <c r="K423" s="56">
        <f t="shared" si="21"/>
        <v>997317011</v>
      </c>
      <c r="L423" s="37">
        <v>0</v>
      </c>
      <c r="M423" s="69"/>
      <c r="O423" s="38" t="str">
        <f>IF([1]totrevprm!O424="","",[1]totrevprm!O424)</f>
        <v/>
      </c>
    </row>
    <row r="424" spans="1:26">
      <c r="A424" s="50" t="s">
        <v>29</v>
      </c>
      <c r="B424" s="51" t="s">
        <v>530</v>
      </c>
      <c r="C424" s="52" t="s">
        <v>731</v>
      </c>
      <c r="D424" s="53">
        <v>1999</v>
      </c>
      <c r="E424" s="54">
        <v>437280519</v>
      </c>
      <c r="F424" s="54">
        <v>438396889</v>
      </c>
      <c r="G424" s="54">
        <v>182601407</v>
      </c>
      <c r="H424" s="54">
        <v>0</v>
      </c>
      <c r="I424" s="55">
        <f t="shared" si="19"/>
        <v>1058278815</v>
      </c>
      <c r="J424" s="54">
        <v>-4</v>
      </c>
      <c r="K424" s="56">
        <f t="shared" si="21"/>
        <v>1058278811</v>
      </c>
      <c r="L424" s="37">
        <v>0</v>
      </c>
      <c r="M424" s="69"/>
      <c r="O424" s="38" t="str">
        <f>IF([1]totrevprm!O425="","",[1]totrevprm!O425)</f>
        <v/>
      </c>
    </row>
    <row r="425" spans="1:26">
      <c r="A425" s="50" t="s">
        <v>29</v>
      </c>
      <c r="B425" s="51" t="s">
        <v>530</v>
      </c>
      <c r="C425" s="52" t="s">
        <v>731</v>
      </c>
      <c r="D425" s="53">
        <v>2000</v>
      </c>
      <c r="E425" s="54">
        <v>514076764</v>
      </c>
      <c r="F425" s="54">
        <v>567135516</v>
      </c>
      <c r="G425" s="54">
        <v>201211269</v>
      </c>
      <c r="H425" s="54">
        <v>0</v>
      </c>
      <c r="I425" s="55">
        <f t="shared" si="19"/>
        <v>1282423549</v>
      </c>
      <c r="J425" s="54">
        <v>-1092002</v>
      </c>
      <c r="K425" s="56">
        <f t="shared" si="21"/>
        <v>1281331547</v>
      </c>
      <c r="L425" s="37">
        <v>0</v>
      </c>
      <c r="M425" s="69"/>
      <c r="O425" s="38" t="str">
        <f>IF([1]totrevprm!O426="","",[1]totrevprm!O426)</f>
        <v/>
      </c>
      <c r="V425" s="38" t="s">
        <v>530</v>
      </c>
      <c r="W425" s="58">
        <v>406135</v>
      </c>
      <c r="X425" s="58">
        <v>6960488</v>
      </c>
      <c r="Y425" s="58">
        <v>2863254</v>
      </c>
      <c r="Z425" s="58">
        <v>0</v>
      </c>
    </row>
    <row r="426" spans="1:26">
      <c r="A426" s="50" t="s">
        <v>29</v>
      </c>
      <c r="B426" s="51" t="s">
        <v>530</v>
      </c>
      <c r="C426" s="52" t="s">
        <v>731</v>
      </c>
      <c r="D426" s="53">
        <v>2001</v>
      </c>
      <c r="E426" s="54">
        <v>393712531</v>
      </c>
      <c r="F426" s="54">
        <v>624528133</v>
      </c>
      <c r="G426" s="54">
        <v>208532835</v>
      </c>
      <c r="H426" s="54">
        <v>0</v>
      </c>
      <c r="I426" s="55">
        <f t="shared" si="19"/>
        <v>1226773499</v>
      </c>
      <c r="J426" s="54">
        <v>-121106</v>
      </c>
      <c r="K426" s="56">
        <f t="shared" si="21"/>
        <v>1226652393</v>
      </c>
      <c r="L426" s="37">
        <v>0</v>
      </c>
      <c r="M426" s="69"/>
      <c r="O426" s="38" t="str">
        <f>IF([1]totrevprm!O427="","",[1]totrevprm!O427)</f>
        <v/>
      </c>
      <c r="V426" s="38"/>
      <c r="W426" s="58"/>
      <c r="X426" s="58"/>
      <c r="Y426" s="58"/>
      <c r="Z426" s="58"/>
    </row>
    <row r="427" spans="1:26">
      <c r="A427" s="50" t="s">
        <v>29</v>
      </c>
      <c r="B427" s="51" t="s">
        <v>530</v>
      </c>
      <c r="C427" s="52" t="s">
        <v>731</v>
      </c>
      <c r="D427" s="53">
        <v>2002</v>
      </c>
      <c r="E427" s="54">
        <v>474929610</v>
      </c>
      <c r="F427" s="54">
        <v>829282949</v>
      </c>
      <c r="G427" s="54">
        <v>224955478</v>
      </c>
      <c r="H427" s="54">
        <v>0</v>
      </c>
      <c r="I427" s="55">
        <f t="shared" si="19"/>
        <v>1529168037</v>
      </c>
      <c r="J427" s="54">
        <v>-3550</v>
      </c>
      <c r="K427" s="56">
        <f t="shared" si="21"/>
        <v>1529164487</v>
      </c>
      <c r="L427" s="37">
        <v>0</v>
      </c>
      <c r="M427" s="69"/>
      <c r="O427" s="38" t="str">
        <f>IF([1]totrevprm!O428="","",[1]totrevprm!O428)</f>
        <v/>
      </c>
      <c r="V427" s="38"/>
      <c r="W427" s="58"/>
      <c r="X427" s="58"/>
      <c r="Y427" s="58"/>
      <c r="Z427" s="58"/>
    </row>
    <row r="428" spans="1:26">
      <c r="A428" s="50" t="s">
        <v>29</v>
      </c>
      <c r="B428" s="51" t="s">
        <v>530</v>
      </c>
      <c r="C428" s="52" t="s">
        <v>731</v>
      </c>
      <c r="D428" s="53">
        <v>2003</v>
      </c>
      <c r="E428" s="59">
        <v>521909669</v>
      </c>
      <c r="F428" s="59">
        <v>797316118</v>
      </c>
      <c r="G428" s="59">
        <v>234767150</v>
      </c>
      <c r="H428" s="54">
        <v>0</v>
      </c>
      <c r="I428" s="55">
        <f t="shared" ref="I428:I491" si="22">SUM(E428:H428)</f>
        <v>1553992937</v>
      </c>
      <c r="J428" s="54">
        <v>-23732</v>
      </c>
      <c r="K428" s="56">
        <f t="shared" si="21"/>
        <v>1553969205</v>
      </c>
      <c r="L428" s="37">
        <v>0</v>
      </c>
      <c r="M428" s="69"/>
      <c r="O428" s="38" t="str">
        <f>IF([1]totrevprm!O429="","",[1]totrevprm!O429)</f>
        <v/>
      </c>
      <c r="V428" s="38"/>
      <c r="W428" s="58"/>
      <c r="X428" s="58"/>
      <c r="Y428" s="58"/>
      <c r="Z428" s="58"/>
    </row>
    <row r="429" spans="1:26">
      <c r="A429" s="50" t="s">
        <v>29</v>
      </c>
      <c r="B429" s="51" t="s">
        <v>530</v>
      </c>
      <c r="C429" s="52" t="s">
        <v>731</v>
      </c>
      <c r="D429" s="53">
        <v>2004</v>
      </c>
      <c r="E429" s="59">
        <v>469416393</v>
      </c>
      <c r="F429" s="59">
        <v>704378484</v>
      </c>
      <c r="G429" s="59">
        <v>250783994</v>
      </c>
      <c r="H429" s="54">
        <v>0</v>
      </c>
      <c r="I429" s="55">
        <f t="shared" si="22"/>
        <v>1424578871</v>
      </c>
      <c r="J429" s="54">
        <v>-1532</v>
      </c>
      <c r="K429" s="56">
        <f t="shared" si="21"/>
        <v>1424577339</v>
      </c>
      <c r="L429" s="37">
        <v>0</v>
      </c>
      <c r="M429" s="69"/>
      <c r="O429" s="38" t="str">
        <f>IF([1]totrevprm!O430="","",[1]totrevprm!O430)</f>
        <v/>
      </c>
      <c r="V429" s="38"/>
      <c r="W429" s="58"/>
      <c r="X429" s="58"/>
      <c r="Y429" s="58"/>
      <c r="Z429" s="58"/>
    </row>
    <row r="430" spans="1:26">
      <c r="A430" s="50" t="s">
        <v>29</v>
      </c>
      <c r="B430" s="51" t="s">
        <v>530</v>
      </c>
      <c r="C430" s="52"/>
      <c r="D430" s="53">
        <v>2005</v>
      </c>
      <c r="E430" s="59">
        <v>497219236</v>
      </c>
      <c r="F430" s="59">
        <v>692529159</v>
      </c>
      <c r="G430" s="59">
        <v>265357425.329999</v>
      </c>
      <c r="H430" s="54">
        <v>0</v>
      </c>
      <c r="I430" s="55">
        <f t="shared" si="22"/>
        <v>1455105820.329999</v>
      </c>
      <c r="J430" s="54">
        <v>-2</v>
      </c>
      <c r="K430" s="56">
        <f t="shared" si="21"/>
        <v>1455105818.329999</v>
      </c>
      <c r="L430" s="37">
        <v>0</v>
      </c>
      <c r="M430" s="69"/>
      <c r="O430" s="38" t="str">
        <f>IF([1]totrevprm!O431="","",[1]totrevprm!O431)</f>
        <v/>
      </c>
      <c r="V430" s="38"/>
      <c r="W430" s="58"/>
      <c r="X430" s="58"/>
      <c r="Y430" s="58"/>
      <c r="Z430" s="58"/>
    </row>
    <row r="431" spans="1:26">
      <c r="A431" s="50" t="s">
        <v>29</v>
      </c>
      <c r="B431" s="51" t="s">
        <v>530</v>
      </c>
      <c r="C431" s="52"/>
      <c r="D431" s="53">
        <v>2006</v>
      </c>
      <c r="E431" s="37">
        <v>510463157</v>
      </c>
      <c r="F431" s="37">
        <v>838750531</v>
      </c>
      <c r="G431" s="37">
        <v>338469824</v>
      </c>
      <c r="H431" s="37">
        <v>0</v>
      </c>
      <c r="I431" s="55">
        <f t="shared" si="22"/>
        <v>1687683512</v>
      </c>
      <c r="J431" s="54">
        <v>-998286</v>
      </c>
      <c r="K431" s="56">
        <f t="shared" si="21"/>
        <v>1686685226</v>
      </c>
      <c r="L431" s="37">
        <v>0</v>
      </c>
      <c r="M431" s="69"/>
      <c r="O431" s="38" t="str">
        <f>IF([1]totrevprm!O432="","",[1]totrevprm!O432)</f>
        <v/>
      </c>
      <c r="V431" s="38"/>
      <c r="W431" s="58"/>
      <c r="X431" s="58"/>
      <c r="Y431" s="58"/>
      <c r="Z431" s="58"/>
    </row>
    <row r="432" spans="1:26">
      <c r="A432" s="50" t="s">
        <v>29</v>
      </c>
      <c r="B432" s="51" t="s">
        <v>530</v>
      </c>
      <c r="C432" s="52"/>
      <c r="D432" s="53">
        <v>2007</v>
      </c>
      <c r="E432" s="37">
        <v>505107454</v>
      </c>
      <c r="F432" s="37">
        <v>842533842</v>
      </c>
      <c r="G432" s="37">
        <v>402081140</v>
      </c>
      <c r="H432" s="37">
        <v>0</v>
      </c>
      <c r="I432" s="55">
        <f t="shared" si="22"/>
        <v>1749722436</v>
      </c>
      <c r="J432" s="54">
        <v>-4</v>
      </c>
      <c r="K432" s="56">
        <f t="shared" si="21"/>
        <v>1749722432</v>
      </c>
      <c r="L432" s="37">
        <v>0</v>
      </c>
      <c r="M432" s="69"/>
      <c r="O432" s="38" t="str">
        <f>IF([1]totrevprm!O433="","",[1]totrevprm!O433)</f>
        <v/>
      </c>
      <c r="V432" s="38"/>
      <c r="W432" s="58"/>
      <c r="X432" s="58"/>
      <c r="Y432" s="58"/>
      <c r="Z432" s="58"/>
    </row>
    <row r="433" spans="1:26">
      <c r="A433" s="50" t="s">
        <v>29</v>
      </c>
      <c r="B433" s="51" t="s">
        <v>530</v>
      </c>
      <c r="C433" s="52"/>
      <c r="D433" s="53">
        <v>2008</v>
      </c>
      <c r="E433" s="37">
        <v>604155199</v>
      </c>
      <c r="F433" s="37">
        <v>1098537973</v>
      </c>
      <c r="G433" s="37">
        <v>454006775</v>
      </c>
      <c r="H433" s="37">
        <v>0</v>
      </c>
      <c r="I433" s="55">
        <f t="shared" si="22"/>
        <v>2156699947</v>
      </c>
      <c r="J433" s="54">
        <v>0</v>
      </c>
      <c r="K433" s="56">
        <f t="shared" si="21"/>
        <v>2156699947</v>
      </c>
      <c r="L433" s="37">
        <v>0</v>
      </c>
      <c r="M433" s="69"/>
      <c r="O433" s="38" t="str">
        <f>IF([1]totrevprm!O434="","",[1]totrevprm!O434)</f>
        <v/>
      </c>
      <c r="V433" s="38"/>
      <c r="W433" s="58"/>
      <c r="X433" s="58"/>
      <c r="Y433" s="58"/>
      <c r="Z433" s="58"/>
    </row>
    <row r="434" spans="1:26">
      <c r="A434" s="50" t="s">
        <v>29</v>
      </c>
      <c r="B434" s="51" t="s">
        <v>530</v>
      </c>
      <c r="C434" s="52"/>
      <c r="D434" s="53">
        <v>2009</v>
      </c>
      <c r="E434" s="37">
        <v>612444475</v>
      </c>
      <c r="F434" s="37">
        <v>980409275</v>
      </c>
      <c r="G434" s="37">
        <v>977121609</v>
      </c>
      <c r="H434" s="37">
        <v>0</v>
      </c>
      <c r="I434" s="55">
        <f t="shared" si="22"/>
        <v>2569975359</v>
      </c>
      <c r="J434" s="54">
        <v>-162433</v>
      </c>
      <c r="K434" s="56">
        <f t="shared" si="21"/>
        <v>2569812926</v>
      </c>
      <c r="L434" s="37">
        <v>0</v>
      </c>
      <c r="M434" s="69"/>
      <c r="O434" s="38" t="str">
        <f>IF([1]totrevprm!O435="","",[1]totrevprm!O435)</f>
        <v/>
      </c>
      <c r="V434" s="38"/>
      <c r="W434" s="58"/>
      <c r="X434" s="58"/>
      <c r="Y434" s="58"/>
      <c r="Z434" s="58"/>
    </row>
    <row r="435" spans="1:26">
      <c r="A435" s="50" t="s">
        <v>29</v>
      </c>
      <c r="B435" s="51" t="s">
        <v>530</v>
      </c>
      <c r="C435" s="52"/>
      <c r="D435" s="53">
        <v>2010</v>
      </c>
      <c r="E435" s="37">
        <v>633237335</v>
      </c>
      <c r="F435" s="37">
        <v>810659609</v>
      </c>
      <c r="G435" s="37">
        <v>1186022784</v>
      </c>
      <c r="H435" s="37">
        <v>0</v>
      </c>
      <c r="I435" s="55">
        <f t="shared" si="22"/>
        <v>2629919728</v>
      </c>
      <c r="J435" s="54">
        <v>-47291</v>
      </c>
      <c r="K435" s="56">
        <f t="shared" si="21"/>
        <v>2629872437</v>
      </c>
      <c r="L435" s="37">
        <v>0</v>
      </c>
      <c r="M435" s="69"/>
      <c r="O435" s="38" t="str">
        <f>IF([1]totrevprm!O436="","",[1]totrevprm!O436)</f>
        <v/>
      </c>
      <c r="V435" s="38"/>
      <c r="W435" s="58"/>
      <c r="X435" s="58"/>
      <c r="Y435" s="58"/>
      <c r="Z435" s="58"/>
    </row>
    <row r="436" spans="1:26">
      <c r="A436" s="50" t="s">
        <v>29</v>
      </c>
      <c r="B436" s="51" t="s">
        <v>530</v>
      </c>
      <c r="C436" s="52"/>
      <c r="D436" s="53">
        <v>2011</v>
      </c>
      <c r="E436" s="37">
        <v>643574500</v>
      </c>
      <c r="F436" s="37">
        <v>883326217</v>
      </c>
      <c r="G436" s="37">
        <v>866175548.40999997</v>
      </c>
      <c r="H436" s="37">
        <v>0</v>
      </c>
      <c r="I436" s="55">
        <f t="shared" si="22"/>
        <v>2393076265.4099998</v>
      </c>
      <c r="J436" s="54">
        <v>-46443</v>
      </c>
      <c r="K436" s="56">
        <f t="shared" si="21"/>
        <v>2393029822.4099998</v>
      </c>
      <c r="L436" s="37">
        <v>0</v>
      </c>
      <c r="M436" s="69"/>
      <c r="O436" s="38" t="str">
        <f>IF([1]totrevprm!O437="","",[1]totrevprm!O437)</f>
        <v/>
      </c>
      <c r="V436" s="38"/>
      <c r="W436" s="58"/>
      <c r="X436" s="58"/>
      <c r="Y436" s="58"/>
      <c r="Z436" s="58"/>
    </row>
    <row r="437" spans="1:26">
      <c r="A437" s="50" t="s">
        <v>29</v>
      </c>
      <c r="B437" s="51" t="s">
        <v>530</v>
      </c>
      <c r="C437" s="52"/>
      <c r="D437" s="53">
        <v>2012</v>
      </c>
      <c r="E437" s="37">
        <v>673101632</v>
      </c>
      <c r="F437" s="37">
        <v>873677574</v>
      </c>
      <c r="G437" s="37">
        <v>1132254241</v>
      </c>
      <c r="H437" s="37">
        <v>0</v>
      </c>
      <c r="I437" s="55">
        <f t="shared" si="22"/>
        <v>2679033447</v>
      </c>
      <c r="J437" s="54">
        <v>-43425</v>
      </c>
      <c r="K437" s="56">
        <f t="shared" si="21"/>
        <v>2678990022</v>
      </c>
      <c r="L437" s="37">
        <v>0</v>
      </c>
      <c r="M437" s="69"/>
      <c r="O437" s="38" t="str">
        <f>IF([1]totrevprm!O438="","",[1]totrevprm!O438)</f>
        <v/>
      </c>
      <c r="V437" s="38"/>
      <c r="W437" s="58"/>
      <c r="X437" s="58"/>
      <c r="Y437" s="58"/>
      <c r="Z437" s="58"/>
    </row>
    <row r="438" spans="1:26">
      <c r="A438" s="50" t="s">
        <v>29</v>
      </c>
      <c r="B438" s="51" t="s">
        <v>530</v>
      </c>
      <c r="C438" s="52"/>
      <c r="D438" s="53">
        <v>2013</v>
      </c>
      <c r="E438" s="37">
        <v>764845153</v>
      </c>
      <c r="F438" s="37">
        <v>867994635</v>
      </c>
      <c r="G438" s="37">
        <v>356693857</v>
      </c>
      <c r="H438" s="37">
        <v>0</v>
      </c>
      <c r="I438" s="55">
        <f t="shared" si="22"/>
        <v>1989533645</v>
      </c>
      <c r="J438" s="54">
        <v>-7</v>
      </c>
      <c r="K438" s="56">
        <f t="shared" si="21"/>
        <v>1989533638</v>
      </c>
      <c r="L438" s="37">
        <v>0</v>
      </c>
      <c r="M438" s="69"/>
      <c r="O438" s="38" t="str">
        <f>IF([1]totrevprm!O439="","",[1]totrevprm!O439)</f>
        <v/>
      </c>
      <c r="V438" s="38"/>
      <c r="W438" s="58"/>
      <c r="X438" s="58"/>
      <c r="Y438" s="58"/>
      <c r="Z438" s="58"/>
    </row>
    <row r="439" spans="1:26">
      <c r="A439" s="50" t="s">
        <v>29</v>
      </c>
      <c r="B439" s="51" t="s">
        <v>530</v>
      </c>
      <c r="C439" s="52"/>
      <c r="D439" s="64">
        <v>2014</v>
      </c>
      <c r="E439" s="37">
        <v>710122339</v>
      </c>
      <c r="F439" s="37">
        <v>879583941</v>
      </c>
      <c r="G439" s="37">
        <v>761524166</v>
      </c>
      <c r="H439" s="37">
        <v>0</v>
      </c>
      <c r="I439" s="55">
        <f t="shared" si="22"/>
        <v>2351230446</v>
      </c>
      <c r="J439" s="54">
        <v>-162</v>
      </c>
      <c r="K439" s="56">
        <f t="shared" si="21"/>
        <v>2351230284</v>
      </c>
      <c r="L439" s="37">
        <v>0</v>
      </c>
      <c r="M439" s="69"/>
      <c r="O439" s="38" t="str">
        <f>IF([1]totrevprm!O440="","",[1]totrevprm!O440)</f>
        <v/>
      </c>
      <c r="V439" s="38"/>
      <c r="W439" s="58"/>
      <c r="X439" s="58"/>
      <c r="Y439" s="58"/>
      <c r="Z439" s="58"/>
    </row>
    <row r="440" spans="1:26">
      <c r="A440" s="50" t="s">
        <v>29</v>
      </c>
      <c r="B440" s="51" t="s">
        <v>530</v>
      </c>
      <c r="C440" s="52"/>
      <c r="D440" s="64">
        <v>2015</v>
      </c>
      <c r="E440" s="37">
        <v>738433143</v>
      </c>
      <c r="F440" s="37">
        <v>932362585</v>
      </c>
      <c r="G440" s="37">
        <v>796656759</v>
      </c>
      <c r="H440" s="37">
        <v>0</v>
      </c>
      <c r="I440" s="55">
        <f t="shared" si="22"/>
        <v>2467452487</v>
      </c>
      <c r="J440" s="54">
        <v>-2</v>
      </c>
      <c r="K440" s="56">
        <f t="shared" si="21"/>
        <v>2467452485</v>
      </c>
      <c r="L440" s="37">
        <v>0</v>
      </c>
      <c r="M440" s="69"/>
      <c r="O440" s="38" t="str">
        <f>IF([1]totrevprm!O441="","",[1]totrevprm!O441)</f>
        <v/>
      </c>
      <c r="P440" s="35">
        <v>131549725.23096684</v>
      </c>
      <c r="Q440" s="35">
        <v>90530912.535820901</v>
      </c>
      <c r="V440" s="38"/>
      <c r="W440" s="58"/>
      <c r="X440" s="58"/>
      <c r="Y440" s="58"/>
      <c r="Z440" s="58"/>
    </row>
    <row r="441" spans="1:26">
      <c r="A441" s="50" t="s">
        <v>29</v>
      </c>
      <c r="B441" s="51" t="s">
        <v>530</v>
      </c>
      <c r="C441" s="52"/>
      <c r="D441" s="64">
        <v>2016</v>
      </c>
      <c r="E441" s="37">
        <v>758544807</v>
      </c>
      <c r="F441" s="37">
        <v>1004709940</v>
      </c>
      <c r="G441" s="37">
        <v>1302400685</v>
      </c>
      <c r="H441" s="37">
        <v>0</v>
      </c>
      <c r="I441" s="55">
        <f t="shared" si="22"/>
        <v>3065655432</v>
      </c>
      <c r="J441" s="54">
        <v>-1001</v>
      </c>
      <c r="K441" s="56">
        <f t="shared" si="21"/>
        <v>3065654431</v>
      </c>
      <c r="L441" s="37">
        <v>0</v>
      </c>
      <c r="M441" s="69"/>
      <c r="O441" s="38" t="str">
        <f>IF([1]totrevprm!O442="","",[1]totrevprm!O442)</f>
        <v/>
      </c>
      <c r="P441" s="35">
        <v>136863921.94889972</v>
      </c>
      <c r="Q441" s="35">
        <v>90985384.26729323</v>
      </c>
      <c r="V441" s="38"/>
      <c r="W441" s="58"/>
      <c r="X441" s="58"/>
      <c r="Y441" s="58"/>
      <c r="Z441" s="58"/>
    </row>
    <row r="442" spans="1:26">
      <c r="A442" s="50" t="s">
        <v>29</v>
      </c>
      <c r="B442" s="51" t="s">
        <v>530</v>
      </c>
      <c r="C442" s="52"/>
      <c r="D442" s="64">
        <v>2017</v>
      </c>
      <c r="E442" s="37">
        <v>813993595</v>
      </c>
      <c r="F442" s="37">
        <v>1149395029</v>
      </c>
      <c r="G442" s="37">
        <v>1386860854.3800001</v>
      </c>
      <c r="H442" s="37">
        <v>0</v>
      </c>
      <c r="I442" s="55">
        <f t="shared" si="22"/>
        <v>3350249478.3800001</v>
      </c>
      <c r="J442" s="54">
        <v>-1269</v>
      </c>
      <c r="K442" s="56">
        <f t="shared" si="21"/>
        <v>3350248209.3800001</v>
      </c>
      <c r="L442" s="37">
        <v>0</v>
      </c>
      <c r="M442" s="69"/>
      <c r="O442" s="38" t="str">
        <f>IF([1]totrevprm!O443="","",[1]totrevprm!O443)</f>
        <v/>
      </c>
      <c r="P442" s="35">
        <v>140971082.52991715</v>
      </c>
      <c r="Q442" s="35">
        <v>95809139.000236228</v>
      </c>
      <c r="V442" s="38"/>
      <c r="W442" s="58"/>
      <c r="X442" s="58"/>
      <c r="Y442" s="58"/>
      <c r="Z442" s="58"/>
    </row>
    <row r="443" spans="1:26">
      <c r="A443" s="50" t="s">
        <v>29</v>
      </c>
      <c r="B443" s="51" t="s">
        <v>530</v>
      </c>
      <c r="C443" s="52"/>
      <c r="D443" s="64">
        <v>2018</v>
      </c>
      <c r="E443" s="37">
        <v>877504905</v>
      </c>
      <c r="F443" s="37">
        <v>1290908774</v>
      </c>
      <c r="G443" s="37">
        <v>1332447860</v>
      </c>
      <c r="H443" s="37">
        <v>0</v>
      </c>
      <c r="I443" s="55">
        <f t="shared" si="22"/>
        <v>3500861539</v>
      </c>
      <c r="J443" s="54">
        <v>-1</v>
      </c>
      <c r="K443" s="56">
        <f t="shared" si="21"/>
        <v>3500861538</v>
      </c>
      <c r="L443" s="60">
        <v>0</v>
      </c>
      <c r="M443" s="69"/>
      <c r="O443" s="38" t="str">
        <f>IF([1]totrevprm!O444="","",[1]totrevprm!O444)</f>
        <v/>
      </c>
      <c r="P443" s="35">
        <v>141194941.31465024</v>
      </c>
      <c r="Q443" s="35">
        <v>123072685</v>
      </c>
      <c r="V443" s="38"/>
      <c r="W443" s="58"/>
      <c r="X443" s="58"/>
      <c r="Y443" s="58"/>
      <c r="Z443" s="58"/>
    </row>
    <row r="444" spans="1:26">
      <c r="A444" s="50" t="s">
        <v>29</v>
      </c>
      <c r="B444" s="51" t="s">
        <v>530</v>
      </c>
      <c r="C444" s="52"/>
      <c r="D444" s="64">
        <v>2019</v>
      </c>
      <c r="E444" s="37">
        <v>888542571</v>
      </c>
      <c r="F444" s="37">
        <v>1269025088</v>
      </c>
      <c r="G444" s="37">
        <v>1271344345</v>
      </c>
      <c r="H444" s="37">
        <v>0</v>
      </c>
      <c r="I444" s="55">
        <f t="shared" si="22"/>
        <v>3428912004</v>
      </c>
      <c r="J444" s="54">
        <v>-988550</v>
      </c>
      <c r="K444" s="56">
        <f t="shared" si="21"/>
        <v>3427923454</v>
      </c>
      <c r="L444" s="60">
        <v>0</v>
      </c>
      <c r="M444" s="69"/>
      <c r="O444" s="38" t="str">
        <f>IF([1]totrevprm!O445="","",[1]totrevprm!O445)</f>
        <v/>
      </c>
      <c r="P444" s="35">
        <v>144390554.01701161</v>
      </c>
      <c r="Q444" s="35">
        <v>91998331.719999999</v>
      </c>
      <c r="V444" s="38"/>
      <c r="W444" s="58"/>
      <c r="X444" s="58"/>
      <c r="Y444" s="58"/>
      <c r="Z444" s="58"/>
    </row>
    <row r="445" spans="1:26">
      <c r="A445" s="50" t="s">
        <v>29</v>
      </c>
      <c r="B445" s="51" t="s">
        <v>530</v>
      </c>
      <c r="C445" s="52"/>
      <c r="D445" s="64">
        <v>2020</v>
      </c>
      <c r="E445" s="37">
        <v>871404521</v>
      </c>
      <c r="F445" s="37">
        <v>1132153896</v>
      </c>
      <c r="G445" s="37">
        <v>1375259869</v>
      </c>
      <c r="H445" s="37">
        <v>0</v>
      </c>
      <c r="I445" s="55">
        <f t="shared" si="22"/>
        <v>3378818286</v>
      </c>
      <c r="J445" s="54">
        <v>-5748</v>
      </c>
      <c r="K445" s="56">
        <f t="shared" si="21"/>
        <v>3378812538</v>
      </c>
      <c r="L445" s="60">
        <v>0</v>
      </c>
      <c r="M445" s="69"/>
      <c r="O445" s="38" t="str">
        <f>IF([1]totrevprm!O446="","",[1]totrevprm!O446)</f>
        <v/>
      </c>
      <c r="P445" s="35">
        <v>131632775</v>
      </c>
      <c r="Q445" s="35">
        <v>92685920</v>
      </c>
      <c r="V445" s="38"/>
      <c r="W445" s="58"/>
      <c r="X445" s="58"/>
      <c r="Y445" s="58"/>
      <c r="Z445" s="58"/>
    </row>
    <row r="446" spans="1:26">
      <c r="A446" s="50" t="s">
        <v>29</v>
      </c>
      <c r="B446" s="51" t="s">
        <v>530</v>
      </c>
      <c r="C446" s="52"/>
      <c r="D446" s="64">
        <v>2021</v>
      </c>
      <c r="E446" s="37">
        <v>903911321</v>
      </c>
      <c r="F446" s="37">
        <v>1246436793</v>
      </c>
      <c r="G446" s="37">
        <v>1351332738</v>
      </c>
      <c r="H446" s="37">
        <v>0</v>
      </c>
      <c r="I446" s="55">
        <f t="shared" si="22"/>
        <v>3501680852</v>
      </c>
      <c r="J446" s="60">
        <v>-2</v>
      </c>
      <c r="K446" s="56">
        <f t="shared" si="21"/>
        <v>3501680850</v>
      </c>
      <c r="L446" s="60">
        <v>0</v>
      </c>
      <c r="M446" s="69"/>
      <c r="O446" s="38"/>
      <c r="P446" s="35">
        <v>129682551.49000001</v>
      </c>
      <c r="Q446" s="35">
        <v>100444343</v>
      </c>
      <c r="V446" s="38"/>
      <c r="W446" s="58"/>
      <c r="X446" s="58"/>
      <c r="Y446" s="58"/>
      <c r="Z446" s="58"/>
    </row>
    <row r="447" spans="1:26">
      <c r="A447" s="50" t="s">
        <v>29</v>
      </c>
      <c r="B447" s="51" t="s">
        <v>530</v>
      </c>
      <c r="C447" s="52"/>
      <c r="D447" s="64">
        <v>2022</v>
      </c>
      <c r="E447" s="37">
        <v>983357267</v>
      </c>
      <c r="F447" s="37">
        <v>1766929147</v>
      </c>
      <c r="G447" s="37">
        <v>1333303560</v>
      </c>
      <c r="H447" s="37">
        <v>0</v>
      </c>
      <c r="I447" s="55">
        <f t="shared" si="22"/>
        <v>4083589974</v>
      </c>
      <c r="J447" s="60">
        <v>-114794</v>
      </c>
      <c r="K447" s="56">
        <f t="shared" si="21"/>
        <v>4083475180</v>
      </c>
      <c r="L447" s="60">
        <v>0</v>
      </c>
      <c r="M447" s="69"/>
      <c r="O447" s="38"/>
      <c r="P447" s="60">
        <v>146273482</v>
      </c>
      <c r="Q447" s="60">
        <v>100571603</v>
      </c>
    </row>
    <row r="448" spans="1:26">
      <c r="A448" s="50" t="s">
        <v>29</v>
      </c>
      <c r="B448" s="51" t="s">
        <v>530</v>
      </c>
      <c r="C448" s="52"/>
      <c r="D448" s="53">
        <v>2023</v>
      </c>
      <c r="E448" s="37">
        <v>872783575</v>
      </c>
      <c r="F448" s="37">
        <v>2058774040.6206999</v>
      </c>
      <c r="G448" s="37">
        <v>1201531127.5799999</v>
      </c>
      <c r="H448" s="37">
        <v>0</v>
      </c>
      <c r="I448" s="55">
        <f t="shared" si="22"/>
        <v>4133088743.2006998</v>
      </c>
      <c r="J448" s="60">
        <v>-93800</v>
      </c>
      <c r="K448" s="56">
        <f t="shared" si="21"/>
        <v>4132994943.2006998</v>
      </c>
      <c r="L448" s="37">
        <v>0</v>
      </c>
      <c r="M448" s="69"/>
      <c r="O448" s="38"/>
      <c r="P448" s="60">
        <v>156049673.81</v>
      </c>
      <c r="Q448" s="60">
        <v>100225410</v>
      </c>
    </row>
    <row r="449" spans="1:26">
      <c r="A449" s="50"/>
      <c r="B449" s="52"/>
      <c r="C449" s="52"/>
      <c r="E449" s="54"/>
      <c r="F449" s="54"/>
      <c r="G449" s="54"/>
      <c r="H449" s="54"/>
      <c r="I449" s="55"/>
      <c r="K449" s="65"/>
      <c r="L449" s="37"/>
      <c r="M449" s="69"/>
      <c r="O449" s="38"/>
    </row>
    <row r="450" spans="1:26">
      <c r="A450" s="50" t="s">
        <v>30</v>
      </c>
      <c r="B450" s="51" t="s">
        <v>658</v>
      </c>
      <c r="C450" s="52" t="s">
        <v>730</v>
      </c>
      <c r="D450" s="53">
        <v>1988</v>
      </c>
      <c r="E450" s="54">
        <v>209218365</v>
      </c>
      <c r="F450" s="54">
        <v>202403417</v>
      </c>
      <c r="G450" s="54">
        <v>127835580</v>
      </c>
      <c r="H450" s="54">
        <v>0</v>
      </c>
      <c r="I450" s="55">
        <f t="shared" si="22"/>
        <v>539457362</v>
      </c>
      <c r="J450" s="54">
        <v>-311623</v>
      </c>
      <c r="K450" s="56">
        <f>SUM(I450:J450)</f>
        <v>539145739</v>
      </c>
      <c r="L450" s="37">
        <v>0</v>
      </c>
      <c r="M450" s="69"/>
      <c r="O450" s="38" t="str">
        <f>IF([1]totrevprm!O451="","",[1]totrevprm!O451)</f>
        <v/>
      </c>
    </row>
    <row r="451" spans="1:26">
      <c r="A451" s="50" t="s">
        <v>30</v>
      </c>
      <c r="B451" s="51" t="s">
        <v>658</v>
      </c>
      <c r="C451" s="52" t="s">
        <v>731</v>
      </c>
      <c r="D451" s="53">
        <v>1989</v>
      </c>
      <c r="E451" s="54">
        <v>188151307</v>
      </c>
      <c r="F451" s="54">
        <v>202928400</v>
      </c>
      <c r="G451" s="54">
        <v>131191153</v>
      </c>
      <c r="H451" s="54">
        <v>0</v>
      </c>
      <c r="I451" s="55">
        <f t="shared" si="22"/>
        <v>522270860</v>
      </c>
      <c r="J451" s="54">
        <v>-634005</v>
      </c>
      <c r="K451" s="56">
        <f t="shared" ref="K451:K485" si="23">SUM(I451:J451)</f>
        <v>521636855</v>
      </c>
      <c r="L451" s="37">
        <v>0</v>
      </c>
      <c r="M451" s="69"/>
      <c r="O451" s="38" t="str">
        <f>IF([1]totrevprm!O452="","",[1]totrevprm!O452)</f>
        <v/>
      </c>
    </row>
    <row r="452" spans="1:26">
      <c r="A452" s="50" t="s">
        <v>30</v>
      </c>
      <c r="B452" s="51" t="s">
        <v>658</v>
      </c>
      <c r="C452" s="52" t="s">
        <v>731</v>
      </c>
      <c r="D452" s="53">
        <v>1990</v>
      </c>
      <c r="E452" s="54">
        <v>231237401</v>
      </c>
      <c r="F452" s="54">
        <v>209817898.59999999</v>
      </c>
      <c r="G452" s="54">
        <v>132075566</v>
      </c>
      <c r="H452" s="54">
        <v>0</v>
      </c>
      <c r="I452" s="55">
        <f t="shared" si="22"/>
        <v>573130865.60000002</v>
      </c>
      <c r="J452" s="54">
        <v>-440631</v>
      </c>
      <c r="K452" s="56">
        <f t="shared" si="23"/>
        <v>572690234.60000002</v>
      </c>
      <c r="L452" s="37">
        <v>0</v>
      </c>
      <c r="M452" s="69"/>
      <c r="O452" s="38" t="str">
        <f>IF([1]totrevprm!O453="","",[1]totrevprm!O453)</f>
        <v/>
      </c>
    </row>
    <row r="453" spans="1:26">
      <c r="A453" s="50" t="s">
        <v>30</v>
      </c>
      <c r="B453" s="51" t="s">
        <v>658</v>
      </c>
      <c r="C453" s="52" t="s">
        <v>731</v>
      </c>
      <c r="D453" s="53">
        <v>1991</v>
      </c>
      <c r="E453" s="54">
        <v>227915285</v>
      </c>
      <c r="F453" s="54">
        <v>215609153</v>
      </c>
      <c r="G453" s="54">
        <v>134230766</v>
      </c>
      <c r="H453" s="54">
        <v>0</v>
      </c>
      <c r="I453" s="55">
        <f t="shared" si="22"/>
        <v>577755204</v>
      </c>
      <c r="J453" s="54">
        <v>-53253</v>
      </c>
      <c r="K453" s="56">
        <f t="shared" si="23"/>
        <v>577701951</v>
      </c>
      <c r="L453" s="37">
        <v>0</v>
      </c>
      <c r="M453" s="69"/>
      <c r="O453" s="38" t="str">
        <f>IF([1]totrevprm!O454="","",[1]totrevprm!O454)</f>
        <v/>
      </c>
    </row>
    <row r="454" spans="1:26">
      <c r="A454" s="50" t="s">
        <v>30</v>
      </c>
      <c r="B454" s="51" t="s">
        <v>658</v>
      </c>
      <c r="C454" s="52" t="s">
        <v>731</v>
      </c>
      <c r="D454" s="53">
        <v>1992</v>
      </c>
      <c r="E454" s="54">
        <v>233551360</v>
      </c>
      <c r="F454" s="54">
        <v>221813746.91999999</v>
      </c>
      <c r="G454" s="54">
        <v>140162314</v>
      </c>
      <c r="H454" s="54">
        <v>0</v>
      </c>
      <c r="I454" s="55">
        <f t="shared" si="22"/>
        <v>595527420.91999996</v>
      </c>
      <c r="J454" s="54">
        <v>-49891</v>
      </c>
      <c r="K454" s="56">
        <f t="shared" si="23"/>
        <v>595477529.91999996</v>
      </c>
      <c r="L454" s="37">
        <v>0</v>
      </c>
      <c r="M454" s="69"/>
      <c r="O454" s="38" t="str">
        <f>IF([1]totrevprm!O455="","",[1]totrevprm!O455)</f>
        <v/>
      </c>
    </row>
    <row r="455" spans="1:26">
      <c r="A455" s="50" t="s">
        <v>30</v>
      </c>
      <c r="B455" s="51" t="s">
        <v>658</v>
      </c>
      <c r="C455" s="52" t="s">
        <v>731</v>
      </c>
      <c r="D455" s="53">
        <v>1993</v>
      </c>
      <c r="E455" s="54">
        <v>249047127</v>
      </c>
      <c r="F455" s="54">
        <v>185562498</v>
      </c>
      <c r="G455" s="54">
        <v>161754102</v>
      </c>
      <c r="H455" s="54">
        <v>0</v>
      </c>
      <c r="I455" s="55">
        <f t="shared" si="22"/>
        <v>596363727</v>
      </c>
      <c r="J455" s="54">
        <v>-303602</v>
      </c>
      <c r="K455" s="56">
        <f t="shared" si="23"/>
        <v>596060125</v>
      </c>
      <c r="L455" s="37">
        <v>0</v>
      </c>
      <c r="M455" s="69"/>
      <c r="O455" s="38" t="str">
        <f>IF([1]totrevprm!O456="","",[1]totrevprm!O456)</f>
        <v/>
      </c>
    </row>
    <row r="456" spans="1:26">
      <c r="A456" s="50" t="s">
        <v>30</v>
      </c>
      <c r="B456" s="51" t="s">
        <v>658</v>
      </c>
      <c r="C456" s="52" t="s">
        <v>731</v>
      </c>
      <c r="D456" s="53">
        <v>1994</v>
      </c>
      <c r="E456" s="54">
        <v>264160806</v>
      </c>
      <c r="F456" s="54">
        <v>217683968</v>
      </c>
      <c r="G456" s="54">
        <v>176895710</v>
      </c>
      <c r="H456" s="54">
        <v>0</v>
      </c>
      <c r="I456" s="55">
        <f t="shared" si="22"/>
        <v>658740484</v>
      </c>
      <c r="J456" s="54">
        <v>-508917</v>
      </c>
      <c r="K456" s="56">
        <f t="shared" si="23"/>
        <v>658231567</v>
      </c>
      <c r="L456" s="37">
        <v>0</v>
      </c>
      <c r="M456" s="69"/>
      <c r="O456" s="38" t="str">
        <f>IF([1]totrevprm!O457="","",[1]totrevprm!O457)</f>
        <v/>
      </c>
    </row>
    <row r="457" spans="1:26">
      <c r="A457" s="50" t="s">
        <v>30</v>
      </c>
      <c r="B457" s="51" t="s">
        <v>658</v>
      </c>
      <c r="C457" s="52" t="s">
        <v>731</v>
      </c>
      <c r="D457" s="53">
        <v>1995</v>
      </c>
      <c r="E457" s="54">
        <v>280977226</v>
      </c>
      <c r="F457" s="54">
        <v>218531343</v>
      </c>
      <c r="G457" s="54">
        <v>413583394</v>
      </c>
      <c r="H457" s="54">
        <v>0</v>
      </c>
      <c r="I457" s="55">
        <f t="shared" si="22"/>
        <v>913091963</v>
      </c>
      <c r="J457" s="54">
        <v>-1696532</v>
      </c>
      <c r="K457" s="56">
        <f t="shared" si="23"/>
        <v>911395431</v>
      </c>
      <c r="L457" s="37">
        <v>0</v>
      </c>
      <c r="M457" s="69"/>
      <c r="O457" s="38" t="str">
        <f>IF([1]totrevprm!O458="","",[1]totrevprm!O458)</f>
        <v/>
      </c>
    </row>
    <row r="458" spans="1:26">
      <c r="A458" s="50" t="s">
        <v>30</v>
      </c>
      <c r="B458" s="51" t="s">
        <v>658</v>
      </c>
      <c r="C458" s="52" t="s">
        <v>731</v>
      </c>
      <c r="D458" s="53">
        <v>1996</v>
      </c>
      <c r="E458" s="54">
        <v>285850570</v>
      </c>
      <c r="F458" s="54">
        <v>209367847</v>
      </c>
      <c r="G458" s="54">
        <v>701148543</v>
      </c>
      <c r="H458" s="54">
        <v>0</v>
      </c>
      <c r="I458" s="55">
        <f t="shared" si="22"/>
        <v>1196366960</v>
      </c>
      <c r="J458" s="54">
        <v>-9</v>
      </c>
      <c r="K458" s="56">
        <f t="shared" si="23"/>
        <v>1196366951</v>
      </c>
      <c r="L458" s="37">
        <v>0</v>
      </c>
      <c r="M458" s="69"/>
      <c r="O458" s="38" t="str">
        <f>IF([1]totrevprm!O459="","",[1]totrevprm!O459)</f>
        <v/>
      </c>
    </row>
    <row r="459" spans="1:26">
      <c r="A459" s="50" t="s">
        <v>30</v>
      </c>
      <c r="B459" s="51" t="s">
        <v>658</v>
      </c>
      <c r="C459" s="52" t="s">
        <v>731</v>
      </c>
      <c r="D459" s="53">
        <v>1997</v>
      </c>
      <c r="E459" s="54">
        <v>288442487</v>
      </c>
      <c r="F459" s="54">
        <v>214100988</v>
      </c>
      <c r="G459" s="54">
        <v>692479444</v>
      </c>
      <c r="H459" s="54">
        <v>0</v>
      </c>
      <c r="I459" s="55">
        <f t="shared" si="22"/>
        <v>1195022919</v>
      </c>
      <c r="J459" s="54">
        <v>-41230</v>
      </c>
      <c r="K459" s="56">
        <f t="shared" si="23"/>
        <v>1194981689</v>
      </c>
      <c r="L459" s="37">
        <v>0</v>
      </c>
      <c r="M459" s="69"/>
      <c r="O459" s="38" t="str">
        <f>IF([1]totrevprm!O460="","",[1]totrevprm!O460)</f>
        <v/>
      </c>
    </row>
    <row r="460" spans="1:26">
      <c r="A460" s="50" t="s">
        <v>30</v>
      </c>
      <c r="B460" s="51" t="s">
        <v>658</v>
      </c>
      <c r="C460" s="52" t="s">
        <v>731</v>
      </c>
      <c r="D460" s="53">
        <v>1998</v>
      </c>
      <c r="E460" s="54">
        <v>292525566</v>
      </c>
      <c r="F460" s="54">
        <v>234439692</v>
      </c>
      <c r="G460" s="54">
        <v>723378162</v>
      </c>
      <c r="H460" s="54">
        <v>0</v>
      </c>
      <c r="I460" s="55">
        <f t="shared" si="22"/>
        <v>1250343420</v>
      </c>
      <c r="J460" s="54">
        <v>-25318</v>
      </c>
      <c r="K460" s="56">
        <f t="shared" si="23"/>
        <v>1250318102</v>
      </c>
      <c r="L460" s="37">
        <v>0</v>
      </c>
      <c r="M460" s="69"/>
      <c r="O460" s="38" t="str">
        <f>IF([1]totrevprm!O461="","",[1]totrevprm!O461)</f>
        <v/>
      </c>
    </row>
    <row r="461" spans="1:26">
      <c r="A461" s="50" t="s">
        <v>30</v>
      </c>
      <c r="B461" s="51" t="s">
        <v>658</v>
      </c>
      <c r="C461" s="52" t="s">
        <v>731</v>
      </c>
      <c r="D461" s="53">
        <v>1999</v>
      </c>
      <c r="E461" s="54">
        <v>286845096</v>
      </c>
      <c r="F461" s="54">
        <v>278075266</v>
      </c>
      <c r="G461" s="54">
        <v>808352623</v>
      </c>
      <c r="H461" s="54">
        <v>0</v>
      </c>
      <c r="I461" s="55">
        <f t="shared" si="22"/>
        <v>1373272985</v>
      </c>
      <c r="J461" s="54">
        <v>-22</v>
      </c>
      <c r="K461" s="56">
        <f t="shared" si="23"/>
        <v>1373272963</v>
      </c>
      <c r="L461" s="37">
        <v>0</v>
      </c>
      <c r="M461" s="69"/>
      <c r="O461" s="38" t="str">
        <f>IF([1]totrevprm!O462="","",[1]totrevprm!O462)</f>
        <v/>
      </c>
    </row>
    <row r="462" spans="1:26">
      <c r="A462" s="50" t="s">
        <v>30</v>
      </c>
      <c r="B462" s="51" t="s">
        <v>658</v>
      </c>
      <c r="C462" s="52" t="s">
        <v>761</v>
      </c>
      <c r="D462" s="53">
        <v>2000</v>
      </c>
      <c r="E462" s="54">
        <v>305108271</v>
      </c>
      <c r="F462" s="54">
        <v>317256120</v>
      </c>
      <c r="G462" s="54">
        <v>979520802</v>
      </c>
      <c r="H462" s="54">
        <v>0</v>
      </c>
      <c r="I462" s="55">
        <f t="shared" si="22"/>
        <v>1601885193</v>
      </c>
      <c r="J462" s="54">
        <v>-5316185</v>
      </c>
      <c r="K462" s="56">
        <f t="shared" si="23"/>
        <v>1596569008</v>
      </c>
      <c r="L462" s="37">
        <v>0</v>
      </c>
      <c r="M462" s="69"/>
      <c r="O462" s="38" t="str">
        <f>IF([1]totrevprm!O463="","",[1]totrevprm!O463)</f>
        <v/>
      </c>
      <c r="V462" s="38" t="s">
        <v>658</v>
      </c>
      <c r="W462" s="58">
        <v>673596</v>
      </c>
      <c r="X462" s="58">
        <v>2299006</v>
      </c>
      <c r="Y462" s="58">
        <v>3121300</v>
      </c>
      <c r="Z462" s="58">
        <v>0</v>
      </c>
    </row>
    <row r="463" spans="1:26">
      <c r="A463" s="50" t="s">
        <v>30</v>
      </c>
      <c r="B463" s="51" t="s">
        <v>658</v>
      </c>
      <c r="C463" s="52" t="s">
        <v>731</v>
      </c>
      <c r="D463" s="53">
        <v>2001</v>
      </c>
      <c r="E463" s="54">
        <v>314931002</v>
      </c>
      <c r="F463" s="54">
        <v>369758027</v>
      </c>
      <c r="G463" s="54">
        <v>1045803684</v>
      </c>
      <c r="H463" s="54">
        <v>0</v>
      </c>
      <c r="I463" s="55">
        <f t="shared" si="22"/>
        <v>1730492713</v>
      </c>
      <c r="J463" s="54">
        <v>-129298</v>
      </c>
      <c r="K463" s="56">
        <f t="shared" si="23"/>
        <v>1730363415</v>
      </c>
      <c r="L463" s="37">
        <v>0</v>
      </c>
      <c r="M463" s="69"/>
      <c r="O463" s="38" t="str">
        <f>IF([1]totrevprm!O464="","",[1]totrevprm!O464)</f>
        <v/>
      </c>
      <c r="V463" s="38"/>
      <c r="W463" s="58"/>
      <c r="X463" s="58"/>
      <c r="Y463" s="58"/>
      <c r="Z463" s="58"/>
    </row>
    <row r="464" spans="1:26">
      <c r="A464" s="50" t="s">
        <v>30</v>
      </c>
      <c r="B464" s="51" t="s">
        <v>658</v>
      </c>
      <c r="C464" s="52" t="s">
        <v>731</v>
      </c>
      <c r="D464" s="53">
        <v>2002</v>
      </c>
      <c r="E464" s="54">
        <v>316049014</v>
      </c>
      <c r="F464" s="54">
        <v>532399255</v>
      </c>
      <c r="G464" s="54">
        <v>1152783294</v>
      </c>
      <c r="H464" s="54">
        <v>0</v>
      </c>
      <c r="I464" s="55">
        <f t="shared" si="22"/>
        <v>2001231563</v>
      </c>
      <c r="J464" s="54">
        <v>-42990</v>
      </c>
      <c r="K464" s="56">
        <f t="shared" si="23"/>
        <v>2001188573</v>
      </c>
      <c r="L464" s="37">
        <v>0</v>
      </c>
      <c r="M464" s="69"/>
      <c r="O464" s="38" t="str">
        <f>IF([1]totrevprm!O465="","",[1]totrevprm!O465)</f>
        <v/>
      </c>
      <c r="V464" s="38"/>
      <c r="W464" s="58"/>
      <c r="X464" s="58"/>
      <c r="Y464" s="58"/>
      <c r="Z464" s="58"/>
    </row>
    <row r="465" spans="1:26">
      <c r="A465" s="50" t="s">
        <v>30</v>
      </c>
      <c r="B465" s="51" t="s">
        <v>658</v>
      </c>
      <c r="C465" s="52" t="s">
        <v>731</v>
      </c>
      <c r="D465" s="53">
        <v>2003</v>
      </c>
      <c r="E465" s="59">
        <v>338447654</v>
      </c>
      <c r="F465" s="59">
        <v>493198114</v>
      </c>
      <c r="G465" s="59">
        <v>1275933536</v>
      </c>
      <c r="H465" s="54">
        <v>0</v>
      </c>
      <c r="I465" s="55">
        <f t="shared" si="22"/>
        <v>2107579304</v>
      </c>
      <c r="J465" s="54">
        <v>-2925</v>
      </c>
      <c r="K465" s="56">
        <f t="shared" si="23"/>
        <v>2107576379</v>
      </c>
      <c r="L465" s="37">
        <v>0</v>
      </c>
      <c r="M465" s="69"/>
      <c r="O465" s="38" t="str">
        <f>IF([1]totrevprm!O466="","",[1]totrevprm!O466)</f>
        <v/>
      </c>
      <c r="V465" s="38"/>
      <c r="W465" s="58"/>
      <c r="X465" s="58"/>
      <c r="Y465" s="58"/>
      <c r="Z465" s="58"/>
    </row>
    <row r="466" spans="1:26">
      <c r="A466" s="50" t="s">
        <v>30</v>
      </c>
      <c r="B466" s="51" t="s">
        <v>658</v>
      </c>
      <c r="C466" s="52" t="s">
        <v>731</v>
      </c>
      <c r="D466" s="53">
        <v>2004</v>
      </c>
      <c r="E466" s="59">
        <v>346977476</v>
      </c>
      <c r="F466" s="59">
        <v>477691623</v>
      </c>
      <c r="G466" s="59">
        <v>1380118307</v>
      </c>
      <c r="H466" s="54">
        <v>0</v>
      </c>
      <c r="I466" s="55">
        <f t="shared" si="22"/>
        <v>2204787406</v>
      </c>
      <c r="J466" s="54">
        <v>-4096</v>
      </c>
      <c r="K466" s="56">
        <f t="shared" si="23"/>
        <v>2204783310</v>
      </c>
      <c r="L466" s="37">
        <v>0</v>
      </c>
      <c r="M466" s="69"/>
      <c r="O466" s="38" t="str">
        <f>IF([1]totrevprm!O467="","",[1]totrevprm!O467)</f>
        <v/>
      </c>
      <c r="V466" s="38"/>
      <c r="W466" s="58"/>
      <c r="X466" s="58"/>
      <c r="Y466" s="58"/>
      <c r="Z466" s="58"/>
    </row>
    <row r="467" spans="1:26">
      <c r="A467" s="50" t="s">
        <v>30</v>
      </c>
      <c r="B467" s="51" t="s">
        <v>658</v>
      </c>
      <c r="C467" s="52"/>
      <c r="D467" s="53">
        <v>2005</v>
      </c>
      <c r="E467" s="59">
        <v>360890133</v>
      </c>
      <c r="F467" s="59">
        <v>519455789</v>
      </c>
      <c r="G467" s="59">
        <v>1410076974.27</v>
      </c>
      <c r="H467" s="54">
        <v>0</v>
      </c>
      <c r="I467" s="55">
        <f t="shared" si="22"/>
        <v>2290422896.27</v>
      </c>
      <c r="J467" s="54">
        <v>-12973</v>
      </c>
      <c r="K467" s="56">
        <f t="shared" si="23"/>
        <v>2290409923.27</v>
      </c>
      <c r="L467" s="37">
        <v>0</v>
      </c>
      <c r="M467" s="69"/>
      <c r="O467" s="38" t="str">
        <f>IF([1]totrevprm!O468="","",[1]totrevprm!O468)</f>
        <v/>
      </c>
      <c r="V467" s="38"/>
      <c r="W467" s="58"/>
      <c r="X467" s="58"/>
      <c r="Y467" s="58"/>
      <c r="Z467" s="58"/>
    </row>
    <row r="468" spans="1:26">
      <c r="A468" s="50" t="s">
        <v>30</v>
      </c>
      <c r="B468" s="51" t="s">
        <v>658</v>
      </c>
      <c r="C468" s="52"/>
      <c r="D468" s="53">
        <v>2006</v>
      </c>
      <c r="E468" s="37">
        <v>393545884</v>
      </c>
      <c r="F468" s="37">
        <v>568866865</v>
      </c>
      <c r="G468" s="37">
        <v>1582104957</v>
      </c>
      <c r="H468" s="37">
        <v>0</v>
      </c>
      <c r="I468" s="55">
        <f t="shared" si="22"/>
        <v>2544517706</v>
      </c>
      <c r="J468" s="54">
        <v>-73231</v>
      </c>
      <c r="K468" s="56">
        <f t="shared" si="23"/>
        <v>2544444475</v>
      </c>
      <c r="L468" s="37">
        <v>0</v>
      </c>
      <c r="M468" s="69"/>
      <c r="O468" s="38" t="str">
        <f>IF([1]totrevprm!O469="","",[1]totrevprm!O469)</f>
        <v/>
      </c>
      <c r="V468" s="38"/>
      <c r="W468" s="58"/>
      <c r="X468" s="58"/>
      <c r="Y468" s="58"/>
      <c r="Z468" s="58"/>
    </row>
    <row r="469" spans="1:26">
      <c r="A469" s="50" t="s">
        <v>30</v>
      </c>
      <c r="B469" s="51" t="s">
        <v>658</v>
      </c>
      <c r="C469" s="52"/>
      <c r="D469" s="53">
        <v>2007</v>
      </c>
      <c r="E469" s="37">
        <v>408458502</v>
      </c>
      <c r="F469" s="37">
        <v>458571123</v>
      </c>
      <c r="G469" s="37">
        <v>1758385374</v>
      </c>
      <c r="H469" s="37">
        <v>0</v>
      </c>
      <c r="I469" s="55">
        <f t="shared" si="22"/>
        <v>2625414999</v>
      </c>
      <c r="J469" s="54">
        <v>-3</v>
      </c>
      <c r="K469" s="56">
        <f t="shared" si="23"/>
        <v>2625414996</v>
      </c>
      <c r="L469" s="37">
        <v>0</v>
      </c>
      <c r="M469" s="69"/>
      <c r="O469" s="38" t="str">
        <f>IF([1]totrevprm!O470="","",[1]totrevprm!O470)</f>
        <v/>
      </c>
      <c r="V469" s="38"/>
      <c r="W469" s="58"/>
      <c r="X469" s="58"/>
      <c r="Y469" s="58"/>
      <c r="Z469" s="58"/>
    </row>
    <row r="470" spans="1:26">
      <c r="A470" s="50" t="s">
        <v>30</v>
      </c>
      <c r="B470" s="51" t="s">
        <v>658</v>
      </c>
      <c r="C470" s="52"/>
      <c r="D470" s="53">
        <v>2008</v>
      </c>
      <c r="E470" s="37">
        <v>417886894</v>
      </c>
      <c r="F470" s="37">
        <v>600625736</v>
      </c>
      <c r="G470" s="37">
        <v>1908888744</v>
      </c>
      <c r="H470" s="37">
        <v>0</v>
      </c>
      <c r="I470" s="55">
        <f t="shared" si="22"/>
        <v>2927401374</v>
      </c>
      <c r="J470" s="54">
        <v>-3</v>
      </c>
      <c r="K470" s="56">
        <f t="shared" si="23"/>
        <v>2927401371</v>
      </c>
      <c r="L470" s="37">
        <v>0</v>
      </c>
      <c r="M470" s="69"/>
      <c r="O470" s="38" t="str">
        <f>IF([1]totrevprm!O471="","",[1]totrevprm!O471)</f>
        <v/>
      </c>
      <c r="V470" s="38"/>
      <c r="W470" s="58"/>
      <c r="X470" s="58"/>
      <c r="Y470" s="58"/>
      <c r="Z470" s="58"/>
    </row>
    <row r="471" spans="1:26">
      <c r="A471" s="50" t="s">
        <v>30</v>
      </c>
      <c r="B471" s="51" t="s">
        <v>658</v>
      </c>
      <c r="C471" s="52"/>
      <c r="D471" s="53">
        <v>2009</v>
      </c>
      <c r="E471" s="37">
        <v>452639962</v>
      </c>
      <c r="F471" s="37">
        <v>632743888</v>
      </c>
      <c r="G471" s="37">
        <v>2109951242</v>
      </c>
      <c r="H471" s="37">
        <v>0</v>
      </c>
      <c r="I471" s="55">
        <f t="shared" si="22"/>
        <v>3195335092</v>
      </c>
      <c r="J471" s="54">
        <v>-6</v>
      </c>
      <c r="K471" s="56">
        <f t="shared" si="23"/>
        <v>3195335086</v>
      </c>
      <c r="L471" s="37">
        <v>0</v>
      </c>
      <c r="M471" s="69"/>
      <c r="O471" s="38" t="str">
        <f>IF([1]totrevprm!O472="","",[1]totrevprm!O472)</f>
        <v/>
      </c>
      <c r="V471" s="38"/>
      <c r="W471" s="58"/>
      <c r="X471" s="58"/>
      <c r="Y471" s="58"/>
      <c r="Z471" s="58"/>
    </row>
    <row r="472" spans="1:26">
      <c r="A472" s="50" t="s">
        <v>30</v>
      </c>
      <c r="B472" s="51" t="s">
        <v>658</v>
      </c>
      <c r="C472" s="52"/>
      <c r="D472" s="53">
        <v>2010</v>
      </c>
      <c r="E472" s="37">
        <v>471480159</v>
      </c>
      <c r="F472" s="37">
        <v>562603618</v>
      </c>
      <c r="G472" s="37">
        <v>1856258256</v>
      </c>
      <c r="H472" s="37">
        <v>0</v>
      </c>
      <c r="I472" s="55">
        <f t="shared" si="22"/>
        <v>2890342033</v>
      </c>
      <c r="J472" s="54">
        <v>-2516</v>
      </c>
      <c r="K472" s="56">
        <f t="shared" si="23"/>
        <v>2890339517</v>
      </c>
      <c r="L472" s="37">
        <v>0</v>
      </c>
      <c r="M472" s="69"/>
      <c r="O472" s="38" t="str">
        <f>IF([1]totrevprm!O473="","",[1]totrevprm!O473)</f>
        <v/>
      </c>
      <c r="V472" s="38"/>
      <c r="W472" s="58"/>
      <c r="X472" s="58"/>
      <c r="Y472" s="58"/>
      <c r="Z472" s="58"/>
    </row>
    <row r="473" spans="1:26">
      <c r="A473" s="50" t="s">
        <v>30</v>
      </c>
      <c r="B473" s="51" t="s">
        <v>658</v>
      </c>
      <c r="C473" s="52"/>
      <c r="D473" s="53">
        <v>2011</v>
      </c>
      <c r="E473" s="37">
        <v>479146732</v>
      </c>
      <c r="F473" s="37">
        <v>619816840</v>
      </c>
      <c r="G473" s="37">
        <v>1885326272.6900001</v>
      </c>
      <c r="H473" s="37">
        <v>0</v>
      </c>
      <c r="I473" s="55">
        <f t="shared" si="22"/>
        <v>2984289844.6900001</v>
      </c>
      <c r="J473" s="54">
        <v>-5</v>
      </c>
      <c r="K473" s="56">
        <f t="shared" si="23"/>
        <v>2984289839.6900001</v>
      </c>
      <c r="L473" s="37">
        <v>0</v>
      </c>
      <c r="M473" s="69"/>
      <c r="O473" s="38" t="str">
        <f>IF([1]totrevprm!O474="","",[1]totrevprm!O474)</f>
        <v/>
      </c>
      <c r="V473" s="38"/>
      <c r="W473" s="58"/>
      <c r="X473" s="58"/>
      <c r="Y473" s="58"/>
      <c r="Z473" s="58"/>
    </row>
    <row r="474" spans="1:26">
      <c r="A474" s="50" t="s">
        <v>30</v>
      </c>
      <c r="B474" s="51" t="s">
        <v>658</v>
      </c>
      <c r="C474" s="52"/>
      <c r="D474" s="53">
        <v>2012</v>
      </c>
      <c r="E474" s="37">
        <v>485889296</v>
      </c>
      <c r="F474" s="37">
        <v>570440270</v>
      </c>
      <c r="G474" s="37">
        <v>1804463005</v>
      </c>
      <c r="H474" s="37">
        <v>0</v>
      </c>
      <c r="I474" s="55">
        <f t="shared" si="22"/>
        <v>2860792571</v>
      </c>
      <c r="J474" s="54">
        <v>-2573</v>
      </c>
      <c r="K474" s="56">
        <f t="shared" si="23"/>
        <v>2860789998</v>
      </c>
      <c r="L474" s="37">
        <v>0</v>
      </c>
      <c r="M474" s="69"/>
      <c r="O474" s="38" t="str">
        <f>IF([1]totrevprm!O475="","",[1]totrevprm!O475)</f>
        <v/>
      </c>
      <c r="V474" s="38"/>
      <c r="W474" s="58"/>
      <c r="X474" s="58"/>
      <c r="Y474" s="58"/>
      <c r="Z474" s="58"/>
    </row>
    <row r="475" spans="1:26">
      <c r="A475" s="50" t="s">
        <v>30</v>
      </c>
      <c r="B475" s="51" t="s">
        <v>658</v>
      </c>
      <c r="C475" s="52"/>
      <c r="D475" s="53">
        <v>2013</v>
      </c>
      <c r="E475" s="37">
        <v>506674937</v>
      </c>
      <c r="F475" s="37">
        <v>590926716</v>
      </c>
      <c r="G475" s="37">
        <v>1998654032</v>
      </c>
      <c r="H475" s="37">
        <v>0</v>
      </c>
      <c r="I475" s="55">
        <f t="shared" si="22"/>
        <v>3096255685</v>
      </c>
      <c r="J475" s="54">
        <v>-5012</v>
      </c>
      <c r="K475" s="56">
        <f t="shared" si="23"/>
        <v>3096250673</v>
      </c>
      <c r="L475" s="37">
        <v>0</v>
      </c>
      <c r="M475" s="69"/>
      <c r="O475" s="38" t="str">
        <f>IF([1]totrevprm!O476="","",[1]totrevprm!O476)</f>
        <v/>
      </c>
      <c r="V475" s="38"/>
      <c r="W475" s="58"/>
      <c r="X475" s="58"/>
      <c r="Y475" s="58"/>
      <c r="Z475" s="58"/>
    </row>
    <row r="476" spans="1:26">
      <c r="A476" s="50" t="s">
        <v>30</v>
      </c>
      <c r="B476" s="51" t="s">
        <v>658</v>
      </c>
      <c r="C476" s="52"/>
      <c r="D476" s="64">
        <v>2014</v>
      </c>
      <c r="E476" s="37">
        <v>531349729</v>
      </c>
      <c r="F476" s="37">
        <v>606405385</v>
      </c>
      <c r="G476" s="37">
        <v>2171330661.52</v>
      </c>
      <c r="H476" s="37">
        <v>0</v>
      </c>
      <c r="I476" s="55">
        <f t="shared" si="22"/>
        <v>3309085775.52</v>
      </c>
      <c r="J476" s="54">
        <v>-14614</v>
      </c>
      <c r="K476" s="56">
        <f t="shared" si="23"/>
        <v>3309071161.52</v>
      </c>
      <c r="L476" s="37">
        <v>0</v>
      </c>
      <c r="M476" s="69"/>
      <c r="O476" s="38" t="str">
        <f>IF([1]totrevprm!O477="","",[1]totrevprm!O477)</f>
        <v/>
      </c>
      <c r="V476" s="38"/>
      <c r="W476" s="58"/>
      <c r="X476" s="58"/>
      <c r="Y476" s="58"/>
      <c r="Z476" s="58"/>
    </row>
    <row r="477" spans="1:26">
      <c r="A477" s="50" t="s">
        <v>30</v>
      </c>
      <c r="B477" s="51" t="s">
        <v>658</v>
      </c>
      <c r="C477" s="52"/>
      <c r="D477" s="64">
        <v>2015</v>
      </c>
      <c r="E477" s="37">
        <v>562722497</v>
      </c>
      <c r="F477" s="37">
        <v>689375290</v>
      </c>
      <c r="G477" s="37">
        <v>2221929429</v>
      </c>
      <c r="H477" s="37">
        <v>0</v>
      </c>
      <c r="I477" s="55">
        <f t="shared" si="22"/>
        <v>3474027216</v>
      </c>
      <c r="J477" s="54">
        <v>-4663</v>
      </c>
      <c r="K477" s="56">
        <f t="shared" si="23"/>
        <v>3474022553</v>
      </c>
      <c r="L477" s="37">
        <v>0</v>
      </c>
      <c r="M477" s="69"/>
      <c r="O477" s="38" t="str">
        <f>IF([1]totrevprm!O478="","",[1]totrevprm!O478)</f>
        <v/>
      </c>
      <c r="P477" s="35">
        <v>80123993.832256287</v>
      </c>
      <c r="Q477" s="35">
        <v>41629785.510000005</v>
      </c>
      <c r="V477" s="38"/>
      <c r="W477" s="58"/>
      <c r="X477" s="58"/>
      <c r="Y477" s="58"/>
      <c r="Z477" s="58"/>
    </row>
    <row r="478" spans="1:26">
      <c r="A478" s="50" t="s">
        <v>30</v>
      </c>
      <c r="B478" s="51" t="s">
        <v>658</v>
      </c>
      <c r="C478" s="52"/>
      <c r="D478" s="64">
        <v>2016</v>
      </c>
      <c r="E478" s="37">
        <v>568900218</v>
      </c>
      <c r="F478" s="37">
        <v>716351570</v>
      </c>
      <c r="G478" s="37">
        <v>2322207830</v>
      </c>
      <c r="H478" s="37">
        <v>0</v>
      </c>
      <c r="I478" s="55">
        <f t="shared" si="22"/>
        <v>3607459618</v>
      </c>
      <c r="J478" s="54">
        <v>-3678</v>
      </c>
      <c r="K478" s="56">
        <f t="shared" si="23"/>
        <v>3607455940</v>
      </c>
      <c r="L478" s="37">
        <v>0</v>
      </c>
      <c r="M478" s="69"/>
      <c r="O478" s="38" t="str">
        <f>IF([1]totrevprm!O479="","",[1]totrevprm!O479)</f>
        <v/>
      </c>
      <c r="P478" s="35">
        <v>83517673.069149032</v>
      </c>
      <c r="Q478" s="35">
        <v>42391098.439999998</v>
      </c>
      <c r="V478" s="38"/>
      <c r="W478" s="58"/>
      <c r="X478" s="58"/>
      <c r="Y478" s="58"/>
      <c r="Z478" s="58"/>
    </row>
    <row r="479" spans="1:26">
      <c r="A479" s="50" t="s">
        <v>30</v>
      </c>
      <c r="B479" s="51" t="s">
        <v>658</v>
      </c>
      <c r="C479" s="52"/>
      <c r="D479" s="64">
        <v>2017</v>
      </c>
      <c r="E479" s="37">
        <v>589493733</v>
      </c>
      <c r="F479" s="37">
        <v>741318983</v>
      </c>
      <c r="G479" s="37">
        <v>2225219412.1500001</v>
      </c>
      <c r="H479" s="37">
        <v>0</v>
      </c>
      <c r="I479" s="55">
        <f t="shared" si="22"/>
        <v>3556032128.1500001</v>
      </c>
      <c r="J479" s="54">
        <v>-6613</v>
      </c>
      <c r="K479" s="56">
        <f t="shared" si="23"/>
        <v>3556025515.1500001</v>
      </c>
      <c r="L479" s="37">
        <v>0</v>
      </c>
      <c r="M479" s="69"/>
      <c r="O479" s="38" t="str">
        <f>IF([1]totrevprm!O480="","",[1]totrevprm!O480)</f>
        <v/>
      </c>
      <c r="P479" s="35">
        <v>93242476.42848435</v>
      </c>
      <c r="Q479" s="35">
        <v>42341407.82</v>
      </c>
      <c r="V479" s="38"/>
      <c r="W479" s="58"/>
      <c r="X479" s="58"/>
      <c r="Y479" s="58"/>
      <c r="Z479" s="58"/>
    </row>
    <row r="480" spans="1:26">
      <c r="A480" s="50" t="s">
        <v>30</v>
      </c>
      <c r="B480" s="51" t="s">
        <v>658</v>
      </c>
      <c r="C480" s="52"/>
      <c r="D480" s="64">
        <v>2018</v>
      </c>
      <c r="E480" s="37">
        <v>609087865</v>
      </c>
      <c r="F480" s="37">
        <v>1056714197</v>
      </c>
      <c r="G480" s="37">
        <v>2373356031.6399999</v>
      </c>
      <c r="H480" s="37">
        <v>0</v>
      </c>
      <c r="I480" s="55">
        <f t="shared" si="22"/>
        <v>4039158093.6399999</v>
      </c>
      <c r="J480" s="54">
        <v>-586429</v>
      </c>
      <c r="K480" s="56">
        <f t="shared" si="23"/>
        <v>4038571664.6399999</v>
      </c>
      <c r="L480" s="60">
        <v>0</v>
      </c>
      <c r="M480" s="69" t="s">
        <v>740</v>
      </c>
      <c r="N480" t="s">
        <v>708</v>
      </c>
      <c r="O480" s="38" t="str">
        <f>IF([1]totrevprm!O481="","",[1]totrevprm!O481)</f>
        <v>Yes</v>
      </c>
      <c r="P480" s="35">
        <v>93429670.858112663</v>
      </c>
      <c r="Q480" s="35">
        <v>41741673.941624895</v>
      </c>
      <c r="R480" s="78"/>
      <c r="V480" s="38"/>
      <c r="W480" s="58"/>
      <c r="X480" s="58"/>
      <c r="Y480" s="58"/>
      <c r="Z480" s="58"/>
    </row>
    <row r="481" spans="1:26">
      <c r="A481" s="50" t="s">
        <v>30</v>
      </c>
      <c r="B481" s="51" t="s">
        <v>658</v>
      </c>
      <c r="C481" s="52"/>
      <c r="D481" s="64">
        <v>2019</v>
      </c>
      <c r="E481" s="37">
        <v>617875009</v>
      </c>
      <c r="F481" s="37">
        <v>903603816</v>
      </c>
      <c r="G481" s="37">
        <v>2392515889.9882002</v>
      </c>
      <c r="H481" s="37">
        <v>0</v>
      </c>
      <c r="I481" s="55">
        <f t="shared" si="22"/>
        <v>3913994714.9882002</v>
      </c>
      <c r="J481" s="54">
        <v>-2489042</v>
      </c>
      <c r="K481" s="56">
        <f t="shared" si="23"/>
        <v>3911505672.9882002</v>
      </c>
      <c r="L481" s="60">
        <v>0</v>
      </c>
      <c r="M481" s="69" t="s">
        <v>739</v>
      </c>
      <c r="N481" t="s">
        <v>708</v>
      </c>
      <c r="O481" s="38" t="str">
        <f>IF([1]totrevprm!O482="","",[1]totrevprm!O482)</f>
        <v/>
      </c>
      <c r="P481" s="35">
        <v>98845769.244380236</v>
      </c>
      <c r="Q481" s="35">
        <v>41760466.038398296</v>
      </c>
      <c r="R481" s="78"/>
      <c r="V481" s="38"/>
      <c r="W481" s="58"/>
      <c r="X481" s="58"/>
      <c r="Y481" s="58"/>
      <c r="Z481" s="58"/>
    </row>
    <row r="482" spans="1:26">
      <c r="A482" s="50" t="s">
        <v>30</v>
      </c>
      <c r="B482" s="51" t="s">
        <v>658</v>
      </c>
      <c r="C482" s="52"/>
      <c r="D482" s="64">
        <v>2020</v>
      </c>
      <c r="E482" s="37">
        <v>645659404</v>
      </c>
      <c r="F482" s="37">
        <v>1047106025</v>
      </c>
      <c r="G482" s="37">
        <v>2560990087</v>
      </c>
      <c r="H482" s="37">
        <v>0</v>
      </c>
      <c r="I482" s="55">
        <f t="shared" si="22"/>
        <v>4253755516</v>
      </c>
      <c r="J482" s="54">
        <v>-70267</v>
      </c>
      <c r="K482" s="56">
        <f t="shared" si="23"/>
        <v>4253685249</v>
      </c>
      <c r="L482" s="60">
        <v>0</v>
      </c>
      <c r="M482" s="69" t="s">
        <v>739</v>
      </c>
      <c r="N482" t="s">
        <v>708</v>
      </c>
      <c r="O482" s="38" t="str">
        <f>IF([1]totrevprm!O483="","",[1]totrevprm!O483)</f>
        <v/>
      </c>
      <c r="P482" s="35">
        <v>102907303</v>
      </c>
      <c r="Q482" s="35">
        <v>41511004</v>
      </c>
      <c r="R482" s="78"/>
      <c r="V482" s="38"/>
      <c r="W482" s="58"/>
      <c r="X482" s="58"/>
      <c r="Y482" s="58"/>
      <c r="Z482" s="58"/>
    </row>
    <row r="483" spans="1:26">
      <c r="A483" s="50" t="s">
        <v>30</v>
      </c>
      <c r="B483" s="51" t="s">
        <v>658</v>
      </c>
      <c r="C483" s="52"/>
      <c r="D483" s="64">
        <v>2021</v>
      </c>
      <c r="E483" s="37">
        <v>735196910</v>
      </c>
      <c r="F483" s="37">
        <v>1049647829</v>
      </c>
      <c r="G483" s="37">
        <v>2408266758.79</v>
      </c>
      <c r="H483" s="37">
        <v>0</v>
      </c>
      <c r="I483" s="55">
        <f t="shared" si="22"/>
        <v>4193111497.79</v>
      </c>
      <c r="J483" s="60">
        <v>-2</v>
      </c>
      <c r="K483" s="56">
        <f t="shared" si="23"/>
        <v>4193111495.79</v>
      </c>
      <c r="L483" s="60">
        <v>0</v>
      </c>
      <c r="M483" s="69" t="s">
        <v>739</v>
      </c>
      <c r="N483" t="s">
        <v>708</v>
      </c>
      <c r="O483" s="38"/>
      <c r="P483" s="35">
        <v>107155390.3</v>
      </c>
      <c r="Q483" s="35">
        <v>43656078</v>
      </c>
      <c r="R483" s="78"/>
      <c r="V483" s="38"/>
      <c r="W483" s="58"/>
      <c r="X483" s="58"/>
      <c r="Y483" s="58"/>
      <c r="Z483" s="58"/>
    </row>
    <row r="484" spans="1:26">
      <c r="A484" s="50" t="s">
        <v>30</v>
      </c>
      <c r="B484" s="51" t="s">
        <v>658</v>
      </c>
      <c r="C484" s="52"/>
      <c r="D484" s="64">
        <v>2022</v>
      </c>
      <c r="E484" s="37">
        <v>752858715</v>
      </c>
      <c r="F484" s="37">
        <v>1582357606</v>
      </c>
      <c r="G484" s="37">
        <v>2627661775</v>
      </c>
      <c r="H484" s="37">
        <v>0</v>
      </c>
      <c r="I484" s="55">
        <f t="shared" si="22"/>
        <v>4962878096</v>
      </c>
      <c r="J484" s="60">
        <v>-2</v>
      </c>
      <c r="K484" s="56">
        <f t="shared" si="23"/>
        <v>4962878094</v>
      </c>
      <c r="L484" s="60">
        <v>0</v>
      </c>
      <c r="M484" s="69" t="s">
        <v>739</v>
      </c>
      <c r="N484" t="s">
        <v>708</v>
      </c>
      <c r="O484" s="38"/>
      <c r="P484" s="60">
        <v>123437503</v>
      </c>
      <c r="Q484" s="60">
        <v>43575303</v>
      </c>
      <c r="R484" s="78"/>
      <c r="V484" s="38"/>
      <c r="W484" s="58"/>
      <c r="X484" s="58"/>
      <c r="Y484" s="58"/>
      <c r="Z484" s="58"/>
    </row>
    <row r="485" spans="1:26">
      <c r="A485" s="50" t="s">
        <v>30</v>
      </c>
      <c r="B485" s="51" t="s">
        <v>658</v>
      </c>
      <c r="C485" s="52"/>
      <c r="D485" s="53">
        <v>2023</v>
      </c>
      <c r="E485" s="37">
        <v>763176676</v>
      </c>
      <c r="F485" s="37">
        <v>1594007347.1215</v>
      </c>
      <c r="G485" s="37">
        <v>2780490758.54</v>
      </c>
      <c r="H485" s="37">
        <v>0</v>
      </c>
      <c r="I485" s="55">
        <f t="shared" si="22"/>
        <v>5137674781.6615</v>
      </c>
      <c r="J485" s="60">
        <v>-101168</v>
      </c>
      <c r="K485" s="56">
        <f t="shared" si="23"/>
        <v>5137573613.6615</v>
      </c>
      <c r="L485" s="37">
        <v>0</v>
      </c>
      <c r="M485" s="69" t="s">
        <v>739</v>
      </c>
      <c r="O485" s="38"/>
      <c r="P485" s="60">
        <v>118038771.83</v>
      </c>
      <c r="Q485" s="60">
        <v>43302270</v>
      </c>
      <c r="R485" s="78"/>
      <c r="V485" s="38"/>
      <c r="W485" s="58"/>
      <c r="X485" s="58"/>
      <c r="Y485" s="58"/>
      <c r="Z485" s="58"/>
    </row>
    <row r="486" spans="1:26">
      <c r="A486" s="50"/>
      <c r="B486" s="52"/>
      <c r="C486" s="52"/>
      <c r="E486" s="54"/>
      <c r="F486" s="54"/>
      <c r="G486" s="54"/>
      <c r="H486" s="54"/>
      <c r="I486" s="55"/>
      <c r="K486" s="65"/>
      <c r="L486" s="37"/>
      <c r="M486" s="69"/>
      <c r="O486" s="38"/>
    </row>
    <row r="487" spans="1:26">
      <c r="A487" s="50" t="s">
        <v>32</v>
      </c>
      <c r="B487" s="51" t="s">
        <v>310</v>
      </c>
      <c r="C487" s="52" t="s">
        <v>759</v>
      </c>
      <c r="D487" s="53">
        <v>1988</v>
      </c>
      <c r="E487" s="54">
        <v>2916560905</v>
      </c>
      <c r="F487" s="54">
        <v>2858069425</v>
      </c>
      <c r="G487" s="54">
        <v>4014954929</v>
      </c>
      <c r="H487" s="54">
        <v>2266160590</v>
      </c>
      <c r="I487" s="55">
        <f t="shared" si="22"/>
        <v>12055745849</v>
      </c>
      <c r="J487" s="54">
        <v>0</v>
      </c>
      <c r="K487" s="56">
        <f>SUM(I487:J487)</f>
        <v>12055745849</v>
      </c>
      <c r="L487" s="37">
        <v>0</v>
      </c>
      <c r="M487" s="69"/>
      <c r="O487" s="38" t="str">
        <f>IF([1]totrevprm!O488="","",[1]totrevprm!O488)</f>
        <v/>
      </c>
    </row>
    <row r="488" spans="1:26">
      <c r="A488" s="50" t="s">
        <v>32</v>
      </c>
      <c r="B488" s="51" t="s">
        <v>310</v>
      </c>
      <c r="C488" s="52" t="s">
        <v>731</v>
      </c>
      <c r="D488" s="53">
        <v>1989</v>
      </c>
      <c r="E488" s="54">
        <v>2700553206</v>
      </c>
      <c r="F488" s="54">
        <v>2674346269</v>
      </c>
      <c r="G488" s="54">
        <v>4301382157</v>
      </c>
      <c r="H488" s="54">
        <v>2493039004</v>
      </c>
      <c r="I488" s="55">
        <f t="shared" si="22"/>
        <v>12169320636</v>
      </c>
      <c r="J488" s="54">
        <v>0</v>
      </c>
      <c r="K488" s="56">
        <f t="shared" ref="K488:K522" si="24">SUM(I488:J488)</f>
        <v>12169320636</v>
      </c>
      <c r="L488" s="37">
        <v>0</v>
      </c>
      <c r="M488" s="69"/>
      <c r="O488" s="38" t="str">
        <f>IF([1]totrevprm!O489="","",[1]totrevprm!O489)</f>
        <v/>
      </c>
    </row>
    <row r="489" spans="1:26">
      <c r="A489" s="50" t="s">
        <v>32</v>
      </c>
      <c r="B489" s="51" t="s">
        <v>310</v>
      </c>
      <c r="C489" s="52" t="s">
        <v>731</v>
      </c>
      <c r="D489" s="53">
        <v>1990</v>
      </c>
      <c r="E489" s="54">
        <v>3209665412</v>
      </c>
      <c r="F489" s="54">
        <v>3309153971.7600002</v>
      </c>
      <c r="G489" s="54">
        <v>4650013014</v>
      </c>
      <c r="H489" s="54">
        <v>2299751811</v>
      </c>
      <c r="I489" s="55">
        <f t="shared" si="22"/>
        <v>13468584208.76</v>
      </c>
      <c r="J489" s="54">
        <v>0</v>
      </c>
      <c r="K489" s="56">
        <f t="shared" si="24"/>
        <v>13468584208.76</v>
      </c>
      <c r="L489" s="37">
        <v>0</v>
      </c>
      <c r="M489" s="69"/>
      <c r="O489" s="38" t="str">
        <f>IF([1]totrevprm!O490="","",[1]totrevprm!O490)</f>
        <v/>
      </c>
    </row>
    <row r="490" spans="1:26">
      <c r="A490" s="50" t="s">
        <v>32</v>
      </c>
      <c r="B490" s="51" t="s">
        <v>310</v>
      </c>
      <c r="C490" s="52" t="s">
        <v>731</v>
      </c>
      <c r="D490" s="53">
        <v>1991</v>
      </c>
      <c r="E490" s="54">
        <v>3240873981</v>
      </c>
      <c r="F490" s="54">
        <v>2568263110</v>
      </c>
      <c r="G490" s="54">
        <v>4989068321</v>
      </c>
      <c r="H490" s="54">
        <v>2543478586</v>
      </c>
      <c r="I490" s="55">
        <f t="shared" si="22"/>
        <v>13341683998</v>
      </c>
      <c r="J490" s="54">
        <v>0</v>
      </c>
      <c r="K490" s="56">
        <f t="shared" si="24"/>
        <v>13341683998</v>
      </c>
      <c r="L490" s="37">
        <v>0</v>
      </c>
      <c r="M490" s="69"/>
      <c r="O490" s="38" t="str">
        <f>IF([1]totrevprm!O491="","",[1]totrevprm!O491)</f>
        <v/>
      </c>
    </row>
    <row r="491" spans="1:26">
      <c r="A491" s="50" t="s">
        <v>32</v>
      </c>
      <c r="B491" s="51" t="s">
        <v>310</v>
      </c>
      <c r="C491" s="52" t="s">
        <v>731</v>
      </c>
      <c r="D491" s="53">
        <v>1992</v>
      </c>
      <c r="E491" s="54">
        <v>3525611739</v>
      </c>
      <c r="F491" s="54">
        <v>3080341168.0799999</v>
      </c>
      <c r="G491" s="54">
        <v>5267388215</v>
      </c>
      <c r="H491" s="54">
        <v>1796618481</v>
      </c>
      <c r="I491" s="55">
        <f t="shared" si="22"/>
        <v>13669959603.08</v>
      </c>
      <c r="J491" s="54">
        <v>0</v>
      </c>
      <c r="K491" s="56">
        <f t="shared" si="24"/>
        <v>13669959603.08</v>
      </c>
      <c r="L491" s="37">
        <v>0</v>
      </c>
      <c r="M491" s="69"/>
      <c r="O491" s="38" t="str">
        <f>IF([1]totrevprm!O492="","",[1]totrevprm!O492)</f>
        <v/>
      </c>
    </row>
    <row r="492" spans="1:26">
      <c r="A492" s="50" t="s">
        <v>32</v>
      </c>
      <c r="B492" s="51" t="s">
        <v>310</v>
      </c>
      <c r="C492" s="52" t="s">
        <v>731</v>
      </c>
      <c r="D492" s="53">
        <v>1993</v>
      </c>
      <c r="E492" s="54">
        <v>3755748488</v>
      </c>
      <c r="F492" s="54">
        <v>2536677405</v>
      </c>
      <c r="G492" s="54">
        <v>5499260017</v>
      </c>
      <c r="H492" s="54">
        <v>1717591047</v>
      </c>
      <c r="I492" s="55">
        <f t="shared" ref="I492:I555" si="25">SUM(E492:H492)</f>
        <v>13509276957</v>
      </c>
      <c r="J492" s="54">
        <v>0</v>
      </c>
      <c r="K492" s="56">
        <f t="shared" si="24"/>
        <v>13509276957</v>
      </c>
      <c r="L492" s="37">
        <v>0</v>
      </c>
      <c r="M492" s="69"/>
      <c r="O492" s="38" t="str">
        <f>IF([1]totrevprm!O493="","",[1]totrevprm!O493)</f>
        <v/>
      </c>
    </row>
    <row r="493" spans="1:26">
      <c r="A493" s="50" t="s">
        <v>32</v>
      </c>
      <c r="B493" s="51" t="s">
        <v>310</v>
      </c>
      <c r="C493" s="52" t="s">
        <v>731</v>
      </c>
      <c r="D493" s="53">
        <v>1994</v>
      </c>
      <c r="E493" s="54">
        <v>3916038976</v>
      </c>
      <c r="F493" s="54">
        <v>3318561672</v>
      </c>
      <c r="G493" s="54">
        <v>5453615449</v>
      </c>
      <c r="H493" s="54">
        <v>1316602994</v>
      </c>
      <c r="I493" s="55">
        <f t="shared" si="25"/>
        <v>14004819091</v>
      </c>
      <c r="J493" s="54">
        <v>0</v>
      </c>
      <c r="K493" s="56">
        <f t="shared" si="24"/>
        <v>14004819091</v>
      </c>
      <c r="L493" s="37">
        <v>0</v>
      </c>
      <c r="M493" s="69"/>
      <c r="O493" s="38" t="str">
        <f>IF([1]totrevprm!O494="","",[1]totrevprm!O494)</f>
        <v/>
      </c>
    </row>
    <row r="494" spans="1:26">
      <c r="A494" s="50" t="s">
        <v>32</v>
      </c>
      <c r="B494" s="51" t="s">
        <v>310</v>
      </c>
      <c r="C494" s="52" t="s">
        <v>731</v>
      </c>
      <c r="D494" s="53">
        <v>1995</v>
      </c>
      <c r="E494" s="54">
        <v>4365262226</v>
      </c>
      <c r="F494" s="54">
        <v>3452409881</v>
      </c>
      <c r="G494" s="54">
        <v>5615584047</v>
      </c>
      <c r="H494" s="54">
        <v>1539192171</v>
      </c>
      <c r="I494" s="55">
        <f t="shared" si="25"/>
        <v>14972448325</v>
      </c>
      <c r="J494" s="54">
        <v>0</v>
      </c>
      <c r="K494" s="56">
        <f t="shared" si="24"/>
        <v>14972448325</v>
      </c>
      <c r="L494" s="37">
        <v>0</v>
      </c>
      <c r="M494" s="69"/>
      <c r="O494" s="38" t="str">
        <f>IF([1]totrevprm!O495="","",[1]totrevprm!O495)</f>
        <v/>
      </c>
    </row>
    <row r="495" spans="1:26">
      <c r="A495" s="50" t="s">
        <v>32</v>
      </c>
      <c r="B495" s="51" t="s">
        <v>310</v>
      </c>
      <c r="C495" s="52" t="s">
        <v>731</v>
      </c>
      <c r="D495" s="53">
        <v>1996</v>
      </c>
      <c r="E495" s="54">
        <v>4193919982</v>
      </c>
      <c r="F495" s="54">
        <v>3047390248</v>
      </c>
      <c r="G495" s="54">
        <v>8035409502</v>
      </c>
      <c r="H495" s="54">
        <v>1253094239</v>
      </c>
      <c r="I495" s="55">
        <f t="shared" si="25"/>
        <v>16529813971</v>
      </c>
      <c r="J495" s="54">
        <v>0</v>
      </c>
      <c r="K495" s="56">
        <f t="shared" si="24"/>
        <v>16529813971</v>
      </c>
      <c r="L495" s="37">
        <v>0</v>
      </c>
      <c r="M495" s="69"/>
      <c r="O495" s="38" t="str">
        <f>IF([1]totrevprm!O496="","",[1]totrevprm!O496)</f>
        <v/>
      </c>
    </row>
    <row r="496" spans="1:26">
      <c r="A496" s="50" t="s">
        <v>32</v>
      </c>
      <c r="B496" s="51" t="s">
        <v>310</v>
      </c>
      <c r="C496" s="52" t="s">
        <v>731</v>
      </c>
      <c r="D496" s="53">
        <v>1997</v>
      </c>
      <c r="E496" s="54">
        <v>4031393590</v>
      </c>
      <c r="F496" s="54">
        <v>3440298209</v>
      </c>
      <c r="G496" s="54">
        <v>8576360365</v>
      </c>
      <c r="H496" s="54">
        <v>1495483035</v>
      </c>
      <c r="I496" s="55">
        <f t="shared" si="25"/>
        <v>17543535199</v>
      </c>
      <c r="J496" s="54">
        <v>0</v>
      </c>
      <c r="K496" s="56">
        <f t="shared" si="24"/>
        <v>17543535199</v>
      </c>
      <c r="L496" s="37">
        <v>0</v>
      </c>
      <c r="M496" s="69"/>
      <c r="O496" s="38" t="str">
        <f>IF([1]totrevprm!O497="","",[1]totrevprm!O497)</f>
        <v/>
      </c>
    </row>
    <row r="497" spans="1:26">
      <c r="A497" s="50" t="s">
        <v>32</v>
      </c>
      <c r="B497" s="51" t="s">
        <v>310</v>
      </c>
      <c r="C497" s="52" t="s">
        <v>731</v>
      </c>
      <c r="D497" s="53">
        <v>1998</v>
      </c>
      <c r="E497" s="54">
        <v>4228395655</v>
      </c>
      <c r="F497" s="54">
        <v>2962927663</v>
      </c>
      <c r="G497" s="54">
        <v>9508753259</v>
      </c>
      <c r="H497" s="54">
        <v>1044210217</v>
      </c>
      <c r="I497" s="55">
        <f t="shared" si="25"/>
        <v>17744286794</v>
      </c>
      <c r="J497" s="54">
        <v>0</v>
      </c>
      <c r="K497" s="56">
        <f t="shared" si="24"/>
        <v>17744286794</v>
      </c>
      <c r="L497" s="37">
        <v>0</v>
      </c>
      <c r="M497" s="69"/>
      <c r="O497" s="38" t="str">
        <f>IF([1]totrevprm!O498="","",[1]totrevprm!O498)</f>
        <v/>
      </c>
    </row>
    <row r="498" spans="1:26">
      <c r="A498" s="50" t="s">
        <v>32</v>
      </c>
      <c r="B498" s="51" t="s">
        <v>310</v>
      </c>
      <c r="C498" s="52" t="s">
        <v>731</v>
      </c>
      <c r="D498" s="53">
        <v>1999</v>
      </c>
      <c r="E498" s="54">
        <v>4023964010</v>
      </c>
      <c r="F498" s="54">
        <v>4996875602</v>
      </c>
      <c r="G498" s="54">
        <v>10594243637</v>
      </c>
      <c r="H498" s="54">
        <v>1238480879</v>
      </c>
      <c r="I498" s="55">
        <f t="shared" si="25"/>
        <v>20853564128</v>
      </c>
      <c r="J498" s="54">
        <v>0</v>
      </c>
      <c r="K498" s="56">
        <f t="shared" si="24"/>
        <v>20853564128</v>
      </c>
      <c r="L498" s="37">
        <v>0</v>
      </c>
      <c r="M498" s="69"/>
      <c r="O498" s="38" t="str">
        <f>IF([1]totrevprm!O499="","",[1]totrevprm!O499)</f>
        <v/>
      </c>
    </row>
    <row r="499" spans="1:26">
      <c r="A499" s="50" t="s">
        <v>32</v>
      </c>
      <c r="B499" s="51" t="s">
        <v>310</v>
      </c>
      <c r="C499" s="52" t="s">
        <v>731</v>
      </c>
      <c r="D499" s="53">
        <v>2000</v>
      </c>
      <c r="E499" s="54">
        <v>4303930262</v>
      </c>
      <c r="F499" s="54">
        <v>4719150120</v>
      </c>
      <c r="G499" s="54">
        <v>12331631713</v>
      </c>
      <c r="H499" s="54">
        <v>873020430</v>
      </c>
      <c r="I499" s="55">
        <f t="shared" si="25"/>
        <v>22227732525</v>
      </c>
      <c r="J499" s="54">
        <v>0</v>
      </c>
      <c r="K499" s="56">
        <f t="shared" si="24"/>
        <v>22227732525</v>
      </c>
      <c r="L499" s="37">
        <v>0</v>
      </c>
      <c r="M499" s="69"/>
      <c r="O499" s="38" t="str">
        <f>IF([1]totrevprm!O500="","",[1]totrevprm!O500)</f>
        <v/>
      </c>
      <c r="V499" s="38" t="s">
        <v>310</v>
      </c>
      <c r="W499" s="58">
        <v>1385528</v>
      </c>
      <c r="X499" s="58">
        <v>78266064</v>
      </c>
      <c r="Y499" s="58">
        <v>41715770</v>
      </c>
      <c r="Z499" s="58">
        <v>0</v>
      </c>
    </row>
    <row r="500" spans="1:26">
      <c r="A500" s="50" t="s">
        <v>32</v>
      </c>
      <c r="B500" s="51" t="s">
        <v>310</v>
      </c>
      <c r="C500" s="52" t="s">
        <v>731</v>
      </c>
      <c r="D500" s="53">
        <v>2001</v>
      </c>
      <c r="E500" s="54">
        <v>4259788621</v>
      </c>
      <c r="F500" s="54">
        <v>6623766294.5100002</v>
      </c>
      <c r="G500" s="54">
        <v>8446525377</v>
      </c>
      <c r="H500" s="54">
        <v>1124798276</v>
      </c>
      <c r="I500" s="55">
        <f t="shared" si="25"/>
        <v>20454878568.510002</v>
      </c>
      <c r="J500" s="54">
        <v>0</v>
      </c>
      <c r="K500" s="56">
        <f t="shared" si="24"/>
        <v>20454878568.510002</v>
      </c>
      <c r="L500" s="37">
        <v>0</v>
      </c>
      <c r="M500" s="69"/>
      <c r="O500" s="38" t="str">
        <f>IF([1]totrevprm!O501="","",[1]totrevprm!O501)</f>
        <v/>
      </c>
      <c r="V500" s="38"/>
      <c r="W500" s="58"/>
      <c r="X500" s="58"/>
      <c r="Y500" s="58"/>
      <c r="Z500" s="58"/>
    </row>
    <row r="501" spans="1:26">
      <c r="A501" s="50" t="s">
        <v>32</v>
      </c>
      <c r="B501" s="51" t="s">
        <v>310</v>
      </c>
      <c r="C501" s="52" t="s">
        <v>731</v>
      </c>
      <c r="D501" s="53">
        <v>2002</v>
      </c>
      <c r="E501" s="54">
        <v>4474638586</v>
      </c>
      <c r="F501" s="54">
        <v>6954435404</v>
      </c>
      <c r="G501" s="54">
        <v>9157386286</v>
      </c>
      <c r="H501" s="54">
        <v>1081899396</v>
      </c>
      <c r="I501" s="55">
        <f t="shared" si="25"/>
        <v>21668359672</v>
      </c>
      <c r="J501" s="54">
        <v>0</v>
      </c>
      <c r="K501" s="56">
        <f t="shared" si="24"/>
        <v>21668359672</v>
      </c>
      <c r="L501" s="37">
        <v>0</v>
      </c>
      <c r="M501" s="69"/>
      <c r="O501" s="38" t="str">
        <f>IF([1]totrevprm!O502="","",[1]totrevprm!O502)</f>
        <v/>
      </c>
      <c r="V501" s="38"/>
      <c r="W501" s="58"/>
      <c r="X501" s="58"/>
      <c r="Y501" s="58"/>
      <c r="Z501" s="58"/>
    </row>
    <row r="502" spans="1:26">
      <c r="A502" s="50" t="s">
        <v>32</v>
      </c>
      <c r="B502" s="51" t="s">
        <v>310</v>
      </c>
      <c r="C502" s="52" t="s">
        <v>731</v>
      </c>
      <c r="D502" s="53">
        <v>2003</v>
      </c>
      <c r="E502" s="59">
        <v>4787263262</v>
      </c>
      <c r="F502" s="59">
        <v>5971977804</v>
      </c>
      <c r="G502" s="59">
        <v>9991773730</v>
      </c>
      <c r="H502" s="59">
        <v>1031390728</v>
      </c>
      <c r="I502" s="55">
        <f t="shared" si="25"/>
        <v>21782405524</v>
      </c>
      <c r="J502" s="54">
        <v>0</v>
      </c>
      <c r="K502" s="56">
        <f t="shared" si="24"/>
        <v>21782405524</v>
      </c>
      <c r="L502" s="37">
        <v>0</v>
      </c>
      <c r="M502" s="69"/>
      <c r="O502" s="38" t="str">
        <f>IF([1]totrevprm!O503="","",[1]totrevprm!O503)</f>
        <v/>
      </c>
      <c r="V502" s="38"/>
      <c r="W502" s="58"/>
      <c r="X502" s="58"/>
      <c r="Y502" s="58"/>
      <c r="Z502" s="58"/>
    </row>
    <row r="503" spans="1:26">
      <c r="A503" s="50" t="s">
        <v>32</v>
      </c>
      <c r="B503" s="51" t="s">
        <v>310</v>
      </c>
      <c r="C503" s="52" t="s">
        <v>731</v>
      </c>
      <c r="D503" s="53">
        <v>2004</v>
      </c>
      <c r="E503" s="59">
        <v>4905589261</v>
      </c>
      <c r="F503" s="59">
        <v>5074168432</v>
      </c>
      <c r="G503" s="59">
        <v>10062257016</v>
      </c>
      <c r="H503" s="59">
        <v>964060683</v>
      </c>
      <c r="I503" s="55">
        <f t="shared" si="25"/>
        <v>21006075392</v>
      </c>
      <c r="J503" s="54">
        <v>0</v>
      </c>
      <c r="K503" s="56">
        <f t="shared" si="24"/>
        <v>21006075392</v>
      </c>
      <c r="L503" s="37">
        <v>0</v>
      </c>
      <c r="M503" s="69"/>
      <c r="O503" s="38" t="str">
        <f>IF([1]totrevprm!O504="","",[1]totrevprm!O504)</f>
        <v/>
      </c>
      <c r="V503" s="38"/>
      <c r="W503" s="58"/>
      <c r="X503" s="58"/>
      <c r="Y503" s="58"/>
      <c r="Z503" s="58"/>
    </row>
    <row r="504" spans="1:26">
      <c r="A504" s="50" t="s">
        <v>32</v>
      </c>
      <c r="B504" s="51" t="s">
        <v>310</v>
      </c>
      <c r="C504" s="52"/>
      <c r="D504" s="53">
        <v>2005</v>
      </c>
      <c r="E504" s="59">
        <v>5005951330</v>
      </c>
      <c r="F504" s="59">
        <v>4504335031</v>
      </c>
      <c r="G504" s="59">
        <v>13031388654.58</v>
      </c>
      <c r="H504" s="59">
        <v>1117236715</v>
      </c>
      <c r="I504" s="55">
        <f t="shared" si="25"/>
        <v>23658911730.580002</v>
      </c>
      <c r="J504" s="54">
        <v>0</v>
      </c>
      <c r="K504" s="56">
        <f t="shared" si="24"/>
        <v>23658911730.580002</v>
      </c>
      <c r="L504" s="37">
        <v>0</v>
      </c>
      <c r="M504" s="69"/>
      <c r="O504" s="38" t="str">
        <f>IF([1]totrevprm!O505="","",[1]totrevprm!O505)</f>
        <v/>
      </c>
      <c r="V504" s="38"/>
      <c r="W504" s="58"/>
      <c r="X504" s="58"/>
      <c r="Y504" s="58"/>
      <c r="Z504" s="58"/>
    </row>
    <row r="505" spans="1:26">
      <c r="A505" s="50" t="s">
        <v>32</v>
      </c>
      <c r="B505" s="51" t="s">
        <v>310</v>
      </c>
      <c r="C505" s="52"/>
      <c r="D505" s="53">
        <v>2006</v>
      </c>
      <c r="E505" s="37">
        <v>5155599424</v>
      </c>
      <c r="F505" s="37">
        <v>5270569478</v>
      </c>
      <c r="G505" s="37">
        <v>14030574109</v>
      </c>
      <c r="H505" s="37">
        <v>1136037828</v>
      </c>
      <c r="I505" s="55">
        <f t="shared" si="25"/>
        <v>25592780839</v>
      </c>
      <c r="J505" s="54">
        <v>0</v>
      </c>
      <c r="K505" s="56">
        <f t="shared" si="24"/>
        <v>25592780839</v>
      </c>
      <c r="L505" s="37">
        <v>0</v>
      </c>
      <c r="M505" s="69"/>
      <c r="O505" s="38" t="str">
        <f>IF([1]totrevprm!O506="","",[1]totrevprm!O506)</f>
        <v/>
      </c>
      <c r="V505" s="38"/>
      <c r="W505" s="58"/>
      <c r="X505" s="58"/>
      <c r="Y505" s="58"/>
      <c r="Z505" s="58"/>
    </row>
    <row r="506" spans="1:26">
      <c r="A506" s="50" t="s">
        <v>32</v>
      </c>
      <c r="B506" s="51" t="s">
        <v>310</v>
      </c>
      <c r="C506" s="52"/>
      <c r="D506" s="53">
        <v>2007</v>
      </c>
      <c r="E506" s="37">
        <v>5254987425</v>
      </c>
      <c r="F506" s="37">
        <v>4904298341</v>
      </c>
      <c r="G506" s="37">
        <v>15154486923</v>
      </c>
      <c r="H506" s="37">
        <v>973891717</v>
      </c>
      <c r="I506" s="55">
        <f t="shared" si="25"/>
        <v>26287664406</v>
      </c>
      <c r="J506" s="54">
        <v>0</v>
      </c>
      <c r="K506" s="56">
        <f t="shared" si="24"/>
        <v>26287664406</v>
      </c>
      <c r="L506" s="37">
        <v>0</v>
      </c>
      <c r="M506" s="69"/>
      <c r="O506" s="38" t="str">
        <f>IF([1]totrevprm!O507="","",[1]totrevprm!O507)</f>
        <v/>
      </c>
      <c r="V506" s="38"/>
      <c r="W506" s="58"/>
      <c r="X506" s="58"/>
      <c r="Y506" s="58"/>
      <c r="Z506" s="58"/>
    </row>
    <row r="507" spans="1:26">
      <c r="A507" s="50" t="s">
        <v>32</v>
      </c>
      <c r="B507" s="51" t="s">
        <v>310</v>
      </c>
      <c r="C507" s="52"/>
      <c r="D507" s="53">
        <v>2008</v>
      </c>
      <c r="E507" s="37">
        <v>5313073725</v>
      </c>
      <c r="F507" s="37">
        <v>6343390548</v>
      </c>
      <c r="G507" s="37">
        <v>15801869753</v>
      </c>
      <c r="H507" s="37">
        <v>1219036294</v>
      </c>
      <c r="I507" s="55">
        <f t="shared" si="25"/>
        <v>28677370320</v>
      </c>
      <c r="J507" s="54">
        <v>0</v>
      </c>
      <c r="K507" s="56">
        <f t="shared" si="24"/>
        <v>28677370320</v>
      </c>
      <c r="L507" s="37">
        <v>0</v>
      </c>
      <c r="M507" s="69"/>
      <c r="O507" s="38" t="str">
        <f>IF([1]totrevprm!O508="","",[1]totrevprm!O508)</f>
        <v/>
      </c>
      <c r="V507" s="38"/>
      <c r="W507" s="58"/>
      <c r="X507" s="58"/>
      <c r="Y507" s="58"/>
      <c r="Z507" s="58"/>
    </row>
    <row r="508" spans="1:26">
      <c r="A508" s="50" t="s">
        <v>32</v>
      </c>
      <c r="B508" s="51" t="s">
        <v>310</v>
      </c>
      <c r="C508" s="52"/>
      <c r="D508" s="53">
        <v>2009</v>
      </c>
      <c r="E508" s="37">
        <v>5484099027</v>
      </c>
      <c r="F508" s="37">
        <v>6296720471</v>
      </c>
      <c r="G508" s="37">
        <v>16489255645</v>
      </c>
      <c r="H508" s="37">
        <v>1053662996</v>
      </c>
      <c r="I508" s="55">
        <f t="shared" si="25"/>
        <v>29323738139</v>
      </c>
      <c r="J508" s="54">
        <v>0</v>
      </c>
      <c r="K508" s="56">
        <f t="shared" si="24"/>
        <v>29323738139</v>
      </c>
      <c r="L508" s="37">
        <v>0</v>
      </c>
      <c r="M508" s="69"/>
      <c r="O508" s="38" t="str">
        <f>IF([1]totrevprm!O509="","",[1]totrevprm!O509)</f>
        <v/>
      </c>
      <c r="V508" s="38"/>
      <c r="W508" s="58"/>
      <c r="X508" s="58"/>
      <c r="Y508" s="58"/>
      <c r="Z508" s="58"/>
    </row>
    <row r="509" spans="1:26">
      <c r="A509" s="50" t="s">
        <v>32</v>
      </c>
      <c r="B509" s="51" t="s">
        <v>310</v>
      </c>
      <c r="C509" s="52"/>
      <c r="D509" s="53">
        <v>2010</v>
      </c>
      <c r="E509" s="37">
        <v>5726519796</v>
      </c>
      <c r="F509" s="37">
        <v>5652279187</v>
      </c>
      <c r="G509" s="37">
        <v>13645446481</v>
      </c>
      <c r="H509" s="37">
        <v>189789382</v>
      </c>
      <c r="I509" s="55">
        <f t="shared" si="25"/>
        <v>25214034846</v>
      </c>
      <c r="J509" s="54">
        <v>0</v>
      </c>
      <c r="K509" s="56">
        <f t="shared" si="24"/>
        <v>25214034846</v>
      </c>
      <c r="L509" s="37">
        <v>81202522</v>
      </c>
      <c r="M509" s="69" t="s">
        <v>735</v>
      </c>
      <c r="N509" t="s">
        <v>708</v>
      </c>
      <c r="O509" s="38" t="str">
        <f>IF([1]totrevprm!O510="","",[1]totrevprm!O510)</f>
        <v/>
      </c>
      <c r="T509" s="68"/>
      <c r="V509" s="38"/>
      <c r="W509" s="58"/>
      <c r="X509" s="58"/>
      <c r="Y509" s="58"/>
      <c r="Z509" s="58"/>
    </row>
    <row r="510" spans="1:26">
      <c r="A510" s="50" t="s">
        <v>32</v>
      </c>
      <c r="B510" s="51" t="s">
        <v>310</v>
      </c>
      <c r="C510" s="52"/>
      <c r="D510" s="53">
        <v>2011</v>
      </c>
      <c r="E510" s="37">
        <v>5747113843</v>
      </c>
      <c r="F510" s="37">
        <v>5672457385</v>
      </c>
      <c r="G510" s="37">
        <v>14094886109</v>
      </c>
      <c r="H510" s="37">
        <v>243715097</v>
      </c>
      <c r="I510" s="55">
        <f t="shared" si="25"/>
        <v>25758172434</v>
      </c>
      <c r="J510" s="54">
        <v>0</v>
      </c>
      <c r="K510" s="56">
        <f t="shared" si="24"/>
        <v>25758172434</v>
      </c>
      <c r="L510" s="37">
        <v>67640516</v>
      </c>
      <c r="M510" s="69" t="s">
        <v>735</v>
      </c>
      <c r="N510" t="s">
        <v>708</v>
      </c>
      <c r="O510" s="38" t="str">
        <f>IF([1]totrevprm!O511="","",[1]totrevprm!O511)</f>
        <v/>
      </c>
      <c r="T510" s="68"/>
      <c r="V510" s="38"/>
      <c r="W510" s="58"/>
      <c r="X510" s="58"/>
      <c r="Y510" s="58"/>
      <c r="Z510" s="58"/>
    </row>
    <row r="511" spans="1:26">
      <c r="A511" s="50" t="s">
        <v>32</v>
      </c>
      <c r="B511" s="51" t="s">
        <v>310</v>
      </c>
      <c r="C511" s="52"/>
      <c r="D511" s="53">
        <v>2012</v>
      </c>
      <c r="E511" s="37">
        <v>6042854505</v>
      </c>
      <c r="F511" s="37">
        <v>5979950953</v>
      </c>
      <c r="G511" s="37">
        <v>13455976512</v>
      </c>
      <c r="H511" s="37">
        <v>412561558</v>
      </c>
      <c r="I511" s="55">
        <f t="shared" si="25"/>
        <v>25891343528</v>
      </c>
      <c r="J511" s="54">
        <v>0</v>
      </c>
      <c r="K511" s="56">
        <f t="shared" si="24"/>
        <v>25891343528</v>
      </c>
      <c r="L511" s="37">
        <v>77834858</v>
      </c>
      <c r="M511" s="69" t="s">
        <v>735</v>
      </c>
      <c r="N511" t="s">
        <v>708</v>
      </c>
      <c r="O511" s="38" t="str">
        <f>IF([1]totrevprm!O512="","",[1]totrevprm!O512)</f>
        <v/>
      </c>
      <c r="T511" s="68"/>
      <c r="V511" s="38"/>
      <c r="W511" s="58"/>
      <c r="X511" s="58"/>
      <c r="Y511" s="58"/>
      <c r="Z511" s="58"/>
    </row>
    <row r="512" spans="1:26">
      <c r="A512" s="50" t="s">
        <v>32</v>
      </c>
      <c r="B512" s="51" t="s">
        <v>310</v>
      </c>
      <c r="C512" s="52"/>
      <c r="D512" s="53">
        <v>2013</v>
      </c>
      <c r="E512" s="37">
        <v>6146345573</v>
      </c>
      <c r="F512" s="37">
        <v>6488662049</v>
      </c>
      <c r="G512" s="37">
        <v>13583217538</v>
      </c>
      <c r="H512" s="37">
        <v>766353206</v>
      </c>
      <c r="I512" s="55">
        <f t="shared" si="25"/>
        <v>26984578366</v>
      </c>
      <c r="J512" s="54">
        <v>0</v>
      </c>
      <c r="K512" s="56">
        <f t="shared" si="24"/>
        <v>26984578366</v>
      </c>
      <c r="L512" s="37">
        <v>165833264</v>
      </c>
      <c r="M512" s="69" t="s">
        <v>735</v>
      </c>
      <c r="N512" t="s">
        <v>708</v>
      </c>
      <c r="O512" s="38" t="str">
        <f>IF([1]totrevprm!O513="","",[1]totrevprm!O513)</f>
        <v/>
      </c>
      <c r="T512" s="68"/>
      <c r="V512" s="38"/>
      <c r="W512" s="58"/>
      <c r="X512" s="58"/>
      <c r="Y512" s="58"/>
      <c r="Z512" s="58"/>
    </row>
    <row r="513" spans="1:26">
      <c r="A513" s="50" t="s">
        <v>32</v>
      </c>
      <c r="B513" s="51" t="s">
        <v>310</v>
      </c>
      <c r="C513" s="52"/>
      <c r="D513" s="64">
        <v>2014</v>
      </c>
      <c r="E513" s="37">
        <v>6121970505</v>
      </c>
      <c r="F513" s="37">
        <v>7158809775</v>
      </c>
      <c r="G513" s="37">
        <v>14914013358</v>
      </c>
      <c r="H513" s="37">
        <v>240962989</v>
      </c>
      <c r="I513" s="55">
        <f t="shared" si="25"/>
        <v>28435756627</v>
      </c>
      <c r="J513" s="54">
        <v>0</v>
      </c>
      <c r="K513" s="56">
        <f t="shared" si="24"/>
        <v>28435756627</v>
      </c>
      <c r="L513" s="37">
        <v>551934016</v>
      </c>
      <c r="M513" s="69" t="s">
        <v>735</v>
      </c>
      <c r="N513" t="s">
        <v>708</v>
      </c>
      <c r="O513" s="38" t="str">
        <f>IF([1]totrevprm!O514="","",[1]totrevprm!O514)</f>
        <v/>
      </c>
      <c r="T513" s="68"/>
      <c r="V513" s="38"/>
      <c r="W513" s="58"/>
      <c r="X513" s="58"/>
      <c r="Y513" s="58"/>
      <c r="Z513" s="58"/>
    </row>
    <row r="514" spans="1:26">
      <c r="A514" s="50" t="s">
        <v>32</v>
      </c>
      <c r="B514" s="51" t="s">
        <v>310</v>
      </c>
      <c r="C514" s="52"/>
      <c r="D514" s="64">
        <v>2015</v>
      </c>
      <c r="E514" s="37">
        <v>6300705529</v>
      </c>
      <c r="F514" s="37">
        <v>7029461236</v>
      </c>
      <c r="G514" s="37">
        <v>14785978415</v>
      </c>
      <c r="H514" s="37">
        <v>270633067</v>
      </c>
      <c r="I514" s="55">
        <f t="shared" si="25"/>
        <v>28386778247</v>
      </c>
      <c r="J514" s="54">
        <v>0</v>
      </c>
      <c r="K514" s="56">
        <f t="shared" si="24"/>
        <v>28386778247</v>
      </c>
      <c r="L514" s="37">
        <v>469922055</v>
      </c>
      <c r="M514" s="69" t="s">
        <v>735</v>
      </c>
      <c r="N514" t="s">
        <v>708</v>
      </c>
      <c r="O514" s="38" t="str">
        <f>IF([1]totrevprm!O515="","",[1]totrevprm!O515)</f>
        <v/>
      </c>
      <c r="P514" s="35">
        <v>934254333.63401377</v>
      </c>
      <c r="Q514" s="35">
        <v>478764894.57447761</v>
      </c>
      <c r="T514" s="68"/>
      <c r="V514" s="38"/>
      <c r="W514" s="58"/>
      <c r="X514" s="58"/>
      <c r="Y514" s="58"/>
      <c r="Z514" s="58"/>
    </row>
    <row r="515" spans="1:26">
      <c r="A515" s="50" t="s">
        <v>32</v>
      </c>
      <c r="B515" s="51" t="s">
        <v>310</v>
      </c>
      <c r="C515" s="52"/>
      <c r="D515" s="64">
        <v>2016</v>
      </c>
      <c r="E515" s="37">
        <v>6431812139</v>
      </c>
      <c r="F515" s="37">
        <v>7737328993</v>
      </c>
      <c r="G515" s="37">
        <v>14286189148</v>
      </c>
      <c r="H515" s="37">
        <v>316310318</v>
      </c>
      <c r="I515" s="55">
        <f t="shared" si="25"/>
        <v>28771640598</v>
      </c>
      <c r="J515" s="54">
        <v>0</v>
      </c>
      <c r="K515" s="56">
        <f t="shared" si="24"/>
        <v>28771640598</v>
      </c>
      <c r="L515" s="37">
        <v>173789767</v>
      </c>
      <c r="M515" s="69" t="s">
        <v>735</v>
      </c>
      <c r="N515" t="s">
        <v>708</v>
      </c>
      <c r="O515" s="38" t="str">
        <f>IF([1]totrevprm!O516="","",[1]totrevprm!O516)</f>
        <v/>
      </c>
      <c r="P515" s="35">
        <v>967756415.16788435</v>
      </c>
      <c r="Q515" s="35">
        <v>488204158.81150371</v>
      </c>
      <c r="T515" s="68"/>
      <c r="V515" s="38"/>
      <c r="W515" s="58"/>
      <c r="X515" s="58"/>
      <c r="Y515" s="58"/>
      <c r="Z515" s="58"/>
    </row>
    <row r="516" spans="1:26">
      <c r="A516" s="50" t="s">
        <v>32</v>
      </c>
      <c r="B516" s="51" t="s">
        <v>310</v>
      </c>
      <c r="C516" s="52"/>
      <c r="D516" s="64">
        <v>2017</v>
      </c>
      <c r="E516" s="37">
        <v>6478394243</v>
      </c>
      <c r="F516" s="37">
        <v>8352842426</v>
      </c>
      <c r="G516" s="37">
        <v>14798539216</v>
      </c>
      <c r="H516" s="37">
        <v>286967090</v>
      </c>
      <c r="I516" s="55">
        <f t="shared" si="25"/>
        <v>29916742975</v>
      </c>
      <c r="J516" s="54">
        <v>0</v>
      </c>
      <c r="K516" s="56">
        <f t="shared" si="24"/>
        <v>29916742975</v>
      </c>
      <c r="L516" s="60">
        <v>127439778</v>
      </c>
      <c r="M516" s="69" t="s">
        <v>735</v>
      </c>
      <c r="N516" t="s">
        <v>708</v>
      </c>
      <c r="O516" s="38" t="str">
        <f>IF([1]totrevprm!O517="","",[1]totrevprm!O517)</f>
        <v/>
      </c>
      <c r="P516" s="35">
        <v>1025007611.3445193</v>
      </c>
      <c r="Q516" s="35">
        <v>478080388.40322834</v>
      </c>
      <c r="T516" s="68"/>
      <c r="V516" s="38"/>
      <c r="W516" s="58"/>
      <c r="X516" s="58"/>
      <c r="Y516" s="58"/>
      <c r="Z516" s="58"/>
    </row>
    <row r="517" spans="1:26">
      <c r="A517" s="50" t="s">
        <v>32</v>
      </c>
      <c r="B517" s="51" t="s">
        <v>310</v>
      </c>
      <c r="C517" s="52"/>
      <c r="D517" s="64">
        <v>2018</v>
      </c>
      <c r="E517" s="37">
        <v>6674932605</v>
      </c>
      <c r="F517" s="37">
        <v>8446028028</v>
      </c>
      <c r="G517" s="37">
        <v>15732594491.889999</v>
      </c>
      <c r="H517" s="37">
        <v>331696688</v>
      </c>
      <c r="I517" s="55">
        <f t="shared" si="25"/>
        <v>31185251812.889999</v>
      </c>
      <c r="J517" s="54">
        <v>0</v>
      </c>
      <c r="K517" s="56">
        <f t="shared" si="24"/>
        <v>31185251812.889999</v>
      </c>
      <c r="L517" s="60">
        <v>257584218</v>
      </c>
      <c r="M517" s="69" t="s">
        <v>736</v>
      </c>
      <c r="N517" t="s">
        <v>708</v>
      </c>
      <c r="O517" s="38" t="str">
        <f>IF([1]totrevprm!O518="","",[1]totrevprm!O518)</f>
        <v>Yes</v>
      </c>
      <c r="P517" s="35">
        <v>1046173648.8680418</v>
      </c>
      <c r="Q517" s="35">
        <v>461795287.61683214</v>
      </c>
      <c r="R517" s="36"/>
      <c r="T517" s="68"/>
      <c r="V517" s="38"/>
      <c r="W517" s="58"/>
      <c r="X517" s="58"/>
      <c r="Y517" s="58"/>
      <c r="Z517" s="58"/>
    </row>
    <row r="518" spans="1:26">
      <c r="A518" s="50" t="s">
        <v>32</v>
      </c>
      <c r="B518" s="51" t="s">
        <v>310</v>
      </c>
      <c r="C518" s="52"/>
      <c r="D518" s="64">
        <v>2019</v>
      </c>
      <c r="E518" s="37">
        <v>7033626274</v>
      </c>
      <c r="F518" s="37">
        <v>9808947552</v>
      </c>
      <c r="G518" s="37">
        <v>20138274273.9622</v>
      </c>
      <c r="H518" s="37">
        <v>273227473</v>
      </c>
      <c r="I518" s="55">
        <f t="shared" si="25"/>
        <v>37254075572.962204</v>
      </c>
      <c r="J518" s="54">
        <v>0</v>
      </c>
      <c r="K518" s="56">
        <f t="shared" si="24"/>
        <v>37254075572.962204</v>
      </c>
      <c r="L518" s="60">
        <v>556308692</v>
      </c>
      <c r="M518" s="69" t="s">
        <v>738</v>
      </c>
      <c r="N518" t="s">
        <v>708</v>
      </c>
      <c r="O518" s="38" t="str">
        <f>IF([1]totrevprm!O519="","",[1]totrevprm!O519)</f>
        <v/>
      </c>
      <c r="P518" s="35">
        <v>1110128986.4837306</v>
      </c>
      <c r="Q518" s="35">
        <v>480897384.49405873</v>
      </c>
      <c r="R518" s="36"/>
      <c r="T518" s="68"/>
      <c r="V518" s="38"/>
      <c r="W518" s="58"/>
      <c r="X518" s="58"/>
      <c r="Y518" s="58"/>
      <c r="Z518" s="58"/>
    </row>
    <row r="519" spans="1:26">
      <c r="A519" s="50" t="s">
        <v>32</v>
      </c>
      <c r="B519" s="51" t="s">
        <v>310</v>
      </c>
      <c r="C519" s="52"/>
      <c r="D519" s="64">
        <v>2020</v>
      </c>
      <c r="E519" s="37">
        <v>6691934756</v>
      </c>
      <c r="F519" s="37">
        <v>9654901232</v>
      </c>
      <c r="G519" s="37">
        <v>20004193919</v>
      </c>
      <c r="H519" s="37">
        <v>511971958</v>
      </c>
      <c r="I519" s="55">
        <f t="shared" si="25"/>
        <v>36863001865</v>
      </c>
      <c r="J519" s="54">
        <v>0</v>
      </c>
      <c r="K519" s="56">
        <f t="shared" si="24"/>
        <v>36863001865</v>
      </c>
      <c r="L519" s="60">
        <v>342787409</v>
      </c>
      <c r="M519" s="69" t="s">
        <v>738</v>
      </c>
      <c r="N519" t="s">
        <v>708</v>
      </c>
      <c r="O519" s="38" t="str">
        <f>IF([1]totrevprm!O520="","",[1]totrevprm!O520)</f>
        <v/>
      </c>
      <c r="P519" s="35">
        <v>1090172965</v>
      </c>
      <c r="Q519" s="35">
        <v>467404841</v>
      </c>
      <c r="R519" s="36"/>
      <c r="T519" s="68"/>
      <c r="V519" s="38"/>
      <c r="W519" s="58"/>
      <c r="X519" s="58"/>
      <c r="Y519" s="58"/>
      <c r="Z519" s="58"/>
    </row>
    <row r="520" spans="1:26">
      <c r="A520" s="50" t="s">
        <v>32</v>
      </c>
      <c r="B520" s="51" t="s">
        <v>310</v>
      </c>
      <c r="C520" s="52"/>
      <c r="D520" s="64">
        <v>2021</v>
      </c>
      <c r="E520" s="37">
        <v>7209796402</v>
      </c>
      <c r="F520" s="37">
        <v>10029446718</v>
      </c>
      <c r="G520" s="37">
        <v>20580190505.650002</v>
      </c>
      <c r="H520" s="37">
        <v>176930197</v>
      </c>
      <c r="I520" s="55">
        <f t="shared" si="25"/>
        <v>37996363822.650002</v>
      </c>
      <c r="J520" s="54">
        <v>0</v>
      </c>
      <c r="K520" s="56">
        <f t="shared" si="24"/>
        <v>37996363822.650002</v>
      </c>
      <c r="L520" s="37">
        <v>0</v>
      </c>
      <c r="M520" s="69" t="s">
        <v>739</v>
      </c>
      <c r="N520" t="s">
        <v>708</v>
      </c>
      <c r="O520" s="38" t="s">
        <v>708</v>
      </c>
      <c r="P520" s="35">
        <v>1022319565.87</v>
      </c>
      <c r="Q520" s="35">
        <v>481819467</v>
      </c>
      <c r="R520" s="36"/>
      <c r="T520" s="68"/>
      <c r="V520" s="38"/>
      <c r="W520" s="58"/>
      <c r="X520" s="58"/>
      <c r="Y520" s="58"/>
      <c r="Z520" s="58"/>
    </row>
    <row r="521" spans="1:26">
      <c r="A521" s="50" t="s">
        <v>32</v>
      </c>
      <c r="B521" s="51" t="s">
        <v>310</v>
      </c>
      <c r="C521" s="52"/>
      <c r="D521" s="64">
        <v>2022</v>
      </c>
      <c r="E521" s="37">
        <v>7275387630</v>
      </c>
      <c r="F521" s="37">
        <v>12002748711</v>
      </c>
      <c r="G521" s="37">
        <v>21534137304</v>
      </c>
      <c r="H521" s="37">
        <v>212380971</v>
      </c>
      <c r="I521" s="55">
        <f t="shared" si="25"/>
        <v>41024654616</v>
      </c>
      <c r="J521" s="54">
        <v>0</v>
      </c>
      <c r="K521" s="56">
        <f t="shared" si="24"/>
        <v>41024654616</v>
      </c>
      <c r="L521" s="37">
        <v>0</v>
      </c>
      <c r="M521" s="69" t="s">
        <v>739</v>
      </c>
      <c r="O521" s="38"/>
      <c r="P521" s="60">
        <v>1071124248</v>
      </c>
      <c r="Q521" s="60">
        <v>473397179</v>
      </c>
      <c r="R521" s="36"/>
      <c r="T521" s="68"/>
      <c r="V521" s="38"/>
      <c r="W521" s="58"/>
      <c r="X521" s="58"/>
      <c r="Y521" s="58"/>
      <c r="Z521" s="58"/>
    </row>
    <row r="522" spans="1:26">
      <c r="A522" s="50" t="s">
        <v>32</v>
      </c>
      <c r="B522" s="51" t="s">
        <v>310</v>
      </c>
      <c r="C522" s="52"/>
      <c r="D522" s="53">
        <v>2023</v>
      </c>
      <c r="E522" s="37">
        <v>7181261769</v>
      </c>
      <c r="F522" s="37">
        <v>14661619645.7297</v>
      </c>
      <c r="G522" s="37">
        <v>22233629106.4548</v>
      </c>
      <c r="H522" s="37">
        <v>181664253</v>
      </c>
      <c r="I522" s="55">
        <f t="shared" si="25"/>
        <v>44258174774.184494</v>
      </c>
      <c r="J522" s="54">
        <v>0</v>
      </c>
      <c r="K522" s="56">
        <f t="shared" si="24"/>
        <v>44258174774.184494</v>
      </c>
      <c r="L522" s="37">
        <v>0</v>
      </c>
      <c r="M522" s="69" t="s">
        <v>739</v>
      </c>
      <c r="O522" s="38"/>
      <c r="P522" s="60">
        <v>1179184407.79</v>
      </c>
      <c r="Q522" s="60">
        <v>470416369</v>
      </c>
      <c r="R522" s="36"/>
      <c r="T522" s="68"/>
      <c r="V522" s="38"/>
      <c r="W522" s="58"/>
      <c r="X522" s="58"/>
      <c r="Y522" s="58"/>
      <c r="Z522" s="58"/>
    </row>
    <row r="523" spans="1:26">
      <c r="A523" s="50"/>
      <c r="B523" s="52"/>
      <c r="C523" s="52"/>
      <c r="E523" s="54"/>
      <c r="F523" s="54"/>
      <c r="G523" s="54"/>
      <c r="H523" s="54"/>
      <c r="I523" s="55"/>
      <c r="K523" s="65"/>
      <c r="L523" s="37"/>
      <c r="M523" s="69"/>
      <c r="O523" s="38"/>
    </row>
    <row r="524" spans="1:26">
      <c r="A524" s="50" t="s">
        <v>34</v>
      </c>
      <c r="B524" s="51" t="s">
        <v>332</v>
      </c>
      <c r="C524" s="52" t="s">
        <v>762</v>
      </c>
      <c r="D524" s="53">
        <v>1988</v>
      </c>
      <c r="E524" s="54">
        <v>1231294327</v>
      </c>
      <c r="F524" s="54">
        <v>999914339</v>
      </c>
      <c r="G524" s="54">
        <v>2348784694</v>
      </c>
      <c r="H524" s="54">
        <v>447992113</v>
      </c>
      <c r="I524" s="55">
        <f t="shared" si="25"/>
        <v>5027985473</v>
      </c>
      <c r="J524" s="54">
        <v>0</v>
      </c>
      <c r="K524" s="56">
        <f>SUM(I524:J524)</f>
        <v>5027985473</v>
      </c>
      <c r="L524" s="37">
        <v>0</v>
      </c>
      <c r="M524" s="69"/>
      <c r="O524" s="38" t="str">
        <f>IF([1]totrevprm!O525="","",[1]totrevprm!O525)</f>
        <v/>
      </c>
    </row>
    <row r="525" spans="1:26">
      <c r="A525" s="50" t="s">
        <v>34</v>
      </c>
      <c r="B525" s="51" t="s">
        <v>332</v>
      </c>
      <c r="C525" s="52" t="s">
        <v>731</v>
      </c>
      <c r="D525" s="53">
        <v>1989</v>
      </c>
      <c r="E525" s="54">
        <v>1181374662</v>
      </c>
      <c r="F525" s="54">
        <v>1111333190</v>
      </c>
      <c r="G525" s="54">
        <v>2168983793</v>
      </c>
      <c r="H525" s="54">
        <v>497481224</v>
      </c>
      <c r="I525" s="55">
        <f t="shared" si="25"/>
        <v>4959172869</v>
      </c>
      <c r="J525" s="54">
        <v>0</v>
      </c>
      <c r="K525" s="56">
        <f t="shared" ref="K525:K559" si="26">SUM(I525:J525)</f>
        <v>4959172869</v>
      </c>
      <c r="L525" s="37">
        <v>0</v>
      </c>
      <c r="M525" s="69"/>
      <c r="O525" s="38" t="str">
        <f>IF([1]totrevprm!O526="","",[1]totrevprm!O526)</f>
        <v/>
      </c>
    </row>
    <row r="526" spans="1:26">
      <c r="A526" s="50" t="s">
        <v>34</v>
      </c>
      <c r="B526" s="51" t="s">
        <v>332</v>
      </c>
      <c r="C526" s="52" t="s">
        <v>731</v>
      </c>
      <c r="D526" s="53">
        <v>1990</v>
      </c>
      <c r="E526" s="54">
        <v>1396295793</v>
      </c>
      <c r="F526" s="54">
        <v>1042759123.04</v>
      </c>
      <c r="G526" s="54">
        <v>2311773993</v>
      </c>
      <c r="H526" s="54">
        <v>428237312</v>
      </c>
      <c r="I526" s="55">
        <f t="shared" si="25"/>
        <v>5179066221.04</v>
      </c>
      <c r="J526" s="54">
        <v>0</v>
      </c>
      <c r="K526" s="56">
        <f t="shared" si="26"/>
        <v>5179066221.04</v>
      </c>
      <c r="L526" s="37">
        <v>0</v>
      </c>
      <c r="M526" s="69"/>
      <c r="O526" s="38" t="str">
        <f>IF([1]totrevprm!O527="","",[1]totrevprm!O527)</f>
        <v/>
      </c>
    </row>
    <row r="527" spans="1:26">
      <c r="A527" s="50" t="s">
        <v>34</v>
      </c>
      <c r="B527" s="51" t="s">
        <v>332</v>
      </c>
      <c r="C527" s="52" t="s">
        <v>731</v>
      </c>
      <c r="D527" s="53">
        <v>1991</v>
      </c>
      <c r="E527" s="54">
        <v>1388097147</v>
      </c>
      <c r="F527" s="54">
        <v>986945655</v>
      </c>
      <c r="G527" s="54">
        <v>2331465830</v>
      </c>
      <c r="H527" s="54">
        <v>585284957</v>
      </c>
      <c r="I527" s="55">
        <f t="shared" si="25"/>
        <v>5291793589</v>
      </c>
      <c r="J527" s="54">
        <v>0</v>
      </c>
      <c r="K527" s="56">
        <f t="shared" si="26"/>
        <v>5291793589</v>
      </c>
      <c r="L527" s="37">
        <v>0</v>
      </c>
      <c r="M527" s="69"/>
      <c r="O527" s="38" t="str">
        <f>IF([1]totrevprm!O528="","",[1]totrevprm!O528)</f>
        <v/>
      </c>
    </row>
    <row r="528" spans="1:26">
      <c r="A528" s="50" t="s">
        <v>34</v>
      </c>
      <c r="B528" s="51" t="s">
        <v>332</v>
      </c>
      <c r="C528" s="52" t="s">
        <v>731</v>
      </c>
      <c r="D528" s="53">
        <v>1992</v>
      </c>
      <c r="E528" s="54">
        <v>1433697023</v>
      </c>
      <c r="F528" s="54">
        <v>1198789437.2</v>
      </c>
      <c r="G528" s="54">
        <v>2468301295</v>
      </c>
      <c r="H528" s="54">
        <v>612775366</v>
      </c>
      <c r="I528" s="55">
        <f t="shared" si="25"/>
        <v>5713563121.1999998</v>
      </c>
      <c r="J528" s="54">
        <v>0</v>
      </c>
      <c r="K528" s="56">
        <f t="shared" si="26"/>
        <v>5713563121.1999998</v>
      </c>
      <c r="L528" s="37">
        <v>0</v>
      </c>
      <c r="M528" s="69"/>
      <c r="O528" s="38" t="str">
        <f>IF([1]totrevprm!O529="","",[1]totrevprm!O529)</f>
        <v/>
      </c>
    </row>
    <row r="529" spans="1:26">
      <c r="A529" s="50" t="s">
        <v>34</v>
      </c>
      <c r="B529" s="51" t="s">
        <v>332</v>
      </c>
      <c r="C529" s="52" t="s">
        <v>731</v>
      </c>
      <c r="D529" s="53">
        <v>1993</v>
      </c>
      <c r="E529" s="54">
        <v>1715050080</v>
      </c>
      <c r="F529" s="54">
        <v>1116563807</v>
      </c>
      <c r="G529" s="54">
        <v>2510014270</v>
      </c>
      <c r="H529" s="54">
        <v>461657848</v>
      </c>
      <c r="I529" s="55">
        <f t="shared" si="25"/>
        <v>5803286005</v>
      </c>
      <c r="J529" s="54">
        <v>0</v>
      </c>
      <c r="K529" s="56">
        <f t="shared" si="26"/>
        <v>5803286005</v>
      </c>
      <c r="L529" s="37">
        <v>0</v>
      </c>
      <c r="M529" s="69"/>
      <c r="O529" s="38" t="str">
        <f>IF([1]totrevprm!O530="","",[1]totrevprm!O530)</f>
        <v/>
      </c>
    </row>
    <row r="530" spans="1:26">
      <c r="A530" s="50" t="s">
        <v>34</v>
      </c>
      <c r="B530" s="51" t="s">
        <v>332</v>
      </c>
      <c r="C530" s="52" t="s">
        <v>731</v>
      </c>
      <c r="D530" s="53">
        <v>1994</v>
      </c>
      <c r="E530" s="54">
        <v>1715383678</v>
      </c>
      <c r="F530" s="54">
        <v>1311306571</v>
      </c>
      <c r="G530" s="54">
        <v>2495742336</v>
      </c>
      <c r="H530" s="54">
        <v>389491884</v>
      </c>
      <c r="I530" s="55">
        <f t="shared" si="25"/>
        <v>5911924469</v>
      </c>
      <c r="J530" s="54">
        <v>0</v>
      </c>
      <c r="K530" s="56">
        <f t="shared" si="26"/>
        <v>5911924469</v>
      </c>
      <c r="L530" s="37">
        <v>0</v>
      </c>
      <c r="M530" s="69"/>
      <c r="O530" s="38" t="str">
        <f>IF([1]totrevprm!O531="","",[1]totrevprm!O531)</f>
        <v/>
      </c>
    </row>
    <row r="531" spans="1:26">
      <c r="A531" s="50" t="s">
        <v>34</v>
      </c>
      <c r="B531" s="51" t="s">
        <v>332</v>
      </c>
      <c r="C531" s="52" t="s">
        <v>763</v>
      </c>
      <c r="D531" s="53">
        <v>1995</v>
      </c>
      <c r="E531" s="54">
        <v>1813993181</v>
      </c>
      <c r="F531" s="54">
        <v>1512798957</v>
      </c>
      <c r="G531" s="54">
        <v>2542117119</v>
      </c>
      <c r="H531" s="54">
        <v>193611050</v>
      </c>
      <c r="I531" s="55">
        <f t="shared" si="25"/>
        <v>6062520307</v>
      </c>
      <c r="J531" s="54">
        <v>0</v>
      </c>
      <c r="K531" s="56">
        <f t="shared" si="26"/>
        <v>6062520307</v>
      </c>
      <c r="L531" s="37">
        <v>0</v>
      </c>
      <c r="M531" s="69"/>
      <c r="O531" s="38" t="str">
        <f>IF([1]totrevprm!O532="","",[1]totrevprm!O532)</f>
        <v/>
      </c>
    </row>
    <row r="532" spans="1:26">
      <c r="A532" s="50" t="s">
        <v>34</v>
      </c>
      <c r="B532" s="51" t="s">
        <v>332</v>
      </c>
      <c r="C532" s="52" t="s">
        <v>764</v>
      </c>
      <c r="D532" s="53">
        <v>1996</v>
      </c>
      <c r="E532" s="54">
        <v>1773426561</v>
      </c>
      <c r="F532" s="54">
        <v>1251211124</v>
      </c>
      <c r="G532" s="54">
        <v>2635099953</v>
      </c>
      <c r="H532" s="54">
        <v>123421523</v>
      </c>
      <c r="I532" s="55">
        <f t="shared" si="25"/>
        <v>5783159161</v>
      </c>
      <c r="J532" s="54">
        <v>0</v>
      </c>
      <c r="K532" s="56">
        <f t="shared" si="26"/>
        <v>5783159161</v>
      </c>
      <c r="L532" s="37">
        <v>0</v>
      </c>
      <c r="M532" s="69"/>
      <c r="O532" s="38" t="str">
        <f>IF([1]totrevprm!O533="","",[1]totrevprm!O533)</f>
        <v/>
      </c>
    </row>
    <row r="533" spans="1:26">
      <c r="A533" s="50" t="s">
        <v>34</v>
      </c>
      <c r="B533" s="51" t="s">
        <v>332</v>
      </c>
      <c r="C533" s="52" t="s">
        <v>731</v>
      </c>
      <c r="D533" s="53">
        <v>1997</v>
      </c>
      <c r="E533" s="54">
        <v>1830350893</v>
      </c>
      <c r="F533" s="54">
        <v>1317469268</v>
      </c>
      <c r="G533" s="54">
        <v>2832331407</v>
      </c>
      <c r="H533" s="54">
        <v>131511457</v>
      </c>
      <c r="I533" s="55">
        <f t="shared" si="25"/>
        <v>6111663025</v>
      </c>
      <c r="J533" s="54">
        <v>0</v>
      </c>
      <c r="K533" s="56">
        <f t="shared" si="26"/>
        <v>6111663025</v>
      </c>
      <c r="L533" s="37">
        <v>0</v>
      </c>
      <c r="M533" s="69"/>
      <c r="O533" s="38" t="str">
        <f>IF([1]totrevprm!O534="","",[1]totrevprm!O534)</f>
        <v/>
      </c>
    </row>
    <row r="534" spans="1:26">
      <c r="A534" s="50" t="s">
        <v>34</v>
      </c>
      <c r="B534" s="51" t="s">
        <v>332</v>
      </c>
      <c r="C534" s="52" t="s">
        <v>731</v>
      </c>
      <c r="D534" s="53">
        <v>1998</v>
      </c>
      <c r="E534" s="54">
        <v>1757241340</v>
      </c>
      <c r="F534" s="54">
        <v>1220705894</v>
      </c>
      <c r="G534" s="54">
        <v>2935832776</v>
      </c>
      <c r="H534" s="54">
        <v>120043488</v>
      </c>
      <c r="I534" s="55">
        <f t="shared" si="25"/>
        <v>6033823498</v>
      </c>
      <c r="J534" s="54">
        <v>0</v>
      </c>
      <c r="K534" s="56">
        <f t="shared" si="26"/>
        <v>6033823498</v>
      </c>
      <c r="L534" s="37">
        <v>0</v>
      </c>
      <c r="M534" s="69"/>
      <c r="O534" s="38" t="str">
        <f>IF([1]totrevprm!O535="","",[1]totrevprm!O535)</f>
        <v/>
      </c>
    </row>
    <row r="535" spans="1:26">
      <c r="A535" s="50" t="s">
        <v>34</v>
      </c>
      <c r="B535" s="51" t="s">
        <v>332</v>
      </c>
      <c r="C535" s="52" t="s">
        <v>731</v>
      </c>
      <c r="D535" s="53">
        <v>1999</v>
      </c>
      <c r="E535" s="54">
        <v>1778572036</v>
      </c>
      <c r="F535" s="54">
        <v>1590465827</v>
      </c>
      <c r="G535" s="54">
        <v>3126225781</v>
      </c>
      <c r="H535" s="54">
        <v>215832984</v>
      </c>
      <c r="I535" s="55">
        <f t="shared" si="25"/>
        <v>6711096628</v>
      </c>
      <c r="J535" s="54">
        <v>0</v>
      </c>
      <c r="K535" s="56">
        <f t="shared" si="26"/>
        <v>6711096628</v>
      </c>
      <c r="L535" s="37">
        <v>0</v>
      </c>
      <c r="M535" s="69"/>
      <c r="O535" s="38" t="str">
        <f>IF([1]totrevprm!O536="","",[1]totrevprm!O536)</f>
        <v/>
      </c>
    </row>
    <row r="536" spans="1:26">
      <c r="A536" s="50" t="s">
        <v>34</v>
      </c>
      <c r="B536" s="51" t="s">
        <v>332</v>
      </c>
      <c r="C536" s="52" t="s">
        <v>731</v>
      </c>
      <c r="D536" s="53">
        <v>2000</v>
      </c>
      <c r="E536" s="54">
        <v>2016183088</v>
      </c>
      <c r="F536" s="54">
        <v>1661089201</v>
      </c>
      <c r="G536" s="54">
        <v>3320183808</v>
      </c>
      <c r="H536" s="54">
        <v>280425402</v>
      </c>
      <c r="I536" s="55">
        <f t="shared" si="25"/>
        <v>7277881499</v>
      </c>
      <c r="J536" s="54">
        <v>0</v>
      </c>
      <c r="K536" s="56">
        <f t="shared" si="26"/>
        <v>7277881499</v>
      </c>
      <c r="L536" s="37">
        <v>0</v>
      </c>
      <c r="M536" s="69"/>
      <c r="O536" s="38" t="str">
        <f>IF([1]totrevprm!O537="","",[1]totrevprm!O537)</f>
        <v/>
      </c>
      <c r="V536" s="38" t="s">
        <v>332</v>
      </c>
      <c r="W536" s="58">
        <v>422706</v>
      </c>
      <c r="X536" s="58">
        <v>14873790</v>
      </c>
      <c r="Y536" s="58">
        <v>24747391</v>
      </c>
      <c r="Z536" s="58">
        <v>0</v>
      </c>
    </row>
    <row r="537" spans="1:26">
      <c r="A537" s="50" t="s">
        <v>34</v>
      </c>
      <c r="B537" s="51" t="s">
        <v>332</v>
      </c>
      <c r="C537" s="52" t="s">
        <v>731</v>
      </c>
      <c r="D537" s="53">
        <v>2001</v>
      </c>
      <c r="E537" s="54">
        <v>1754757434</v>
      </c>
      <c r="F537" s="54">
        <v>2404069919</v>
      </c>
      <c r="G537" s="54">
        <v>3594907640</v>
      </c>
      <c r="H537" s="54">
        <v>173930451</v>
      </c>
      <c r="I537" s="55">
        <f t="shared" si="25"/>
        <v>7927665444</v>
      </c>
      <c r="J537" s="54">
        <v>0</v>
      </c>
      <c r="K537" s="56">
        <f t="shared" si="26"/>
        <v>7927665444</v>
      </c>
      <c r="L537" s="37">
        <v>0</v>
      </c>
      <c r="M537" s="69"/>
      <c r="O537" s="38" t="str">
        <f>IF([1]totrevprm!O538="","",[1]totrevprm!O538)</f>
        <v/>
      </c>
      <c r="V537" s="38"/>
      <c r="W537" s="58"/>
      <c r="X537" s="58"/>
      <c r="Y537" s="58"/>
      <c r="Z537" s="58"/>
    </row>
    <row r="538" spans="1:26">
      <c r="A538" s="50" t="s">
        <v>34</v>
      </c>
      <c r="B538" s="51" t="s">
        <v>332</v>
      </c>
      <c r="C538" s="52" t="s">
        <v>731</v>
      </c>
      <c r="D538" s="53">
        <v>2002</v>
      </c>
      <c r="E538" s="54">
        <v>1801940643</v>
      </c>
      <c r="F538" s="54">
        <v>3287734605</v>
      </c>
      <c r="G538" s="54">
        <v>3681040208</v>
      </c>
      <c r="H538" s="54">
        <v>193303773</v>
      </c>
      <c r="I538" s="55">
        <f t="shared" si="25"/>
        <v>8964019229</v>
      </c>
      <c r="J538" s="54">
        <v>0</v>
      </c>
      <c r="K538" s="56">
        <f t="shared" si="26"/>
        <v>8964019229</v>
      </c>
      <c r="L538" s="37">
        <v>0</v>
      </c>
      <c r="M538" s="69"/>
      <c r="O538" s="38" t="str">
        <f>IF([1]totrevprm!O539="","",[1]totrevprm!O539)</f>
        <v/>
      </c>
      <c r="V538" s="38"/>
      <c r="W538" s="58"/>
      <c r="X538" s="58"/>
      <c r="Y538" s="58"/>
      <c r="Z538" s="58"/>
    </row>
    <row r="539" spans="1:26">
      <c r="A539" s="50" t="s">
        <v>34</v>
      </c>
      <c r="B539" s="51" t="s">
        <v>332</v>
      </c>
      <c r="C539" s="52" t="s">
        <v>731</v>
      </c>
      <c r="D539" s="53">
        <v>2003</v>
      </c>
      <c r="E539" s="59">
        <v>1883728661</v>
      </c>
      <c r="F539" s="59">
        <v>2814033507</v>
      </c>
      <c r="G539" s="59">
        <v>3870295263</v>
      </c>
      <c r="H539" s="59">
        <v>239331595</v>
      </c>
      <c r="I539" s="55">
        <f t="shared" si="25"/>
        <v>8807389026</v>
      </c>
      <c r="J539" s="54">
        <v>0</v>
      </c>
      <c r="K539" s="56">
        <f t="shared" si="26"/>
        <v>8807389026</v>
      </c>
      <c r="L539" s="37">
        <v>0</v>
      </c>
      <c r="M539" s="69"/>
      <c r="O539" s="38" t="str">
        <f>IF([1]totrevprm!O540="","",[1]totrevprm!O540)</f>
        <v/>
      </c>
      <c r="V539" s="38"/>
      <c r="W539" s="58"/>
      <c r="X539" s="58"/>
      <c r="Y539" s="58"/>
      <c r="Z539" s="58"/>
    </row>
    <row r="540" spans="1:26">
      <c r="A540" s="50" t="s">
        <v>34</v>
      </c>
      <c r="B540" s="51" t="s">
        <v>332</v>
      </c>
      <c r="C540" s="52" t="s">
        <v>731</v>
      </c>
      <c r="D540" s="53">
        <v>2004</v>
      </c>
      <c r="E540" s="59">
        <v>1963177960</v>
      </c>
      <c r="F540" s="59">
        <v>2500584579</v>
      </c>
      <c r="G540" s="59">
        <v>4249515656</v>
      </c>
      <c r="H540" s="59">
        <v>239575706</v>
      </c>
      <c r="I540" s="55">
        <f t="shared" si="25"/>
        <v>8952853901</v>
      </c>
      <c r="J540" s="54">
        <v>0</v>
      </c>
      <c r="K540" s="56">
        <f t="shared" si="26"/>
        <v>8952853901</v>
      </c>
      <c r="L540" s="37">
        <v>0</v>
      </c>
      <c r="M540" s="69"/>
      <c r="O540" s="38" t="str">
        <f>IF([1]totrevprm!O541="","",[1]totrevprm!O541)</f>
        <v/>
      </c>
      <c r="V540" s="38"/>
      <c r="W540" s="58"/>
      <c r="X540" s="58"/>
      <c r="Y540" s="58"/>
      <c r="Z540" s="58"/>
    </row>
    <row r="541" spans="1:26">
      <c r="A541" s="50" t="s">
        <v>34</v>
      </c>
      <c r="B541" s="51" t="s">
        <v>332</v>
      </c>
      <c r="C541" s="52"/>
      <c r="D541" s="53">
        <v>2005</v>
      </c>
      <c r="E541" s="59">
        <v>1920148953</v>
      </c>
      <c r="F541" s="59">
        <v>2337141661</v>
      </c>
      <c r="G541" s="59">
        <v>4553397486.8400002</v>
      </c>
      <c r="H541" s="59">
        <v>199230303</v>
      </c>
      <c r="I541" s="55">
        <f t="shared" si="25"/>
        <v>9009918403.8400002</v>
      </c>
      <c r="J541" s="54">
        <v>0</v>
      </c>
      <c r="K541" s="56">
        <f t="shared" si="26"/>
        <v>9009918403.8400002</v>
      </c>
      <c r="L541" s="37">
        <v>0</v>
      </c>
      <c r="M541" s="69"/>
      <c r="O541" s="38" t="str">
        <f>IF([1]totrevprm!O542="","",[1]totrevprm!O542)</f>
        <v/>
      </c>
      <c r="V541" s="38"/>
      <c r="W541" s="58"/>
      <c r="X541" s="58"/>
      <c r="Y541" s="58"/>
      <c r="Z541" s="58"/>
    </row>
    <row r="542" spans="1:26">
      <c r="A542" s="50" t="s">
        <v>34</v>
      </c>
      <c r="B542" s="51" t="s">
        <v>332</v>
      </c>
      <c r="C542" s="52"/>
      <c r="D542" s="53">
        <v>2006</v>
      </c>
      <c r="E542" s="37">
        <v>2009212261</v>
      </c>
      <c r="F542" s="37">
        <v>2633277686</v>
      </c>
      <c r="G542" s="37">
        <v>4947029637</v>
      </c>
      <c r="H542" s="37">
        <v>131890852</v>
      </c>
      <c r="I542" s="55">
        <f t="shared" si="25"/>
        <v>9721410436</v>
      </c>
      <c r="J542" s="54">
        <v>0</v>
      </c>
      <c r="K542" s="56">
        <f t="shared" si="26"/>
        <v>9721410436</v>
      </c>
      <c r="L542" s="37">
        <v>27606670</v>
      </c>
      <c r="M542" s="69" t="s">
        <v>735</v>
      </c>
      <c r="N542" t="s">
        <v>708</v>
      </c>
      <c r="O542" s="38" t="str">
        <f>IF([1]totrevprm!O543="","",[1]totrevprm!O543)</f>
        <v/>
      </c>
      <c r="T542" s="68"/>
      <c r="V542" s="38"/>
      <c r="W542" s="58"/>
      <c r="X542" s="58"/>
      <c r="Y542" s="58"/>
      <c r="Z542" s="58"/>
    </row>
    <row r="543" spans="1:26">
      <c r="A543" s="50" t="s">
        <v>34</v>
      </c>
      <c r="B543" s="51" t="s">
        <v>332</v>
      </c>
      <c r="C543" s="52"/>
      <c r="D543" s="53">
        <v>2007</v>
      </c>
      <c r="E543" s="37">
        <v>2104611100</v>
      </c>
      <c r="F543" s="37">
        <v>2598017957</v>
      </c>
      <c r="G543" s="37">
        <v>5660181152</v>
      </c>
      <c r="H543" s="37">
        <v>559888433</v>
      </c>
      <c r="I543" s="55">
        <f t="shared" si="25"/>
        <v>10922698642</v>
      </c>
      <c r="J543" s="54">
        <v>0</v>
      </c>
      <c r="K543" s="56">
        <f t="shared" si="26"/>
        <v>10922698642</v>
      </c>
      <c r="L543" s="37">
        <v>27877189</v>
      </c>
      <c r="M543" s="69" t="s">
        <v>735</v>
      </c>
      <c r="N543" t="s">
        <v>708</v>
      </c>
      <c r="O543" s="38" t="str">
        <f>IF([1]totrevprm!O544="","",[1]totrevprm!O544)</f>
        <v/>
      </c>
      <c r="T543" s="68"/>
      <c r="V543" s="38"/>
      <c r="W543" s="58"/>
      <c r="X543" s="58"/>
      <c r="Y543" s="58"/>
      <c r="Z543" s="58"/>
    </row>
    <row r="544" spans="1:26">
      <c r="A544" s="50" t="s">
        <v>34</v>
      </c>
      <c r="B544" s="51" t="s">
        <v>332</v>
      </c>
      <c r="C544" s="52"/>
      <c r="D544" s="53">
        <v>2008</v>
      </c>
      <c r="E544" s="37">
        <v>2125588259</v>
      </c>
      <c r="F544" s="37">
        <v>3502348602</v>
      </c>
      <c r="G544" s="37">
        <v>6102928689</v>
      </c>
      <c r="H544" s="37">
        <v>113770397</v>
      </c>
      <c r="I544" s="55">
        <f t="shared" si="25"/>
        <v>11844635947</v>
      </c>
      <c r="J544" s="54">
        <v>0</v>
      </c>
      <c r="K544" s="56">
        <f t="shared" si="26"/>
        <v>11844635947</v>
      </c>
      <c r="L544" s="37">
        <v>27940784</v>
      </c>
      <c r="M544" s="69" t="s">
        <v>735</v>
      </c>
      <c r="N544" t="s">
        <v>708</v>
      </c>
      <c r="O544" s="38" t="str">
        <f>IF([1]totrevprm!O545="","",[1]totrevprm!O545)</f>
        <v/>
      </c>
      <c r="T544" s="68"/>
      <c r="V544" s="38"/>
      <c r="W544" s="58"/>
      <c r="X544" s="58"/>
      <c r="Y544" s="58"/>
      <c r="Z544" s="58"/>
    </row>
    <row r="545" spans="1:26">
      <c r="A545" s="50" t="s">
        <v>34</v>
      </c>
      <c r="B545" s="51" t="s">
        <v>332</v>
      </c>
      <c r="C545" s="52"/>
      <c r="D545" s="53">
        <v>2009</v>
      </c>
      <c r="E545" s="37">
        <v>2220021000</v>
      </c>
      <c r="F545" s="37">
        <v>3311124802</v>
      </c>
      <c r="G545" s="37">
        <v>5921107022</v>
      </c>
      <c r="H545" s="37">
        <v>136748969</v>
      </c>
      <c r="I545" s="55">
        <f t="shared" si="25"/>
        <v>11589001793</v>
      </c>
      <c r="J545" s="54">
        <v>0</v>
      </c>
      <c r="K545" s="56">
        <f t="shared" si="26"/>
        <v>11589001793</v>
      </c>
      <c r="L545" s="37">
        <v>27872973</v>
      </c>
      <c r="M545" s="69" t="s">
        <v>735</v>
      </c>
      <c r="N545" t="s">
        <v>708</v>
      </c>
      <c r="O545" s="38" t="str">
        <f>IF([1]totrevprm!O546="","",[1]totrevprm!O546)</f>
        <v/>
      </c>
      <c r="V545" s="38"/>
      <c r="W545" s="58"/>
      <c r="X545" s="58"/>
      <c r="Y545" s="58"/>
      <c r="Z545" s="58"/>
    </row>
    <row r="546" spans="1:26">
      <c r="A546" s="50" t="s">
        <v>34</v>
      </c>
      <c r="B546" s="51" t="s">
        <v>332</v>
      </c>
      <c r="C546" s="52"/>
      <c r="D546" s="53">
        <v>2010</v>
      </c>
      <c r="E546" s="37">
        <v>2228429164</v>
      </c>
      <c r="F546" s="37">
        <v>2774889668</v>
      </c>
      <c r="G546" s="37">
        <v>6314520679</v>
      </c>
      <c r="H546" s="37">
        <v>281467985</v>
      </c>
      <c r="I546" s="55">
        <f t="shared" si="25"/>
        <v>11599307496</v>
      </c>
      <c r="J546" s="54">
        <v>0</v>
      </c>
      <c r="K546" s="56">
        <f t="shared" si="26"/>
        <v>11599307496</v>
      </c>
      <c r="L546" s="37">
        <v>18054994</v>
      </c>
      <c r="M546" s="69" t="s">
        <v>735</v>
      </c>
      <c r="N546" t="s">
        <v>708</v>
      </c>
      <c r="O546" s="38" t="str">
        <f>IF([1]totrevprm!O547="","",[1]totrevprm!O547)</f>
        <v/>
      </c>
      <c r="T546" s="68"/>
      <c r="V546" s="38"/>
      <c r="W546" s="58"/>
      <c r="X546" s="58"/>
      <c r="Y546" s="58"/>
      <c r="Z546" s="58"/>
    </row>
    <row r="547" spans="1:26">
      <c r="A547" s="50" t="s">
        <v>34</v>
      </c>
      <c r="B547" s="51" t="s">
        <v>332</v>
      </c>
      <c r="C547" s="52"/>
      <c r="D547" s="53">
        <v>2011</v>
      </c>
      <c r="E547" s="37">
        <v>2318050876</v>
      </c>
      <c r="F547" s="37">
        <v>2635774653</v>
      </c>
      <c r="G547" s="37">
        <v>5865937241.1700001</v>
      </c>
      <c r="H547" s="37">
        <v>271274044</v>
      </c>
      <c r="I547" s="55">
        <f t="shared" si="25"/>
        <v>11091036814.17</v>
      </c>
      <c r="J547" s="54">
        <v>0</v>
      </c>
      <c r="K547" s="56">
        <f t="shared" si="26"/>
        <v>11091036814.17</v>
      </c>
      <c r="L547" s="37">
        <v>14497421</v>
      </c>
      <c r="M547" s="69" t="s">
        <v>735</v>
      </c>
      <c r="N547" t="s">
        <v>708</v>
      </c>
      <c r="O547" s="38" t="str">
        <f>IF([1]totrevprm!O548="","",[1]totrevprm!O548)</f>
        <v/>
      </c>
      <c r="T547" s="68"/>
      <c r="V547" s="38"/>
      <c r="W547" s="58"/>
      <c r="X547" s="58"/>
      <c r="Y547" s="58"/>
      <c r="Z547" s="58"/>
    </row>
    <row r="548" spans="1:26">
      <c r="A548" s="50" t="s">
        <v>34</v>
      </c>
      <c r="B548" s="51" t="s">
        <v>332</v>
      </c>
      <c r="C548" s="52"/>
      <c r="D548" s="53">
        <v>2012</v>
      </c>
      <c r="E548" s="37">
        <v>2505999041</v>
      </c>
      <c r="F548" s="37">
        <v>4474179389</v>
      </c>
      <c r="G548" s="37">
        <v>6613392521</v>
      </c>
      <c r="H548" s="37">
        <v>189875052</v>
      </c>
      <c r="I548" s="55">
        <f t="shared" si="25"/>
        <v>13783446003</v>
      </c>
      <c r="J548" s="54">
        <v>0</v>
      </c>
      <c r="K548" s="56">
        <f t="shared" si="26"/>
        <v>13783446003</v>
      </c>
      <c r="L548" s="37">
        <v>18693357</v>
      </c>
      <c r="M548" s="69" t="s">
        <v>735</v>
      </c>
      <c r="N548" t="s">
        <v>708</v>
      </c>
      <c r="O548" s="38" t="str">
        <f>IF([1]totrevprm!O549="","",[1]totrevprm!O549)</f>
        <v/>
      </c>
      <c r="T548" s="68"/>
      <c r="V548" s="38"/>
      <c r="W548" s="58"/>
      <c r="X548" s="58"/>
      <c r="Y548" s="58"/>
      <c r="Z548" s="58"/>
    </row>
    <row r="549" spans="1:26">
      <c r="A549" s="50" t="s">
        <v>34</v>
      </c>
      <c r="B549" s="51" t="s">
        <v>332</v>
      </c>
      <c r="C549" s="52"/>
      <c r="D549" s="53">
        <v>2013</v>
      </c>
      <c r="E549" s="37">
        <v>2499393071</v>
      </c>
      <c r="F549" s="37">
        <v>2909753719</v>
      </c>
      <c r="G549" s="37">
        <v>5408125631</v>
      </c>
      <c r="H549" s="37">
        <v>320051927</v>
      </c>
      <c r="I549" s="55">
        <f t="shared" si="25"/>
        <v>11137324348</v>
      </c>
      <c r="J549" s="54">
        <v>0</v>
      </c>
      <c r="K549" s="56">
        <f t="shared" si="26"/>
        <v>11137324348</v>
      </c>
      <c r="L549" s="37">
        <v>20842043</v>
      </c>
      <c r="M549" s="69" t="s">
        <v>735</v>
      </c>
      <c r="N549" t="s">
        <v>708</v>
      </c>
      <c r="O549" s="38" t="str">
        <f>IF([1]totrevprm!O550="","",[1]totrevprm!O550)</f>
        <v/>
      </c>
      <c r="T549" s="68"/>
      <c r="V549" s="38"/>
      <c r="W549" s="58"/>
      <c r="X549" s="58"/>
      <c r="Y549" s="58"/>
      <c r="Z549" s="58"/>
    </row>
    <row r="550" spans="1:26">
      <c r="A550" s="50" t="s">
        <v>34</v>
      </c>
      <c r="B550" s="51" t="s">
        <v>332</v>
      </c>
      <c r="C550" s="52"/>
      <c r="D550" s="53">
        <v>2014</v>
      </c>
      <c r="E550" s="37">
        <v>2500426137</v>
      </c>
      <c r="F550" s="37">
        <v>3541964592</v>
      </c>
      <c r="G550" s="37">
        <v>5701182787.1900005</v>
      </c>
      <c r="H550" s="37">
        <v>153448749</v>
      </c>
      <c r="I550" s="55">
        <f t="shared" si="25"/>
        <v>11897022265.190001</v>
      </c>
      <c r="J550" s="54">
        <v>0</v>
      </c>
      <c r="K550" s="56">
        <f t="shared" si="26"/>
        <v>11897022265.190001</v>
      </c>
      <c r="L550" s="37">
        <v>261994642</v>
      </c>
      <c r="M550" s="69" t="s">
        <v>735</v>
      </c>
      <c r="N550" t="s">
        <v>708</v>
      </c>
      <c r="O550" s="38" t="str">
        <f>IF([1]totrevprm!O551="","",[1]totrevprm!O551)</f>
        <v/>
      </c>
      <c r="T550" s="68"/>
      <c r="V550" s="38"/>
      <c r="W550" s="58"/>
      <c r="X550" s="58"/>
      <c r="Y550" s="58"/>
      <c r="Z550" s="58"/>
    </row>
    <row r="551" spans="1:26">
      <c r="A551" s="50" t="s">
        <v>34</v>
      </c>
      <c r="B551" s="51" t="s">
        <v>332</v>
      </c>
      <c r="C551" s="52"/>
      <c r="D551" s="53">
        <v>2015</v>
      </c>
      <c r="E551" s="37">
        <v>2547783314</v>
      </c>
      <c r="F551" s="37">
        <v>3716044788</v>
      </c>
      <c r="G551" s="37">
        <v>6264855729</v>
      </c>
      <c r="H551" s="37">
        <v>144901765</v>
      </c>
      <c r="I551" s="55">
        <f t="shared" si="25"/>
        <v>12673585596</v>
      </c>
      <c r="J551" s="54">
        <v>0</v>
      </c>
      <c r="K551" s="56">
        <f t="shared" si="26"/>
        <v>12673585596</v>
      </c>
      <c r="L551" s="37">
        <v>133788188</v>
      </c>
      <c r="M551" s="69" t="s">
        <v>735</v>
      </c>
      <c r="N551" t="s">
        <v>708</v>
      </c>
      <c r="O551" s="38" t="str">
        <f>IF([1]totrevprm!O552="","",[1]totrevprm!O552)</f>
        <v/>
      </c>
      <c r="P551" s="35">
        <v>402064550.4328559</v>
      </c>
      <c r="Q551" s="35">
        <v>182273140.55000001</v>
      </c>
      <c r="T551" s="68"/>
      <c r="V551" s="38"/>
      <c r="W551" s="58"/>
      <c r="X551" s="58"/>
      <c r="Y551" s="58"/>
      <c r="Z551" s="58"/>
    </row>
    <row r="552" spans="1:26">
      <c r="A552" s="50" t="s">
        <v>34</v>
      </c>
      <c r="B552" s="51" t="s">
        <v>332</v>
      </c>
      <c r="C552" s="52"/>
      <c r="D552" s="53">
        <v>2016</v>
      </c>
      <c r="E552" s="37">
        <v>2683673552</v>
      </c>
      <c r="F552" s="37">
        <v>4510682398</v>
      </c>
      <c r="G552" s="37">
        <v>5152184943</v>
      </c>
      <c r="H552" s="37">
        <v>129572989</v>
      </c>
      <c r="I552" s="55">
        <f t="shared" si="25"/>
        <v>12476113882</v>
      </c>
      <c r="J552" s="54">
        <v>0</v>
      </c>
      <c r="K552" s="56">
        <f t="shared" si="26"/>
        <v>12476113882</v>
      </c>
      <c r="L552" s="37">
        <v>59964263</v>
      </c>
      <c r="M552" s="69" t="s">
        <v>735</v>
      </c>
      <c r="N552" t="s">
        <v>708</v>
      </c>
      <c r="O552" s="38" t="str">
        <f>IF([1]totrevprm!O553="","",[1]totrevprm!O553)</f>
        <v/>
      </c>
      <c r="P552" s="35">
        <v>418532706.40372169</v>
      </c>
      <c r="Q552" s="35">
        <v>179734348.34</v>
      </c>
      <c r="T552" s="68"/>
      <c r="V552" s="38"/>
      <c r="W552" s="58"/>
      <c r="X552" s="58"/>
      <c r="Y552" s="58"/>
      <c r="Z552" s="58"/>
    </row>
    <row r="553" spans="1:26">
      <c r="A553" s="50" t="s">
        <v>34</v>
      </c>
      <c r="B553" s="51" t="s">
        <v>332</v>
      </c>
      <c r="C553" s="52"/>
      <c r="D553" s="53">
        <v>2017</v>
      </c>
      <c r="E553" s="37">
        <v>2691486684</v>
      </c>
      <c r="F553" s="37">
        <v>3891581066</v>
      </c>
      <c r="G553" s="37">
        <v>5013304004.5400009</v>
      </c>
      <c r="H553" s="37">
        <v>111063498</v>
      </c>
      <c r="I553" s="55">
        <f t="shared" si="25"/>
        <v>11707435252.540001</v>
      </c>
      <c r="J553" s="54">
        <v>0</v>
      </c>
      <c r="K553" s="56">
        <f t="shared" si="26"/>
        <v>11707435252.540001</v>
      </c>
      <c r="L553" s="60">
        <v>65339657</v>
      </c>
      <c r="M553" s="69" t="s">
        <v>765</v>
      </c>
      <c r="N553" t="s">
        <v>708</v>
      </c>
      <c r="O553" s="38" t="str">
        <f>IF([1]totrevprm!O554="","",[1]totrevprm!O554)</f>
        <v/>
      </c>
      <c r="P553" s="35">
        <v>440535870.95600116</v>
      </c>
      <c r="Q553" s="35">
        <v>177142951.16</v>
      </c>
      <c r="R553" s="36"/>
      <c r="S553" s="36">
        <v>615823748</v>
      </c>
      <c r="T553" s="36" t="s">
        <v>717</v>
      </c>
      <c r="U553" s="36">
        <v>28</v>
      </c>
      <c r="V553" s="38"/>
      <c r="W553" s="58"/>
      <c r="X553" s="58"/>
      <c r="Y553" s="60">
        <v>5629127752.5400009</v>
      </c>
      <c r="Z553" s="58"/>
    </row>
    <row r="554" spans="1:26">
      <c r="A554" s="50" t="s">
        <v>34</v>
      </c>
      <c r="B554" s="51" t="s">
        <v>332</v>
      </c>
      <c r="C554" s="52"/>
      <c r="D554" s="53">
        <v>2018</v>
      </c>
      <c r="E554" s="37">
        <v>2745526963</v>
      </c>
      <c r="F554" s="37">
        <v>4567271193</v>
      </c>
      <c r="G554" s="37">
        <v>6118564143.5</v>
      </c>
      <c r="H554" s="37">
        <v>104335432</v>
      </c>
      <c r="I554" s="55">
        <f t="shared" si="25"/>
        <v>13535697731.5</v>
      </c>
      <c r="J554" s="54">
        <v>0</v>
      </c>
      <c r="K554" s="56">
        <f t="shared" si="26"/>
        <v>13535697731.5</v>
      </c>
      <c r="L554" s="60">
        <v>218904999</v>
      </c>
      <c r="M554" s="69" t="s">
        <v>736</v>
      </c>
      <c r="N554" t="s">
        <v>708</v>
      </c>
      <c r="O554" s="38" t="str">
        <f>IF([1]totrevprm!O555="","",[1]totrevprm!O555)</f>
        <v>Yes</v>
      </c>
      <c r="P554" s="35">
        <v>458786724.60365164</v>
      </c>
      <c r="Q554" s="35">
        <v>168533772.67000002</v>
      </c>
      <c r="R554" s="36"/>
      <c r="V554" s="38"/>
      <c r="W554" s="58"/>
      <c r="X554" s="58"/>
      <c r="Y554" s="60">
        <v>5629127752.5400009</v>
      </c>
      <c r="Z554" s="58"/>
    </row>
    <row r="555" spans="1:26">
      <c r="A555" s="50" t="s">
        <v>34</v>
      </c>
      <c r="B555" s="51" t="s">
        <v>332</v>
      </c>
      <c r="C555" s="52"/>
      <c r="D555" s="53">
        <v>2019</v>
      </c>
      <c r="E555" s="37">
        <v>2836784072</v>
      </c>
      <c r="F555" s="37">
        <v>4789050513</v>
      </c>
      <c r="G555" s="37">
        <v>6138444880.8642006</v>
      </c>
      <c r="H555" s="37">
        <v>107777054</v>
      </c>
      <c r="I555" s="55">
        <f t="shared" si="25"/>
        <v>13872056519.864201</v>
      </c>
      <c r="J555" s="54">
        <v>0</v>
      </c>
      <c r="K555" s="56">
        <f t="shared" si="26"/>
        <v>13872056519.864201</v>
      </c>
      <c r="L555" s="60">
        <v>76142996</v>
      </c>
      <c r="M555" s="69" t="s">
        <v>738</v>
      </c>
      <c r="N555" t="s">
        <v>708</v>
      </c>
      <c r="O555" s="38" t="str">
        <f>IF([1]totrevprm!O556="","",[1]totrevprm!O556)</f>
        <v/>
      </c>
      <c r="P555" s="35">
        <v>497985102.16451287</v>
      </c>
      <c r="Q555" s="35">
        <v>166013304.94212431</v>
      </c>
      <c r="R555" s="36"/>
      <c r="V555" s="38"/>
      <c r="W555" s="58"/>
      <c r="X555" s="58"/>
      <c r="Y555" s="58"/>
      <c r="Z555" s="58"/>
    </row>
    <row r="556" spans="1:26">
      <c r="A556" s="50" t="s">
        <v>34</v>
      </c>
      <c r="B556" s="51" t="s">
        <v>332</v>
      </c>
      <c r="C556" s="52"/>
      <c r="D556" s="53">
        <v>2020</v>
      </c>
      <c r="E556" s="37">
        <v>2878257555</v>
      </c>
      <c r="F556" s="37">
        <v>4705169376</v>
      </c>
      <c r="G556" s="37">
        <v>6097875646</v>
      </c>
      <c r="H556" s="37">
        <v>194647341</v>
      </c>
      <c r="I556" s="55">
        <f t="shared" ref="I556:I619" si="27">SUM(E556:H556)</f>
        <v>13875949918</v>
      </c>
      <c r="J556" s="54">
        <v>0</v>
      </c>
      <c r="K556" s="56">
        <f t="shared" si="26"/>
        <v>13875949918</v>
      </c>
      <c r="L556" s="60">
        <v>95528635</v>
      </c>
      <c r="M556" s="69" t="s">
        <v>738</v>
      </c>
      <c r="N556" t="s">
        <v>708</v>
      </c>
      <c r="O556" s="38" t="str">
        <f>IF([1]totrevprm!O557="","",[1]totrevprm!O557)</f>
        <v/>
      </c>
      <c r="P556" s="35">
        <v>507256168</v>
      </c>
      <c r="Q556" s="35">
        <v>160030629</v>
      </c>
      <c r="R556" s="36"/>
      <c r="V556" s="38"/>
      <c r="W556" s="58"/>
      <c r="X556" s="58"/>
      <c r="Y556" s="58"/>
      <c r="Z556" s="58"/>
    </row>
    <row r="557" spans="1:26">
      <c r="A557" s="50" t="s">
        <v>34</v>
      </c>
      <c r="B557" s="51" t="s">
        <v>332</v>
      </c>
      <c r="C557" s="52"/>
      <c r="D557" s="53">
        <v>2021</v>
      </c>
      <c r="E557" s="37">
        <v>3065280516</v>
      </c>
      <c r="F557" s="37">
        <v>5064663620</v>
      </c>
      <c r="G557" s="37">
        <v>6177468060</v>
      </c>
      <c r="H557" s="37">
        <v>103978928</v>
      </c>
      <c r="I557" s="55">
        <f t="shared" si="27"/>
        <v>14411391124</v>
      </c>
      <c r="J557" s="54">
        <v>0</v>
      </c>
      <c r="K557" s="56">
        <f t="shared" si="26"/>
        <v>14411391124</v>
      </c>
      <c r="L557" s="37">
        <v>0</v>
      </c>
      <c r="M557" s="69" t="s">
        <v>739</v>
      </c>
      <c r="N557" t="s">
        <v>708</v>
      </c>
      <c r="O557" s="38" t="s">
        <v>708</v>
      </c>
      <c r="P557" s="35">
        <v>506614867.07999998</v>
      </c>
      <c r="Q557" s="35">
        <v>168701645</v>
      </c>
      <c r="R557" s="36"/>
      <c r="V557" s="38"/>
      <c r="W557" s="58"/>
      <c r="X557" s="58"/>
      <c r="Y557" s="58"/>
      <c r="Z557" s="58"/>
    </row>
    <row r="558" spans="1:26">
      <c r="A558" s="50" t="s">
        <v>34</v>
      </c>
      <c r="B558" s="51" t="s">
        <v>332</v>
      </c>
      <c r="C558" s="52"/>
      <c r="D558" s="53">
        <v>2022</v>
      </c>
      <c r="E558" s="37">
        <v>3267811868</v>
      </c>
      <c r="F558" s="37">
        <v>7046131315</v>
      </c>
      <c r="G558" s="37">
        <v>6293375266</v>
      </c>
      <c r="H558" s="37">
        <v>94848870</v>
      </c>
      <c r="I558" s="55">
        <f t="shared" si="27"/>
        <v>16702167319</v>
      </c>
      <c r="J558" s="54">
        <v>0</v>
      </c>
      <c r="K558" s="56">
        <f t="shared" si="26"/>
        <v>16702167319</v>
      </c>
      <c r="L558" s="37">
        <v>0</v>
      </c>
      <c r="M558" s="69" t="s">
        <v>739</v>
      </c>
      <c r="O558" s="38"/>
      <c r="P558" s="60">
        <v>535416656</v>
      </c>
      <c r="Q558" s="60">
        <v>160796655</v>
      </c>
    </row>
    <row r="559" spans="1:26">
      <c r="A559" s="50" t="s">
        <v>34</v>
      </c>
      <c r="B559" s="51" t="s">
        <v>332</v>
      </c>
      <c r="C559" s="52"/>
      <c r="D559" s="53">
        <v>2023</v>
      </c>
      <c r="E559" s="37">
        <v>3307286621</v>
      </c>
      <c r="F559" s="37">
        <v>7503782168.1681995</v>
      </c>
      <c r="G559" s="37">
        <v>6808468007.3232002</v>
      </c>
      <c r="H559" s="37">
        <v>94752036</v>
      </c>
      <c r="I559" s="55">
        <f t="shared" si="27"/>
        <v>17714288832.491402</v>
      </c>
      <c r="J559" s="54">
        <v>0</v>
      </c>
      <c r="K559" s="56">
        <f t="shared" si="26"/>
        <v>17714288832.491402</v>
      </c>
      <c r="L559" s="37">
        <v>0</v>
      </c>
      <c r="M559" s="69" t="s">
        <v>739</v>
      </c>
      <c r="O559" s="38"/>
      <c r="P559" s="60">
        <v>606379524.60000002</v>
      </c>
      <c r="Q559" s="60">
        <v>161329843</v>
      </c>
    </row>
    <row r="560" spans="1:26">
      <c r="A560" s="50"/>
      <c r="B560" s="52"/>
      <c r="C560" s="52"/>
      <c r="E560" s="54"/>
      <c r="F560" s="54"/>
      <c r="G560" s="54"/>
      <c r="H560" s="54"/>
      <c r="I560" s="55"/>
      <c r="K560" s="65"/>
      <c r="L560" s="37"/>
      <c r="M560" s="69"/>
      <c r="O560" s="38"/>
    </row>
    <row r="561" spans="1:26">
      <c r="A561" s="50" t="s">
        <v>36</v>
      </c>
      <c r="B561" s="51" t="s">
        <v>281</v>
      </c>
      <c r="C561" s="52" t="s">
        <v>766</v>
      </c>
      <c r="D561" s="53">
        <v>1988</v>
      </c>
      <c r="E561" s="54">
        <v>785518841</v>
      </c>
      <c r="F561" s="54">
        <v>666373201</v>
      </c>
      <c r="G561" s="54">
        <v>1257600157</v>
      </c>
      <c r="H561" s="54">
        <v>251661721</v>
      </c>
      <c r="I561" s="55">
        <f t="shared" si="27"/>
        <v>2961153920</v>
      </c>
      <c r="J561" s="54">
        <v>0</v>
      </c>
      <c r="K561" s="56">
        <f>SUM(I561:J561)</f>
        <v>2961153920</v>
      </c>
      <c r="L561" s="37">
        <v>0</v>
      </c>
      <c r="M561" s="69"/>
      <c r="O561" s="38" t="str">
        <f>IF([1]totrevprm!O562="","",[1]totrevprm!O562)</f>
        <v/>
      </c>
    </row>
    <row r="562" spans="1:26">
      <c r="A562" s="50" t="s">
        <v>36</v>
      </c>
      <c r="B562" s="51" t="s">
        <v>281</v>
      </c>
      <c r="C562" s="52" t="s">
        <v>742</v>
      </c>
      <c r="D562" s="53">
        <v>1989</v>
      </c>
      <c r="E562" s="54">
        <v>737400938</v>
      </c>
      <c r="F562" s="54">
        <v>713162245</v>
      </c>
      <c r="G562" s="54">
        <v>1385739261</v>
      </c>
      <c r="H562" s="54">
        <v>224539753</v>
      </c>
      <c r="I562" s="55">
        <f t="shared" si="27"/>
        <v>3060842197</v>
      </c>
      <c r="J562" s="54">
        <v>0</v>
      </c>
      <c r="K562" s="56">
        <f t="shared" ref="K562:K596" si="28">SUM(I562:J562)</f>
        <v>3060842197</v>
      </c>
      <c r="L562" s="37">
        <v>0</v>
      </c>
      <c r="M562" s="69"/>
      <c r="O562" s="38" t="str">
        <f>IF([1]totrevprm!O563="","",[1]totrevprm!O563)</f>
        <v/>
      </c>
    </row>
    <row r="563" spans="1:26">
      <c r="A563" s="50" t="s">
        <v>36</v>
      </c>
      <c r="B563" s="51" t="s">
        <v>281</v>
      </c>
      <c r="C563" s="52" t="s">
        <v>731</v>
      </c>
      <c r="D563" s="53">
        <v>1990</v>
      </c>
      <c r="E563" s="54">
        <v>756412872</v>
      </c>
      <c r="F563" s="54">
        <v>883066273.08000004</v>
      </c>
      <c r="G563" s="54">
        <v>1437593560</v>
      </c>
      <c r="H563" s="54">
        <v>174140010</v>
      </c>
      <c r="I563" s="55">
        <f t="shared" si="27"/>
        <v>3251212715.0799999</v>
      </c>
      <c r="J563" s="54">
        <v>0</v>
      </c>
      <c r="K563" s="56">
        <f t="shared" si="28"/>
        <v>3251212715.0799999</v>
      </c>
      <c r="L563" s="37">
        <v>0</v>
      </c>
      <c r="M563" s="69"/>
      <c r="O563" s="38" t="str">
        <f>IF([1]totrevprm!O564="","",[1]totrevprm!O564)</f>
        <v/>
      </c>
    </row>
    <row r="564" spans="1:26">
      <c r="A564" s="50" t="s">
        <v>36</v>
      </c>
      <c r="B564" s="51" t="s">
        <v>281</v>
      </c>
      <c r="C564" s="52" t="s">
        <v>731</v>
      </c>
      <c r="D564" s="53">
        <v>1991</v>
      </c>
      <c r="E564" s="54">
        <v>842900036</v>
      </c>
      <c r="F564" s="54">
        <v>886725305</v>
      </c>
      <c r="G564" s="54">
        <v>1391111493</v>
      </c>
      <c r="H564" s="54">
        <v>227822108</v>
      </c>
      <c r="I564" s="55">
        <f t="shared" si="27"/>
        <v>3348558942</v>
      </c>
      <c r="J564" s="54">
        <v>0</v>
      </c>
      <c r="K564" s="56">
        <f t="shared" si="28"/>
        <v>3348558942</v>
      </c>
      <c r="L564" s="37">
        <v>0</v>
      </c>
      <c r="M564" s="69"/>
      <c r="O564" s="38" t="str">
        <f>IF([1]totrevprm!O565="","",[1]totrevprm!O565)</f>
        <v/>
      </c>
    </row>
    <row r="565" spans="1:26">
      <c r="A565" s="50" t="s">
        <v>36</v>
      </c>
      <c r="B565" s="51" t="s">
        <v>281</v>
      </c>
      <c r="C565" s="52" t="s">
        <v>731</v>
      </c>
      <c r="D565" s="53">
        <v>1992</v>
      </c>
      <c r="E565" s="54">
        <v>842908152</v>
      </c>
      <c r="F565" s="54">
        <v>925692132.84000003</v>
      </c>
      <c r="G565" s="54">
        <v>1409401079</v>
      </c>
      <c r="H565" s="54">
        <v>128788808</v>
      </c>
      <c r="I565" s="55">
        <f t="shared" si="27"/>
        <v>3306790171.8400002</v>
      </c>
      <c r="J565" s="54">
        <v>0</v>
      </c>
      <c r="K565" s="56">
        <f t="shared" si="28"/>
        <v>3306790171.8400002</v>
      </c>
      <c r="L565" s="37">
        <v>0</v>
      </c>
      <c r="M565" s="69"/>
      <c r="O565" s="38" t="str">
        <f>IF([1]totrevprm!O566="","",[1]totrevprm!O566)</f>
        <v/>
      </c>
    </row>
    <row r="566" spans="1:26">
      <c r="A566" s="50" t="s">
        <v>36</v>
      </c>
      <c r="B566" s="51" t="s">
        <v>281</v>
      </c>
      <c r="C566" s="52" t="s">
        <v>731</v>
      </c>
      <c r="D566" s="53">
        <v>1993</v>
      </c>
      <c r="E566" s="54">
        <v>882251556</v>
      </c>
      <c r="F566" s="54">
        <v>904997269</v>
      </c>
      <c r="G566" s="54">
        <v>1626509806</v>
      </c>
      <c r="H566" s="54">
        <v>182073258</v>
      </c>
      <c r="I566" s="55">
        <f t="shared" si="27"/>
        <v>3595831889</v>
      </c>
      <c r="J566" s="54">
        <v>0</v>
      </c>
      <c r="K566" s="56">
        <f t="shared" si="28"/>
        <v>3595831889</v>
      </c>
      <c r="L566" s="37">
        <v>0</v>
      </c>
      <c r="M566" s="69"/>
      <c r="O566" s="38" t="str">
        <f>IF([1]totrevprm!O567="","",[1]totrevprm!O567)</f>
        <v/>
      </c>
    </row>
    <row r="567" spans="1:26">
      <c r="A567" s="50" t="s">
        <v>36</v>
      </c>
      <c r="B567" s="51" t="s">
        <v>281</v>
      </c>
      <c r="C567" s="52" t="s">
        <v>731</v>
      </c>
      <c r="D567" s="53">
        <v>1994</v>
      </c>
      <c r="E567" s="54">
        <v>942321717</v>
      </c>
      <c r="F567" s="54">
        <v>1008736756</v>
      </c>
      <c r="G567" s="54">
        <v>1637708558</v>
      </c>
      <c r="H567" s="54">
        <v>113476398</v>
      </c>
      <c r="I567" s="55">
        <f t="shared" si="27"/>
        <v>3702243429</v>
      </c>
      <c r="J567" s="54">
        <v>0</v>
      </c>
      <c r="K567" s="56">
        <f t="shared" si="28"/>
        <v>3702243429</v>
      </c>
      <c r="L567" s="37">
        <v>0</v>
      </c>
      <c r="M567" s="69"/>
      <c r="O567" s="38" t="str">
        <f>IF([1]totrevprm!O568="","",[1]totrevprm!O568)</f>
        <v/>
      </c>
    </row>
    <row r="568" spans="1:26">
      <c r="A568" s="50" t="s">
        <v>36</v>
      </c>
      <c r="B568" s="51" t="s">
        <v>281</v>
      </c>
      <c r="C568" s="52" t="s">
        <v>731</v>
      </c>
      <c r="D568" s="53">
        <v>1995</v>
      </c>
      <c r="E568" s="54">
        <v>997746336</v>
      </c>
      <c r="F568" s="54">
        <v>1016521518</v>
      </c>
      <c r="G568" s="54">
        <v>1737573975</v>
      </c>
      <c r="H568" s="54">
        <v>134059041</v>
      </c>
      <c r="I568" s="55">
        <f t="shared" si="27"/>
        <v>3885900870</v>
      </c>
      <c r="J568" s="54">
        <v>0</v>
      </c>
      <c r="K568" s="56">
        <f t="shared" si="28"/>
        <v>3885900870</v>
      </c>
      <c r="L568" s="37">
        <v>0</v>
      </c>
      <c r="M568" s="69"/>
      <c r="O568" s="38" t="str">
        <f>IF([1]totrevprm!O569="","",[1]totrevprm!O569)</f>
        <v/>
      </c>
    </row>
    <row r="569" spans="1:26">
      <c r="A569" s="50" t="s">
        <v>36</v>
      </c>
      <c r="B569" s="51" t="s">
        <v>281</v>
      </c>
      <c r="C569" s="52" t="s">
        <v>731</v>
      </c>
      <c r="D569" s="53">
        <v>1996</v>
      </c>
      <c r="E569" s="54">
        <v>955936583</v>
      </c>
      <c r="F569" s="54">
        <v>784021094</v>
      </c>
      <c r="G569" s="54">
        <v>1838043543</v>
      </c>
      <c r="H569" s="54">
        <v>109511547</v>
      </c>
      <c r="I569" s="55">
        <f t="shared" si="27"/>
        <v>3687512767</v>
      </c>
      <c r="J569" s="54">
        <v>0</v>
      </c>
      <c r="K569" s="56">
        <f t="shared" si="28"/>
        <v>3687512767</v>
      </c>
      <c r="L569" s="37">
        <v>0</v>
      </c>
      <c r="M569" s="69"/>
      <c r="O569" s="38" t="str">
        <f>IF([1]totrevprm!O570="","",[1]totrevprm!O570)</f>
        <v/>
      </c>
    </row>
    <row r="570" spans="1:26">
      <c r="A570" s="50" t="s">
        <v>36</v>
      </c>
      <c r="B570" s="51" t="s">
        <v>281</v>
      </c>
      <c r="C570" s="52" t="s">
        <v>731</v>
      </c>
      <c r="D570" s="53">
        <v>1997</v>
      </c>
      <c r="E570" s="54">
        <v>985559407</v>
      </c>
      <c r="F570" s="54">
        <v>894117143</v>
      </c>
      <c r="G570" s="54">
        <v>1849655839</v>
      </c>
      <c r="H570" s="54">
        <v>169015453</v>
      </c>
      <c r="I570" s="55">
        <f t="shared" si="27"/>
        <v>3898347842</v>
      </c>
      <c r="J570" s="54">
        <v>0</v>
      </c>
      <c r="K570" s="56">
        <f t="shared" si="28"/>
        <v>3898347842</v>
      </c>
      <c r="L570" s="37">
        <v>0</v>
      </c>
      <c r="M570" s="69"/>
      <c r="O570" s="38" t="str">
        <f>IF([1]totrevprm!O571="","",[1]totrevprm!O571)</f>
        <v/>
      </c>
    </row>
    <row r="571" spans="1:26">
      <c r="A571" s="50" t="s">
        <v>36</v>
      </c>
      <c r="B571" s="51" t="s">
        <v>281</v>
      </c>
      <c r="C571" s="52" t="s">
        <v>731</v>
      </c>
      <c r="D571" s="53">
        <v>1998</v>
      </c>
      <c r="E571" s="54">
        <v>1065757864</v>
      </c>
      <c r="F571" s="54">
        <v>849594940</v>
      </c>
      <c r="G571" s="54">
        <v>1952738002</v>
      </c>
      <c r="H571" s="54">
        <v>135269047</v>
      </c>
      <c r="I571" s="55">
        <f t="shared" si="27"/>
        <v>4003359853</v>
      </c>
      <c r="J571" s="54">
        <v>0</v>
      </c>
      <c r="K571" s="56">
        <f t="shared" si="28"/>
        <v>4003359853</v>
      </c>
      <c r="L571" s="37">
        <v>0</v>
      </c>
      <c r="M571" s="69"/>
      <c r="O571" s="38" t="str">
        <f>IF([1]totrevprm!O572="","",[1]totrevprm!O572)</f>
        <v/>
      </c>
    </row>
    <row r="572" spans="1:26">
      <c r="A572" s="50" t="s">
        <v>36</v>
      </c>
      <c r="B572" s="51" t="s">
        <v>281</v>
      </c>
      <c r="C572" s="52" t="s">
        <v>731</v>
      </c>
      <c r="D572" s="53">
        <v>1999</v>
      </c>
      <c r="E572" s="54">
        <v>953323879</v>
      </c>
      <c r="F572" s="54">
        <v>1171798999</v>
      </c>
      <c r="G572" s="54">
        <v>2082100004</v>
      </c>
      <c r="H572" s="54">
        <v>447435166</v>
      </c>
      <c r="I572" s="55">
        <f t="shared" si="27"/>
        <v>4654658048</v>
      </c>
      <c r="J572" s="54">
        <v>0</v>
      </c>
      <c r="K572" s="56">
        <f t="shared" si="28"/>
        <v>4654658048</v>
      </c>
      <c r="L572" s="37">
        <v>0</v>
      </c>
      <c r="M572" s="69"/>
      <c r="O572" s="38" t="str">
        <f>IF([1]totrevprm!O573="","",[1]totrevprm!O573)</f>
        <v/>
      </c>
    </row>
    <row r="573" spans="1:26">
      <c r="A573" s="50" t="s">
        <v>36</v>
      </c>
      <c r="B573" s="51" t="s">
        <v>281</v>
      </c>
      <c r="C573" s="52" t="s">
        <v>767</v>
      </c>
      <c r="D573" s="53">
        <v>2000</v>
      </c>
      <c r="E573" s="54">
        <v>977485907</v>
      </c>
      <c r="F573" s="54">
        <v>1130559841</v>
      </c>
      <c r="G573" s="54">
        <v>2170175367</v>
      </c>
      <c r="H573" s="54">
        <v>305994751</v>
      </c>
      <c r="I573" s="55">
        <f t="shared" si="27"/>
        <v>4584215866</v>
      </c>
      <c r="J573" s="54">
        <v>0</v>
      </c>
      <c r="K573" s="56">
        <f t="shared" si="28"/>
        <v>4584215866</v>
      </c>
      <c r="L573" s="37">
        <v>0</v>
      </c>
      <c r="M573" s="69"/>
      <c r="O573" s="38" t="str">
        <f>IF([1]totrevprm!O574="","",[1]totrevprm!O574)</f>
        <v/>
      </c>
      <c r="V573" s="38" t="s">
        <v>281</v>
      </c>
      <c r="W573" s="58">
        <v>1078287</v>
      </c>
      <c r="X573" s="58">
        <v>1275421</v>
      </c>
      <c r="Y573" s="58">
        <v>11234835</v>
      </c>
      <c r="Z573" s="58">
        <v>0</v>
      </c>
    </row>
    <row r="574" spans="1:26">
      <c r="A574" s="50" t="s">
        <v>36</v>
      </c>
      <c r="B574" s="51" t="s">
        <v>281</v>
      </c>
      <c r="C574" s="52" t="s">
        <v>731</v>
      </c>
      <c r="D574" s="53">
        <v>2001</v>
      </c>
      <c r="E574" s="54">
        <v>1016548735</v>
      </c>
      <c r="F574" s="54">
        <v>1520979606</v>
      </c>
      <c r="G574" s="54">
        <v>2348107723</v>
      </c>
      <c r="H574" s="54">
        <v>209415591</v>
      </c>
      <c r="I574" s="55">
        <f t="shared" si="27"/>
        <v>5095051655</v>
      </c>
      <c r="J574" s="54">
        <v>0</v>
      </c>
      <c r="K574" s="56">
        <f t="shared" si="28"/>
        <v>5095051655</v>
      </c>
      <c r="L574" s="37">
        <v>0</v>
      </c>
      <c r="M574" s="69"/>
      <c r="O574" s="38" t="str">
        <f>IF([1]totrevprm!O575="","",[1]totrevprm!O575)</f>
        <v/>
      </c>
      <c r="V574" s="38"/>
      <c r="W574" s="58"/>
      <c r="X574" s="58"/>
      <c r="Y574" s="58"/>
      <c r="Z574" s="58"/>
    </row>
    <row r="575" spans="1:26">
      <c r="A575" s="50" t="s">
        <v>36</v>
      </c>
      <c r="B575" s="51" t="s">
        <v>281</v>
      </c>
      <c r="C575" s="52" t="s">
        <v>731</v>
      </c>
      <c r="D575" s="53">
        <v>2002</v>
      </c>
      <c r="E575" s="54">
        <v>1039296621</v>
      </c>
      <c r="F575" s="54">
        <v>1717794926</v>
      </c>
      <c r="G575" s="54">
        <v>2475482347</v>
      </c>
      <c r="H575" s="54">
        <v>1769965718</v>
      </c>
      <c r="I575" s="55">
        <f t="shared" si="27"/>
        <v>7002539612</v>
      </c>
      <c r="J575" s="54">
        <v>0</v>
      </c>
      <c r="K575" s="56">
        <f t="shared" si="28"/>
        <v>7002539612</v>
      </c>
      <c r="L575" s="37">
        <v>0</v>
      </c>
      <c r="M575" s="69"/>
      <c r="O575" s="38" t="str">
        <f>IF([1]totrevprm!O576="","",[1]totrevprm!O576)</f>
        <v/>
      </c>
      <c r="V575" s="38"/>
      <c r="W575" s="58"/>
      <c r="X575" s="58"/>
      <c r="Y575" s="58"/>
      <c r="Z575" s="58"/>
    </row>
    <row r="576" spans="1:26">
      <c r="A576" s="50" t="s">
        <v>36</v>
      </c>
      <c r="B576" s="51" t="s">
        <v>281</v>
      </c>
      <c r="C576" s="52" t="s">
        <v>731</v>
      </c>
      <c r="D576" s="53">
        <v>2003</v>
      </c>
      <c r="E576" s="59">
        <v>1078626255</v>
      </c>
      <c r="F576" s="59">
        <v>1549106632</v>
      </c>
      <c r="G576" s="59">
        <v>2693140493</v>
      </c>
      <c r="H576" s="59">
        <v>207080334</v>
      </c>
      <c r="I576" s="55">
        <f t="shared" si="27"/>
        <v>5527953714</v>
      </c>
      <c r="J576" s="54">
        <v>0</v>
      </c>
      <c r="K576" s="56">
        <f t="shared" si="28"/>
        <v>5527953714</v>
      </c>
      <c r="L576" s="37">
        <v>0</v>
      </c>
      <c r="M576" s="69"/>
      <c r="O576" s="38" t="str">
        <f>IF([1]totrevprm!O577="","",[1]totrevprm!O577)</f>
        <v/>
      </c>
      <c r="V576" s="38"/>
      <c r="W576" s="58"/>
      <c r="X576" s="58"/>
      <c r="Y576" s="58"/>
      <c r="Z576" s="58"/>
    </row>
    <row r="577" spans="1:26">
      <c r="A577" s="50" t="s">
        <v>36</v>
      </c>
      <c r="B577" s="51" t="s">
        <v>281</v>
      </c>
      <c r="C577" s="52" t="s">
        <v>731</v>
      </c>
      <c r="D577" s="53">
        <v>2004</v>
      </c>
      <c r="E577" s="59">
        <v>1095758469</v>
      </c>
      <c r="F577" s="59">
        <v>1429113041</v>
      </c>
      <c r="G577" s="59">
        <v>2907255455</v>
      </c>
      <c r="H577" s="59">
        <v>176930195</v>
      </c>
      <c r="I577" s="55">
        <f t="shared" si="27"/>
        <v>5609057160</v>
      </c>
      <c r="J577" s="54">
        <v>0</v>
      </c>
      <c r="K577" s="56">
        <f t="shared" si="28"/>
        <v>5609057160</v>
      </c>
      <c r="L577" s="37">
        <v>0</v>
      </c>
      <c r="M577" s="69"/>
      <c r="O577" s="38" t="str">
        <f>IF([1]totrevprm!O578="","",[1]totrevprm!O578)</f>
        <v/>
      </c>
      <c r="V577" s="38"/>
      <c r="W577" s="58"/>
      <c r="X577" s="58"/>
      <c r="Y577" s="58"/>
      <c r="Z577" s="58"/>
    </row>
    <row r="578" spans="1:26">
      <c r="A578" s="50" t="s">
        <v>36</v>
      </c>
      <c r="B578" s="51" t="s">
        <v>281</v>
      </c>
      <c r="C578" s="52"/>
      <c r="D578" s="53">
        <v>2005</v>
      </c>
      <c r="E578" s="59">
        <v>1100356776</v>
      </c>
      <c r="F578" s="59">
        <v>1487301757</v>
      </c>
      <c r="G578" s="59">
        <v>3134257219.0799899</v>
      </c>
      <c r="H578" s="59">
        <v>205498350</v>
      </c>
      <c r="I578" s="55">
        <f t="shared" si="27"/>
        <v>5927414102.0799904</v>
      </c>
      <c r="J578" s="54">
        <v>0</v>
      </c>
      <c r="K578" s="56">
        <f t="shared" si="28"/>
        <v>5927414102.0799904</v>
      </c>
      <c r="L578" s="37">
        <v>0</v>
      </c>
      <c r="M578" s="69"/>
      <c r="O578" s="38" t="str">
        <f>IF([1]totrevprm!O579="","",[1]totrevprm!O579)</f>
        <v/>
      </c>
      <c r="V578" s="38"/>
      <c r="W578" s="58"/>
      <c r="X578" s="58"/>
      <c r="Y578" s="58"/>
      <c r="Z578" s="58"/>
    </row>
    <row r="579" spans="1:26">
      <c r="A579" s="50" t="s">
        <v>36</v>
      </c>
      <c r="B579" s="51" t="s">
        <v>281</v>
      </c>
      <c r="C579" s="52"/>
      <c r="D579" s="53">
        <v>2006</v>
      </c>
      <c r="E579" s="37">
        <v>1177468079</v>
      </c>
      <c r="F579" s="37">
        <v>1720711814</v>
      </c>
      <c r="G579" s="37">
        <v>3327686655</v>
      </c>
      <c r="H579" s="37">
        <v>1179413264</v>
      </c>
      <c r="I579" s="55">
        <f t="shared" si="27"/>
        <v>7405279812</v>
      </c>
      <c r="J579" s="54">
        <v>0</v>
      </c>
      <c r="K579" s="56">
        <f t="shared" si="28"/>
        <v>7405279812</v>
      </c>
      <c r="L579" s="37">
        <v>0</v>
      </c>
      <c r="M579" s="69"/>
      <c r="O579" s="38" t="str">
        <f>IF([1]totrevprm!O580="","",[1]totrevprm!O580)</f>
        <v/>
      </c>
      <c r="V579" s="38"/>
      <c r="W579" s="58"/>
      <c r="X579" s="58"/>
      <c r="Y579" s="58"/>
      <c r="Z579" s="58"/>
    </row>
    <row r="580" spans="1:26">
      <c r="A580" s="50" t="s">
        <v>36</v>
      </c>
      <c r="B580" s="51" t="s">
        <v>281</v>
      </c>
      <c r="C580" s="52"/>
      <c r="D580" s="53">
        <v>2007</v>
      </c>
      <c r="E580" s="37">
        <v>1253952349</v>
      </c>
      <c r="F580" s="37">
        <v>1476715221</v>
      </c>
      <c r="G580" s="37">
        <v>3601872431</v>
      </c>
      <c r="H580" s="37">
        <v>1130651963</v>
      </c>
      <c r="I580" s="55">
        <f t="shared" si="27"/>
        <v>7463191964</v>
      </c>
      <c r="J580" s="54">
        <v>0</v>
      </c>
      <c r="K580" s="56">
        <f t="shared" si="28"/>
        <v>7463191964</v>
      </c>
      <c r="L580" s="37">
        <v>0</v>
      </c>
      <c r="M580" s="69"/>
      <c r="O580" s="38" t="str">
        <f>IF([1]totrevprm!O581="","",[1]totrevprm!O581)</f>
        <v/>
      </c>
      <c r="V580" s="38"/>
      <c r="W580" s="58"/>
      <c r="X580" s="58"/>
      <c r="Y580" s="58"/>
      <c r="Z580" s="58"/>
    </row>
    <row r="581" spans="1:26">
      <c r="A581" s="50" t="s">
        <v>36</v>
      </c>
      <c r="B581" s="51" t="s">
        <v>281</v>
      </c>
      <c r="C581" s="52"/>
      <c r="D581" s="53">
        <v>2008</v>
      </c>
      <c r="E581" s="37">
        <v>1212557106</v>
      </c>
      <c r="F581" s="37">
        <v>2393115964</v>
      </c>
      <c r="G581" s="37">
        <v>3563704280</v>
      </c>
      <c r="H581" s="37">
        <v>2381888861</v>
      </c>
      <c r="I581" s="55">
        <f t="shared" si="27"/>
        <v>9551266211</v>
      </c>
      <c r="J581" s="54">
        <v>0</v>
      </c>
      <c r="K581" s="56">
        <f t="shared" si="28"/>
        <v>9551266211</v>
      </c>
      <c r="L581" s="37">
        <v>0</v>
      </c>
      <c r="M581" s="69"/>
      <c r="O581" s="38" t="str">
        <f>IF([1]totrevprm!O582="","",[1]totrevprm!O582)</f>
        <v/>
      </c>
      <c r="V581" s="38"/>
      <c r="W581" s="58"/>
      <c r="X581" s="58"/>
      <c r="Y581" s="58"/>
      <c r="Z581" s="58"/>
    </row>
    <row r="582" spans="1:26">
      <c r="A582" s="50" t="s">
        <v>36</v>
      </c>
      <c r="B582" s="51" t="s">
        <v>281</v>
      </c>
      <c r="C582" s="52"/>
      <c r="D582" s="53">
        <v>2009</v>
      </c>
      <c r="E582" s="37">
        <v>1334903102</v>
      </c>
      <c r="F582" s="37">
        <v>1922775917</v>
      </c>
      <c r="G582" s="37">
        <v>3545875294</v>
      </c>
      <c r="H582" s="37">
        <v>656787624</v>
      </c>
      <c r="I582" s="55">
        <f t="shared" si="27"/>
        <v>7460341937</v>
      </c>
      <c r="J582" s="54">
        <v>0</v>
      </c>
      <c r="K582" s="56">
        <f t="shared" si="28"/>
        <v>7460341937</v>
      </c>
      <c r="L582" s="37">
        <v>0</v>
      </c>
      <c r="M582" s="69"/>
      <c r="O582" s="38" t="str">
        <f>IF([1]totrevprm!O583="","",[1]totrevprm!O583)</f>
        <v/>
      </c>
      <c r="V582" s="38"/>
      <c r="W582" s="58"/>
      <c r="X582" s="58"/>
      <c r="Y582" s="58"/>
      <c r="Z582" s="58"/>
    </row>
    <row r="583" spans="1:26">
      <c r="A583" s="50" t="s">
        <v>36</v>
      </c>
      <c r="B583" s="51" t="s">
        <v>281</v>
      </c>
      <c r="C583" s="52"/>
      <c r="D583" s="53">
        <v>2010</v>
      </c>
      <c r="E583" s="37">
        <v>1429906032</v>
      </c>
      <c r="F583" s="37">
        <v>2108886723</v>
      </c>
      <c r="G583" s="37">
        <v>3584947156</v>
      </c>
      <c r="H583" s="37">
        <v>430938855</v>
      </c>
      <c r="I583" s="55">
        <f t="shared" si="27"/>
        <v>7554678766</v>
      </c>
      <c r="J583" s="54">
        <v>0</v>
      </c>
      <c r="K583" s="56">
        <f t="shared" si="28"/>
        <v>7554678766</v>
      </c>
      <c r="L583" s="37">
        <v>0</v>
      </c>
      <c r="M583" s="69"/>
      <c r="O583" s="38" t="str">
        <f>IF([1]totrevprm!O584="","",[1]totrevprm!O584)</f>
        <v/>
      </c>
      <c r="V583" s="38"/>
      <c r="W583" s="58"/>
      <c r="X583" s="58"/>
      <c r="Y583" s="58"/>
      <c r="Z583" s="58"/>
    </row>
    <row r="584" spans="1:26">
      <c r="A584" s="50" t="s">
        <v>36</v>
      </c>
      <c r="B584" s="51" t="s">
        <v>281</v>
      </c>
      <c r="C584" s="52"/>
      <c r="D584" s="53">
        <v>2011</v>
      </c>
      <c r="E584" s="37">
        <v>1582915114</v>
      </c>
      <c r="F584" s="37">
        <v>1877137731</v>
      </c>
      <c r="G584" s="37">
        <v>3627105984.5599999</v>
      </c>
      <c r="H584" s="37">
        <v>993172464</v>
      </c>
      <c r="I584" s="55">
        <f t="shared" si="27"/>
        <v>8080331293.5599995</v>
      </c>
      <c r="J584" s="54">
        <v>0</v>
      </c>
      <c r="K584" s="56">
        <f t="shared" si="28"/>
        <v>8080331293.5599995</v>
      </c>
      <c r="L584" s="37">
        <v>11389613</v>
      </c>
      <c r="M584" s="69" t="s">
        <v>735</v>
      </c>
      <c r="N584" t="s">
        <v>708</v>
      </c>
      <c r="O584" s="38" t="str">
        <f>IF([1]totrevprm!O585="","",[1]totrevprm!O585)</f>
        <v/>
      </c>
      <c r="T584" s="68"/>
      <c r="V584" s="38"/>
      <c r="W584" s="58"/>
      <c r="X584" s="58"/>
      <c r="Y584" s="58"/>
      <c r="Z584" s="58"/>
    </row>
    <row r="585" spans="1:26">
      <c r="A585" s="50" t="s">
        <v>36</v>
      </c>
      <c r="B585" s="51" t="s">
        <v>281</v>
      </c>
      <c r="C585" s="52"/>
      <c r="D585" s="53">
        <v>2012</v>
      </c>
      <c r="E585" s="37">
        <v>1669257836</v>
      </c>
      <c r="F585" s="37">
        <v>2512780642</v>
      </c>
      <c r="G585" s="37">
        <v>3581752180</v>
      </c>
      <c r="H585" s="37">
        <v>3474153065</v>
      </c>
      <c r="I585" s="55">
        <f t="shared" si="27"/>
        <v>11237943723</v>
      </c>
      <c r="J585" s="54">
        <v>0</v>
      </c>
      <c r="K585" s="56">
        <f t="shared" si="28"/>
        <v>11237943723</v>
      </c>
      <c r="L585" s="37">
        <v>12525559</v>
      </c>
      <c r="M585" s="69" t="s">
        <v>735</v>
      </c>
      <c r="N585" t="s">
        <v>708</v>
      </c>
      <c r="O585" s="38" t="str">
        <f>IF([1]totrevprm!O586="","",[1]totrevprm!O586)</f>
        <v/>
      </c>
      <c r="T585" s="68"/>
      <c r="V585" s="38"/>
      <c r="W585" s="58"/>
      <c r="X585" s="58"/>
      <c r="Y585" s="58"/>
      <c r="Z585" s="58"/>
    </row>
    <row r="586" spans="1:26">
      <c r="A586" s="50" t="s">
        <v>36</v>
      </c>
      <c r="B586" s="51" t="s">
        <v>281</v>
      </c>
      <c r="C586" s="52"/>
      <c r="D586" s="53">
        <v>2013</v>
      </c>
      <c r="E586" s="37">
        <v>1611899372</v>
      </c>
      <c r="F586" s="37">
        <v>2250939951</v>
      </c>
      <c r="G586" s="37">
        <v>3590293566</v>
      </c>
      <c r="H586" s="37">
        <v>1966376688</v>
      </c>
      <c r="I586" s="55">
        <f t="shared" si="27"/>
        <v>9419509577</v>
      </c>
      <c r="J586" s="54">
        <v>0</v>
      </c>
      <c r="K586" s="56">
        <f t="shared" si="28"/>
        <v>9419509577</v>
      </c>
      <c r="L586" s="37">
        <v>9601429</v>
      </c>
      <c r="M586" s="69" t="s">
        <v>735</v>
      </c>
      <c r="N586" t="s">
        <v>708</v>
      </c>
      <c r="O586" s="38" t="str">
        <f>IF([1]totrevprm!O587="","",[1]totrevprm!O587)</f>
        <v/>
      </c>
      <c r="T586" s="68"/>
      <c r="V586" s="38"/>
      <c r="W586" s="58"/>
      <c r="X586" s="58"/>
      <c r="Y586" s="58"/>
      <c r="Z586" s="58"/>
    </row>
    <row r="587" spans="1:26">
      <c r="A587" s="50" t="s">
        <v>36</v>
      </c>
      <c r="B587" s="51" t="s">
        <v>281</v>
      </c>
      <c r="C587" s="52"/>
      <c r="D587" s="53">
        <v>2014</v>
      </c>
      <c r="E587" s="37">
        <v>1601176315</v>
      </c>
      <c r="F587" s="37">
        <v>2246524232</v>
      </c>
      <c r="G587" s="37">
        <v>3280159250.6399999</v>
      </c>
      <c r="H587" s="37">
        <v>2266213798</v>
      </c>
      <c r="I587" s="55">
        <f t="shared" si="27"/>
        <v>9394073595.6399994</v>
      </c>
      <c r="J587" s="54">
        <v>0</v>
      </c>
      <c r="K587" s="56">
        <f t="shared" si="28"/>
        <v>9394073595.6399994</v>
      </c>
      <c r="L587" s="37">
        <v>73877458</v>
      </c>
      <c r="M587" s="69" t="s">
        <v>735</v>
      </c>
      <c r="N587" t="s">
        <v>708</v>
      </c>
      <c r="O587" s="38" t="str">
        <f>IF([1]totrevprm!O588="","",[1]totrevprm!O588)</f>
        <v/>
      </c>
      <c r="T587" s="68"/>
      <c r="V587" s="38"/>
      <c r="W587" s="58"/>
      <c r="X587" s="58"/>
      <c r="Y587" s="58"/>
      <c r="Z587" s="58"/>
    </row>
    <row r="588" spans="1:26">
      <c r="A588" s="50" t="s">
        <v>36</v>
      </c>
      <c r="B588" s="51" t="s">
        <v>281</v>
      </c>
      <c r="C588" s="52"/>
      <c r="D588" s="53">
        <v>2015</v>
      </c>
      <c r="E588" s="37">
        <v>1632403520</v>
      </c>
      <c r="F588" s="37">
        <v>2570165318</v>
      </c>
      <c r="G588" s="37">
        <v>3362859326</v>
      </c>
      <c r="H588" s="37">
        <v>2221043469</v>
      </c>
      <c r="I588" s="55">
        <f t="shared" si="27"/>
        <v>9786471633</v>
      </c>
      <c r="J588" s="54">
        <v>0</v>
      </c>
      <c r="K588" s="56">
        <f t="shared" si="28"/>
        <v>9786471633</v>
      </c>
      <c r="L588" s="37">
        <v>46784133</v>
      </c>
      <c r="M588" s="69" t="s">
        <v>735</v>
      </c>
      <c r="N588" t="s">
        <v>708</v>
      </c>
      <c r="O588" s="38" t="str">
        <f>IF([1]totrevprm!O589="","",[1]totrevprm!O589)</f>
        <v/>
      </c>
      <c r="P588" s="35">
        <v>225791641.03459328</v>
      </c>
      <c r="Q588" s="35">
        <v>199812663.23999998</v>
      </c>
      <c r="T588" s="68"/>
      <c r="V588" s="38"/>
      <c r="W588" s="58"/>
      <c r="X588" s="58"/>
      <c r="Y588" s="58"/>
      <c r="Z588" s="58"/>
    </row>
    <row r="589" spans="1:26">
      <c r="A589" s="50" t="s">
        <v>36</v>
      </c>
      <c r="B589" s="51" t="s">
        <v>281</v>
      </c>
      <c r="C589" s="52"/>
      <c r="D589" s="53">
        <v>2016</v>
      </c>
      <c r="E589" s="37">
        <v>1694707062</v>
      </c>
      <c r="F589" s="37">
        <v>2673052441</v>
      </c>
      <c r="G589" s="37">
        <v>3496214759</v>
      </c>
      <c r="H589" s="37">
        <v>5479493641</v>
      </c>
      <c r="I589" s="55">
        <f t="shared" si="27"/>
        <v>13343467903</v>
      </c>
      <c r="J589" s="54">
        <v>0</v>
      </c>
      <c r="K589" s="56">
        <f t="shared" si="28"/>
        <v>13343467903</v>
      </c>
      <c r="L589" s="37">
        <v>20723716</v>
      </c>
      <c r="M589" s="69" t="s">
        <v>735</v>
      </c>
      <c r="N589" t="s">
        <v>708</v>
      </c>
      <c r="O589" s="38" t="str">
        <f>IF([1]totrevprm!O590="","",[1]totrevprm!O590)</f>
        <v/>
      </c>
      <c r="P589" s="35">
        <v>230816990.83767453</v>
      </c>
      <c r="Q589" s="35">
        <v>204528195.90000001</v>
      </c>
      <c r="T589" s="68"/>
      <c r="V589" s="38"/>
      <c r="W589" s="58"/>
      <c r="X589" s="58"/>
      <c r="Y589" s="58"/>
      <c r="Z589" s="58"/>
    </row>
    <row r="590" spans="1:26">
      <c r="A590" s="50" t="s">
        <v>36</v>
      </c>
      <c r="B590" s="51" t="s">
        <v>281</v>
      </c>
      <c r="C590" s="52"/>
      <c r="D590" s="53">
        <v>2017</v>
      </c>
      <c r="E590" s="37">
        <v>1730961246</v>
      </c>
      <c r="F590" s="37">
        <v>2780429639</v>
      </c>
      <c r="G590" s="37">
        <v>3643736121.1199999</v>
      </c>
      <c r="H590" s="37">
        <v>5382533929</v>
      </c>
      <c r="I590" s="55">
        <f t="shared" si="27"/>
        <v>13537660935.119999</v>
      </c>
      <c r="J590" s="54">
        <v>0</v>
      </c>
      <c r="K590" s="56">
        <f t="shared" si="28"/>
        <v>13537660935.119999</v>
      </c>
      <c r="L590" s="60">
        <v>70200503</v>
      </c>
      <c r="M590" s="69" t="s">
        <v>735</v>
      </c>
      <c r="N590" t="s">
        <v>708</v>
      </c>
      <c r="O590" s="38" t="str">
        <f>IF([1]totrevprm!O591="","",[1]totrevprm!O591)</f>
        <v/>
      </c>
      <c r="P590" s="35">
        <v>242980873.55695802</v>
      </c>
      <c r="Q590" s="35">
        <v>200789666.23000002</v>
      </c>
      <c r="T590" s="68"/>
      <c r="V590" s="38"/>
      <c r="W590" s="58"/>
      <c r="X590" s="58"/>
      <c r="Y590" s="58"/>
      <c r="Z590" s="58"/>
    </row>
    <row r="591" spans="1:26">
      <c r="A591" s="50" t="s">
        <v>36</v>
      </c>
      <c r="B591" s="51" t="s">
        <v>281</v>
      </c>
      <c r="C591" s="52"/>
      <c r="D591" s="53">
        <v>2018</v>
      </c>
      <c r="E591" s="37">
        <v>1728813960</v>
      </c>
      <c r="F591" s="37">
        <v>3139732901</v>
      </c>
      <c r="G591" s="37">
        <v>4062514291.5599999</v>
      </c>
      <c r="H591" s="37">
        <v>1282390634</v>
      </c>
      <c r="I591" s="55">
        <f t="shared" si="27"/>
        <v>10213451786.559999</v>
      </c>
      <c r="J591" s="54">
        <v>0</v>
      </c>
      <c r="K591" s="56">
        <f t="shared" si="28"/>
        <v>10213451786.559999</v>
      </c>
      <c r="L591" s="60">
        <v>39816700</v>
      </c>
      <c r="M591" s="69" t="s">
        <v>735</v>
      </c>
      <c r="N591" t="s">
        <v>708</v>
      </c>
      <c r="O591" s="38" t="str">
        <f>IF([1]totrevprm!O592="","",[1]totrevprm!O592)</f>
        <v/>
      </c>
      <c r="P591" s="35">
        <v>246246769.37735811</v>
      </c>
      <c r="Q591" s="35">
        <v>191964275.92000002</v>
      </c>
      <c r="T591" s="68"/>
      <c r="V591" s="38"/>
      <c r="W591" s="58"/>
      <c r="X591" s="58"/>
      <c r="Y591" s="58"/>
      <c r="Z591" s="58"/>
    </row>
    <row r="592" spans="1:26">
      <c r="A592" s="50" t="s">
        <v>36</v>
      </c>
      <c r="B592" s="51" t="s">
        <v>281</v>
      </c>
      <c r="C592" s="52"/>
      <c r="D592" s="53">
        <v>2019</v>
      </c>
      <c r="E592" s="37">
        <v>1835908237</v>
      </c>
      <c r="F592" s="37">
        <v>4775342054</v>
      </c>
      <c r="G592" s="37">
        <v>4765334466.1027002</v>
      </c>
      <c r="H592" s="54">
        <v>-29503887</v>
      </c>
      <c r="I592" s="55">
        <f t="shared" si="27"/>
        <v>11347080870.102699</v>
      </c>
      <c r="J592" s="54">
        <v>0</v>
      </c>
      <c r="K592" s="56">
        <f t="shared" si="28"/>
        <v>11347080870.102699</v>
      </c>
      <c r="L592" s="60">
        <v>58489661</v>
      </c>
      <c r="M592" s="67" t="s">
        <v>746</v>
      </c>
      <c r="N592" t="s">
        <v>708</v>
      </c>
      <c r="O592" s="38" t="str">
        <f>IF([1]totrevprm!O593="","",[1]totrevprm!O593)</f>
        <v>Yes</v>
      </c>
      <c r="P592" s="35">
        <v>248330220.27182671</v>
      </c>
      <c r="Q592" s="35">
        <v>198831018.76999998</v>
      </c>
      <c r="T592" s="68"/>
      <c r="V592" s="38"/>
      <c r="W592" s="58"/>
      <c r="X592" s="58"/>
      <c r="Y592" s="58"/>
      <c r="Z592" s="58"/>
    </row>
    <row r="593" spans="1:26">
      <c r="A593" s="50" t="s">
        <v>36</v>
      </c>
      <c r="B593" s="51" t="s">
        <v>281</v>
      </c>
      <c r="C593" s="52"/>
      <c r="D593" s="53">
        <v>2020</v>
      </c>
      <c r="E593" s="37">
        <v>1856294656</v>
      </c>
      <c r="F593" s="37">
        <v>5295209182</v>
      </c>
      <c r="G593" s="37">
        <v>4757256826</v>
      </c>
      <c r="H593" s="37">
        <v>869798541</v>
      </c>
      <c r="I593" s="55">
        <f t="shared" si="27"/>
        <v>12778559205</v>
      </c>
      <c r="J593" s="54">
        <v>0</v>
      </c>
      <c r="K593" s="56">
        <f t="shared" si="28"/>
        <v>12778559205</v>
      </c>
      <c r="L593" s="60">
        <v>66385579</v>
      </c>
      <c r="M593" s="67" t="s">
        <v>738</v>
      </c>
      <c r="N593" t="s">
        <v>708</v>
      </c>
      <c r="O593" s="38" t="str">
        <f>IF([1]totrevprm!O594="","",[1]totrevprm!O594)</f>
        <v/>
      </c>
      <c r="P593" s="35">
        <v>251413500</v>
      </c>
      <c r="Q593" s="35">
        <v>195284130</v>
      </c>
      <c r="T593" s="68"/>
      <c r="V593" s="38"/>
      <c r="W593" s="58"/>
      <c r="X593" s="58"/>
      <c r="Y593" s="58"/>
      <c r="Z593" s="58"/>
    </row>
    <row r="594" spans="1:26">
      <c r="A594" s="50" t="s">
        <v>36</v>
      </c>
      <c r="B594" s="51" t="s">
        <v>281</v>
      </c>
      <c r="C594" s="52"/>
      <c r="D594" s="53">
        <v>2021</v>
      </c>
      <c r="E594" s="37">
        <v>1918155352</v>
      </c>
      <c r="F594" s="37">
        <v>4461918251</v>
      </c>
      <c r="G594" s="37">
        <v>4714343915</v>
      </c>
      <c r="H594" s="37">
        <v>80632821</v>
      </c>
      <c r="I594" s="55">
        <f t="shared" si="27"/>
        <v>11175050339</v>
      </c>
      <c r="J594" s="54">
        <v>0</v>
      </c>
      <c r="K594" s="56">
        <f t="shared" si="28"/>
        <v>11175050339</v>
      </c>
      <c r="L594" s="37">
        <v>0</v>
      </c>
      <c r="M594" s="67" t="s">
        <v>739</v>
      </c>
      <c r="N594" t="s">
        <v>708</v>
      </c>
      <c r="O594" s="38"/>
      <c r="P594" s="35">
        <v>239752054.59999999</v>
      </c>
      <c r="Q594" s="35">
        <v>200343767</v>
      </c>
      <c r="T594" s="68"/>
      <c r="V594" s="38"/>
      <c r="W594" s="58"/>
      <c r="X594" s="58"/>
      <c r="Y594" s="58"/>
      <c r="Z594" s="58"/>
    </row>
    <row r="595" spans="1:26">
      <c r="A595" s="50" t="s">
        <v>36</v>
      </c>
      <c r="B595" s="51" t="s">
        <v>281</v>
      </c>
      <c r="C595" s="52"/>
      <c r="D595" s="53">
        <v>2022</v>
      </c>
      <c r="E595" s="37">
        <v>1951313699</v>
      </c>
      <c r="F595" s="37">
        <v>4269286152</v>
      </c>
      <c r="G595" s="37">
        <v>4917621541</v>
      </c>
      <c r="H595" s="37">
        <v>85577083</v>
      </c>
      <c r="I595" s="55">
        <f t="shared" si="27"/>
        <v>11223798475</v>
      </c>
      <c r="J595" s="54">
        <v>0</v>
      </c>
      <c r="K595" s="56">
        <f t="shared" si="28"/>
        <v>11223798475</v>
      </c>
      <c r="L595" s="37">
        <v>0</v>
      </c>
      <c r="M595" s="67" t="s">
        <v>739</v>
      </c>
      <c r="O595" s="38"/>
      <c r="P595" s="60">
        <v>270936640</v>
      </c>
      <c r="Q595" s="60">
        <v>197732783</v>
      </c>
    </row>
    <row r="596" spans="1:26">
      <c r="A596" s="50" t="s">
        <v>36</v>
      </c>
      <c r="B596" s="51" t="s">
        <v>281</v>
      </c>
      <c r="C596" s="52"/>
      <c r="D596" s="53">
        <v>2023</v>
      </c>
      <c r="E596" s="37">
        <v>1919617401</v>
      </c>
      <c r="F596" s="37">
        <v>4434031509.8752003</v>
      </c>
      <c r="G596" s="37">
        <v>5048978684.6599998</v>
      </c>
      <c r="H596" s="37">
        <v>86060208</v>
      </c>
      <c r="I596" s="55">
        <f t="shared" si="27"/>
        <v>11488687803.5352</v>
      </c>
      <c r="J596" s="54">
        <v>0</v>
      </c>
      <c r="K596" s="56">
        <f t="shared" si="28"/>
        <v>11488687803.5352</v>
      </c>
      <c r="L596" s="37">
        <v>0</v>
      </c>
      <c r="M596" s="67" t="s">
        <v>739</v>
      </c>
      <c r="O596" s="38"/>
      <c r="P596" s="60">
        <v>283146936.48000002</v>
      </c>
      <c r="Q596" s="60">
        <v>197884853</v>
      </c>
    </row>
    <row r="597" spans="1:26">
      <c r="A597" s="50"/>
      <c r="B597" s="52"/>
      <c r="C597" s="52"/>
      <c r="E597" s="54"/>
      <c r="F597" s="54"/>
      <c r="G597" s="54"/>
      <c r="H597" s="54"/>
      <c r="I597" s="55"/>
      <c r="K597" s="56"/>
      <c r="L597" s="37"/>
      <c r="M597" s="69"/>
      <c r="O597" s="38"/>
    </row>
    <row r="598" spans="1:26">
      <c r="A598" s="50" t="s">
        <v>38</v>
      </c>
      <c r="B598" s="51" t="s">
        <v>410</v>
      </c>
      <c r="C598" s="52" t="s">
        <v>730</v>
      </c>
      <c r="D598" s="53">
        <v>1988</v>
      </c>
      <c r="E598" s="54">
        <v>639565767</v>
      </c>
      <c r="F598" s="54">
        <v>401514879</v>
      </c>
      <c r="G598" s="54">
        <v>974720100</v>
      </c>
      <c r="H598" s="54">
        <v>0</v>
      </c>
      <c r="I598" s="55">
        <f t="shared" si="27"/>
        <v>2015800746</v>
      </c>
      <c r="J598" s="54">
        <v>-273825</v>
      </c>
      <c r="K598" s="56">
        <f>SUM(I598:J598)</f>
        <v>2015526921</v>
      </c>
      <c r="L598" s="37">
        <v>0</v>
      </c>
      <c r="M598" s="69"/>
      <c r="O598" s="38" t="str">
        <f>IF([1]totrevprm!O599="","",[1]totrevprm!O599)</f>
        <v/>
      </c>
    </row>
    <row r="599" spans="1:26">
      <c r="A599" s="50" t="s">
        <v>38</v>
      </c>
      <c r="B599" s="51" t="s">
        <v>410</v>
      </c>
      <c r="C599" s="52" t="s">
        <v>731</v>
      </c>
      <c r="D599" s="53">
        <v>1989</v>
      </c>
      <c r="E599" s="54">
        <v>608814887</v>
      </c>
      <c r="F599" s="54">
        <v>430035831</v>
      </c>
      <c r="G599" s="54">
        <v>1076232589</v>
      </c>
      <c r="H599" s="54">
        <v>0</v>
      </c>
      <c r="I599" s="55">
        <f t="shared" si="27"/>
        <v>2115083307</v>
      </c>
      <c r="J599" s="54">
        <v>-4131851</v>
      </c>
      <c r="K599" s="56">
        <f t="shared" ref="K599:K633" si="29">SUM(I599:J599)</f>
        <v>2110951456</v>
      </c>
      <c r="L599" s="37">
        <v>0</v>
      </c>
      <c r="M599" s="69"/>
      <c r="O599" s="38" t="str">
        <f>IF([1]totrevprm!O600="","",[1]totrevprm!O600)</f>
        <v/>
      </c>
    </row>
    <row r="600" spans="1:26">
      <c r="A600" s="50" t="s">
        <v>38</v>
      </c>
      <c r="B600" s="51" t="s">
        <v>410</v>
      </c>
      <c r="C600" s="52" t="s">
        <v>731</v>
      </c>
      <c r="D600" s="53">
        <v>1990</v>
      </c>
      <c r="E600" s="54">
        <v>656398552</v>
      </c>
      <c r="F600" s="54">
        <v>499031760.88</v>
      </c>
      <c r="G600" s="54">
        <v>1216654689</v>
      </c>
      <c r="H600" s="54">
        <v>0</v>
      </c>
      <c r="I600" s="55">
        <f t="shared" si="27"/>
        <v>2372085001.8800001</v>
      </c>
      <c r="J600" s="54">
        <v>-4963318</v>
      </c>
      <c r="K600" s="56">
        <f t="shared" si="29"/>
        <v>2367121683.8800001</v>
      </c>
      <c r="L600" s="37">
        <v>0</v>
      </c>
      <c r="M600" s="69"/>
      <c r="O600" s="38" t="str">
        <f>IF([1]totrevprm!O601="","",[1]totrevprm!O601)</f>
        <v/>
      </c>
    </row>
    <row r="601" spans="1:26">
      <c r="A601" s="50" t="s">
        <v>38</v>
      </c>
      <c r="B601" s="51" t="s">
        <v>410</v>
      </c>
      <c r="C601" s="52" t="s">
        <v>731</v>
      </c>
      <c r="D601" s="53">
        <v>1991</v>
      </c>
      <c r="E601" s="54">
        <v>681053616</v>
      </c>
      <c r="F601" s="54">
        <v>455310657</v>
      </c>
      <c r="G601" s="54">
        <v>1268847560</v>
      </c>
      <c r="H601" s="54">
        <v>0</v>
      </c>
      <c r="I601" s="55">
        <f t="shared" si="27"/>
        <v>2405211833</v>
      </c>
      <c r="J601" s="54">
        <v>-111763</v>
      </c>
      <c r="K601" s="56">
        <f t="shared" si="29"/>
        <v>2405100070</v>
      </c>
      <c r="L601" s="37">
        <v>0</v>
      </c>
      <c r="M601" s="69"/>
      <c r="O601" s="38" t="str">
        <f>IF([1]totrevprm!O602="","",[1]totrevprm!O602)</f>
        <v/>
      </c>
    </row>
    <row r="602" spans="1:26">
      <c r="A602" s="50" t="s">
        <v>38</v>
      </c>
      <c r="B602" s="51" t="s">
        <v>410</v>
      </c>
      <c r="C602" s="52" t="s">
        <v>731</v>
      </c>
      <c r="D602" s="53">
        <v>1992</v>
      </c>
      <c r="E602" s="54">
        <v>763861799</v>
      </c>
      <c r="F602" s="54">
        <v>582216067.07999992</v>
      </c>
      <c r="G602" s="54">
        <v>1333789810</v>
      </c>
      <c r="H602" s="54">
        <v>0</v>
      </c>
      <c r="I602" s="55">
        <f t="shared" si="27"/>
        <v>2679867676.0799999</v>
      </c>
      <c r="J602" s="54">
        <v>-402571</v>
      </c>
      <c r="K602" s="56">
        <f t="shared" si="29"/>
        <v>2679465105.0799999</v>
      </c>
      <c r="L602" s="37">
        <v>0</v>
      </c>
      <c r="M602" s="69"/>
      <c r="O602" s="38" t="str">
        <f>IF([1]totrevprm!O603="","",[1]totrevprm!O603)</f>
        <v/>
      </c>
    </row>
    <row r="603" spans="1:26">
      <c r="A603" s="50" t="s">
        <v>38</v>
      </c>
      <c r="B603" s="51" t="s">
        <v>410</v>
      </c>
      <c r="C603" s="52" t="s">
        <v>731</v>
      </c>
      <c r="D603" s="53">
        <v>1993</v>
      </c>
      <c r="E603" s="54">
        <v>786765266</v>
      </c>
      <c r="F603" s="54">
        <v>515434776</v>
      </c>
      <c r="G603" s="54">
        <v>1404106568</v>
      </c>
      <c r="H603" s="54">
        <v>0</v>
      </c>
      <c r="I603" s="55">
        <f t="shared" si="27"/>
        <v>2706306610</v>
      </c>
      <c r="J603" s="54">
        <v>-1127924</v>
      </c>
      <c r="K603" s="56">
        <f t="shared" si="29"/>
        <v>2705178686</v>
      </c>
      <c r="L603" s="37">
        <v>0</v>
      </c>
      <c r="M603" s="69"/>
      <c r="O603" s="38" t="str">
        <f>IF([1]totrevprm!O604="","",[1]totrevprm!O604)</f>
        <v/>
      </c>
    </row>
    <row r="604" spans="1:26">
      <c r="A604" s="50" t="s">
        <v>38</v>
      </c>
      <c r="B604" s="51" t="s">
        <v>410</v>
      </c>
      <c r="C604" s="52" t="s">
        <v>731</v>
      </c>
      <c r="D604" s="53">
        <v>1994</v>
      </c>
      <c r="E604" s="54">
        <v>861400497</v>
      </c>
      <c r="F604" s="54">
        <v>552545906</v>
      </c>
      <c r="G604" s="54">
        <v>1444474497</v>
      </c>
      <c r="H604" s="54">
        <v>0</v>
      </c>
      <c r="I604" s="55">
        <f t="shared" si="27"/>
        <v>2858420900</v>
      </c>
      <c r="J604" s="54">
        <v>-2477372</v>
      </c>
      <c r="K604" s="56">
        <f t="shared" si="29"/>
        <v>2855943528</v>
      </c>
      <c r="L604" s="37">
        <v>0</v>
      </c>
      <c r="M604" s="69"/>
      <c r="O604" s="38" t="str">
        <f>IF([1]totrevprm!O605="","",[1]totrevprm!O605)</f>
        <v/>
      </c>
    </row>
    <row r="605" spans="1:26">
      <c r="A605" s="50" t="s">
        <v>38</v>
      </c>
      <c r="B605" s="51" t="s">
        <v>410</v>
      </c>
      <c r="C605" s="52" t="s">
        <v>731</v>
      </c>
      <c r="D605" s="53">
        <v>1995</v>
      </c>
      <c r="E605" s="54">
        <v>843021220</v>
      </c>
      <c r="F605" s="54">
        <v>569854074</v>
      </c>
      <c r="G605" s="54">
        <v>1444104643</v>
      </c>
      <c r="H605" s="54">
        <v>0</v>
      </c>
      <c r="I605" s="55">
        <f t="shared" si="27"/>
        <v>2856979937</v>
      </c>
      <c r="J605" s="54">
        <v>-45949</v>
      </c>
      <c r="K605" s="56">
        <f t="shared" si="29"/>
        <v>2856933988</v>
      </c>
      <c r="L605" s="37">
        <v>0</v>
      </c>
      <c r="M605" s="69"/>
      <c r="O605" s="38" t="str">
        <f>IF([1]totrevprm!O606="","",[1]totrevprm!O606)</f>
        <v/>
      </c>
    </row>
    <row r="606" spans="1:26">
      <c r="A606" s="50" t="s">
        <v>38</v>
      </c>
      <c r="B606" s="51" t="s">
        <v>410</v>
      </c>
      <c r="C606" s="52" t="s">
        <v>731</v>
      </c>
      <c r="D606" s="53">
        <v>1996</v>
      </c>
      <c r="E606" s="54">
        <v>853764235</v>
      </c>
      <c r="F606" s="54">
        <v>462524491</v>
      </c>
      <c r="G606" s="54">
        <v>1418049665</v>
      </c>
      <c r="H606" s="54">
        <v>0</v>
      </c>
      <c r="I606" s="55">
        <f t="shared" si="27"/>
        <v>2734338391</v>
      </c>
      <c r="J606" s="54">
        <v>-21</v>
      </c>
      <c r="K606" s="56">
        <f t="shared" si="29"/>
        <v>2734338370</v>
      </c>
      <c r="L606" s="37">
        <v>0</v>
      </c>
      <c r="M606" s="69"/>
      <c r="O606" s="38" t="str">
        <f>IF([1]totrevprm!O607="","",[1]totrevprm!O607)</f>
        <v/>
      </c>
    </row>
    <row r="607" spans="1:26">
      <c r="A607" s="50" t="s">
        <v>38</v>
      </c>
      <c r="B607" s="51" t="s">
        <v>410</v>
      </c>
      <c r="C607" s="52" t="s">
        <v>731</v>
      </c>
      <c r="D607" s="53">
        <v>1997</v>
      </c>
      <c r="E607" s="54">
        <v>795285017</v>
      </c>
      <c r="F607" s="54">
        <v>540931940</v>
      </c>
      <c r="G607" s="54">
        <v>1429894102</v>
      </c>
      <c r="H607" s="54">
        <v>0</v>
      </c>
      <c r="I607" s="55">
        <f t="shared" si="27"/>
        <v>2766111059</v>
      </c>
      <c r="J607" s="54">
        <v>-318606</v>
      </c>
      <c r="K607" s="56">
        <f t="shared" si="29"/>
        <v>2765792453</v>
      </c>
      <c r="L607" s="37">
        <v>0</v>
      </c>
      <c r="M607" s="69"/>
      <c r="O607" s="38" t="str">
        <f>IF([1]totrevprm!O608="","",[1]totrevprm!O608)</f>
        <v/>
      </c>
    </row>
    <row r="608" spans="1:26">
      <c r="A608" s="50" t="s">
        <v>38</v>
      </c>
      <c r="B608" s="51" t="s">
        <v>410</v>
      </c>
      <c r="C608" s="52" t="s">
        <v>731</v>
      </c>
      <c r="D608" s="53">
        <v>1998</v>
      </c>
      <c r="E608" s="54">
        <v>819132462</v>
      </c>
      <c r="F608" s="54">
        <v>473659037</v>
      </c>
      <c r="G608" s="54">
        <v>1539514398</v>
      </c>
      <c r="H608" s="54">
        <v>0</v>
      </c>
      <c r="I608" s="55">
        <f t="shared" si="27"/>
        <v>2832305897</v>
      </c>
      <c r="J608" s="54">
        <v>-5025050</v>
      </c>
      <c r="K608" s="56">
        <f t="shared" si="29"/>
        <v>2827280847</v>
      </c>
      <c r="L608" s="37">
        <v>0</v>
      </c>
      <c r="M608" s="69"/>
      <c r="O608" s="38" t="str">
        <f>IF([1]totrevprm!O609="","",[1]totrevprm!O609)</f>
        <v/>
      </c>
    </row>
    <row r="609" spans="1:26">
      <c r="A609" s="50" t="s">
        <v>38</v>
      </c>
      <c r="B609" s="51" t="s">
        <v>410</v>
      </c>
      <c r="C609" s="52" t="s">
        <v>731</v>
      </c>
      <c r="D609" s="53">
        <v>1999</v>
      </c>
      <c r="E609" s="54">
        <v>795058466</v>
      </c>
      <c r="F609" s="54">
        <v>1349430275</v>
      </c>
      <c r="G609" s="54">
        <v>1629391488</v>
      </c>
      <c r="H609" s="54">
        <v>0</v>
      </c>
      <c r="I609" s="55">
        <f t="shared" si="27"/>
        <v>3773880229</v>
      </c>
      <c r="J609" s="54">
        <v>-226</v>
      </c>
      <c r="K609" s="56">
        <f t="shared" si="29"/>
        <v>3773880003</v>
      </c>
      <c r="L609" s="37">
        <v>0</v>
      </c>
      <c r="M609" s="69"/>
      <c r="O609" s="38" t="str">
        <f>IF([1]totrevprm!O610="","",[1]totrevprm!O610)</f>
        <v/>
      </c>
    </row>
    <row r="610" spans="1:26">
      <c r="A610" s="50" t="s">
        <v>38</v>
      </c>
      <c r="B610" s="51" t="s">
        <v>410</v>
      </c>
      <c r="C610" s="52" t="s">
        <v>731</v>
      </c>
      <c r="D610" s="53">
        <v>2000</v>
      </c>
      <c r="E610" s="54">
        <v>812902299</v>
      </c>
      <c r="F610" s="54">
        <v>935686521</v>
      </c>
      <c r="G610" s="54">
        <v>1705618511</v>
      </c>
      <c r="H610" s="54">
        <v>0</v>
      </c>
      <c r="I610" s="55">
        <f t="shared" si="27"/>
        <v>3454207331</v>
      </c>
      <c r="J610" s="54">
        <v>-1236523</v>
      </c>
      <c r="K610" s="56">
        <f t="shared" si="29"/>
        <v>3452970808</v>
      </c>
      <c r="L610" s="37">
        <v>0</v>
      </c>
      <c r="M610" s="69"/>
      <c r="O610" s="38" t="str">
        <f>IF([1]totrevprm!O611="","",[1]totrevprm!O611)</f>
        <v/>
      </c>
      <c r="V610" s="38" t="s">
        <v>410</v>
      </c>
      <c r="W610" s="58">
        <v>835249</v>
      </c>
      <c r="X610" s="58">
        <v>1834300</v>
      </c>
      <c r="Y610" s="58">
        <v>11539564</v>
      </c>
      <c r="Z610" s="58">
        <v>0</v>
      </c>
    </row>
    <row r="611" spans="1:26">
      <c r="A611" s="50" t="s">
        <v>38</v>
      </c>
      <c r="B611" s="51" t="s">
        <v>410</v>
      </c>
      <c r="C611" s="52" t="s">
        <v>731</v>
      </c>
      <c r="D611" s="53">
        <v>2001</v>
      </c>
      <c r="E611" s="54">
        <v>859584486</v>
      </c>
      <c r="F611" s="54">
        <v>948024058</v>
      </c>
      <c r="G611" s="54">
        <v>1896700056</v>
      </c>
      <c r="H611" s="54">
        <v>0</v>
      </c>
      <c r="I611" s="55">
        <f t="shared" si="27"/>
        <v>3704308600</v>
      </c>
      <c r="J611" s="54">
        <v>-104665</v>
      </c>
      <c r="K611" s="56">
        <f t="shared" si="29"/>
        <v>3704203935</v>
      </c>
      <c r="L611" s="37">
        <v>0</v>
      </c>
      <c r="M611" s="69"/>
      <c r="O611" s="38" t="str">
        <f>IF([1]totrevprm!O612="","",[1]totrevprm!O612)</f>
        <v/>
      </c>
      <c r="V611" s="38"/>
      <c r="W611" s="58"/>
      <c r="X611" s="58"/>
      <c r="Y611" s="58"/>
      <c r="Z611" s="58"/>
    </row>
    <row r="612" spans="1:26">
      <c r="A612" s="50" t="s">
        <v>38</v>
      </c>
      <c r="B612" s="51" t="s">
        <v>410</v>
      </c>
      <c r="C612" s="52" t="s">
        <v>731</v>
      </c>
      <c r="D612" s="53">
        <v>2002</v>
      </c>
      <c r="E612" s="54">
        <v>831889443</v>
      </c>
      <c r="F612" s="54">
        <v>1294896420</v>
      </c>
      <c r="G612" s="54">
        <v>2119794524</v>
      </c>
      <c r="H612" s="54">
        <v>0</v>
      </c>
      <c r="I612" s="55">
        <f t="shared" si="27"/>
        <v>4246580387</v>
      </c>
      <c r="J612" s="54">
        <v>-156</v>
      </c>
      <c r="K612" s="56">
        <f t="shared" si="29"/>
        <v>4246580231</v>
      </c>
      <c r="L612" s="37">
        <v>0</v>
      </c>
      <c r="M612" s="69"/>
      <c r="O612" s="38" t="str">
        <f>IF([1]totrevprm!O613="","",[1]totrevprm!O613)</f>
        <v/>
      </c>
      <c r="V612" s="38"/>
      <c r="W612" s="58"/>
      <c r="X612" s="58"/>
      <c r="Y612" s="58"/>
      <c r="Z612" s="58"/>
    </row>
    <row r="613" spans="1:26">
      <c r="A613" s="50" t="s">
        <v>38</v>
      </c>
      <c r="B613" s="51" t="s">
        <v>410</v>
      </c>
      <c r="C613" s="52" t="s">
        <v>731</v>
      </c>
      <c r="D613" s="53">
        <v>2003</v>
      </c>
      <c r="E613" s="59">
        <v>932087251</v>
      </c>
      <c r="F613" s="59">
        <v>1119181316</v>
      </c>
      <c r="G613" s="59">
        <v>2328435351</v>
      </c>
      <c r="H613" s="54">
        <v>0</v>
      </c>
      <c r="I613" s="55">
        <f t="shared" si="27"/>
        <v>4379703918</v>
      </c>
      <c r="J613" s="54">
        <v>-98050</v>
      </c>
      <c r="K613" s="56">
        <f t="shared" si="29"/>
        <v>4379605868</v>
      </c>
      <c r="L613" s="37">
        <v>0</v>
      </c>
      <c r="M613" s="69"/>
      <c r="O613" s="38" t="str">
        <f>IF([1]totrevprm!O614="","",[1]totrevprm!O614)</f>
        <v/>
      </c>
      <c r="V613" s="38"/>
      <c r="W613" s="58"/>
      <c r="X613" s="58"/>
      <c r="Y613" s="58"/>
      <c r="Z613" s="58"/>
    </row>
    <row r="614" spans="1:26">
      <c r="A614" s="50" t="s">
        <v>38</v>
      </c>
      <c r="B614" s="51" t="s">
        <v>410</v>
      </c>
      <c r="C614" s="52" t="s">
        <v>731</v>
      </c>
      <c r="D614" s="53">
        <v>2004</v>
      </c>
      <c r="E614" s="59">
        <v>953944326</v>
      </c>
      <c r="F614" s="59">
        <v>1003319291</v>
      </c>
      <c r="G614" s="59">
        <v>2456484648</v>
      </c>
      <c r="H614" s="54">
        <v>0</v>
      </c>
      <c r="I614" s="55">
        <f t="shared" si="27"/>
        <v>4413748265</v>
      </c>
      <c r="J614" s="54">
        <v>-2517477</v>
      </c>
      <c r="K614" s="56">
        <f t="shared" si="29"/>
        <v>4411230788</v>
      </c>
      <c r="L614" s="37">
        <v>0</v>
      </c>
      <c r="M614" s="69"/>
      <c r="O614" s="38" t="str">
        <f>IF([1]totrevprm!O615="","",[1]totrevprm!O615)</f>
        <v/>
      </c>
      <c r="V614" s="38"/>
      <c r="W614" s="58"/>
      <c r="X614" s="58"/>
      <c r="Y614" s="58"/>
      <c r="Z614" s="58"/>
    </row>
    <row r="615" spans="1:26">
      <c r="A615" s="50" t="s">
        <v>38</v>
      </c>
      <c r="B615" s="51" t="s">
        <v>410</v>
      </c>
      <c r="C615" s="52"/>
      <c r="D615" s="53">
        <v>2005</v>
      </c>
      <c r="E615" s="59">
        <v>976273182</v>
      </c>
      <c r="F615" s="59">
        <v>934981821</v>
      </c>
      <c r="G615" s="59">
        <v>2565149780.79</v>
      </c>
      <c r="H615" s="54">
        <v>0</v>
      </c>
      <c r="I615" s="55">
        <f t="shared" si="27"/>
        <v>4476404783.79</v>
      </c>
      <c r="J615" s="54">
        <v>-35580</v>
      </c>
      <c r="K615" s="56">
        <f t="shared" si="29"/>
        <v>4476369203.79</v>
      </c>
      <c r="L615" s="37">
        <v>0</v>
      </c>
      <c r="M615" s="69"/>
      <c r="O615" s="38" t="str">
        <f>IF([1]totrevprm!O616="","",[1]totrevprm!O616)</f>
        <v/>
      </c>
      <c r="V615" s="38"/>
      <c r="W615" s="58"/>
      <c r="X615" s="58"/>
      <c r="Y615" s="58"/>
      <c r="Z615" s="58"/>
    </row>
    <row r="616" spans="1:26">
      <c r="A616" s="50" t="s">
        <v>38</v>
      </c>
      <c r="B616" s="51" t="s">
        <v>410</v>
      </c>
      <c r="C616" s="52"/>
      <c r="D616" s="53">
        <v>2006</v>
      </c>
      <c r="E616" s="37">
        <v>1029692256</v>
      </c>
      <c r="F616" s="37">
        <v>933738653</v>
      </c>
      <c r="G616" s="37">
        <v>2841018009</v>
      </c>
      <c r="H616" s="54">
        <v>0</v>
      </c>
      <c r="I616" s="55">
        <f t="shared" si="27"/>
        <v>4804448918</v>
      </c>
      <c r="J616" s="54">
        <v>-1274396</v>
      </c>
      <c r="K616" s="56">
        <f t="shared" si="29"/>
        <v>4803174522</v>
      </c>
      <c r="L616" s="37">
        <v>0</v>
      </c>
      <c r="M616" s="69"/>
      <c r="O616" s="38" t="str">
        <f>IF([1]totrevprm!O617="","",[1]totrevprm!O617)</f>
        <v/>
      </c>
      <c r="V616" s="38"/>
      <c r="W616" s="58"/>
      <c r="X616" s="58"/>
      <c r="Y616" s="58"/>
      <c r="Z616" s="58"/>
    </row>
    <row r="617" spans="1:26">
      <c r="A617" s="50" t="s">
        <v>38</v>
      </c>
      <c r="B617" s="51" t="s">
        <v>410</v>
      </c>
      <c r="C617" s="52"/>
      <c r="D617" s="53">
        <v>2007</v>
      </c>
      <c r="E617" s="37">
        <v>1047567830</v>
      </c>
      <c r="F617" s="37">
        <v>1364592010</v>
      </c>
      <c r="G617" s="37">
        <v>2984075561</v>
      </c>
      <c r="H617" s="37">
        <v>0</v>
      </c>
      <c r="I617" s="55">
        <f t="shared" si="27"/>
        <v>5396235401</v>
      </c>
      <c r="J617" s="54">
        <v>-153117</v>
      </c>
      <c r="K617" s="56">
        <f t="shared" si="29"/>
        <v>5396082284</v>
      </c>
      <c r="L617" s="37">
        <v>0</v>
      </c>
      <c r="M617" s="69"/>
      <c r="O617" s="38" t="str">
        <f>IF([1]totrevprm!O618="","",[1]totrevprm!O618)</f>
        <v/>
      </c>
      <c r="V617" s="38"/>
      <c r="W617" s="58"/>
      <c r="X617" s="58"/>
      <c r="Y617" s="58"/>
      <c r="Z617" s="58"/>
    </row>
    <row r="618" spans="1:26">
      <c r="A618" s="50" t="s">
        <v>38</v>
      </c>
      <c r="B618" s="51" t="s">
        <v>410</v>
      </c>
      <c r="C618" s="52"/>
      <c r="D618" s="53">
        <v>2008</v>
      </c>
      <c r="E618" s="37">
        <v>1043494903</v>
      </c>
      <c r="F618" s="37">
        <v>1449898398</v>
      </c>
      <c r="G618" s="37">
        <v>3128095209</v>
      </c>
      <c r="H618" s="37">
        <v>0</v>
      </c>
      <c r="I618" s="55">
        <f t="shared" si="27"/>
        <v>5621488510</v>
      </c>
      <c r="J618" s="54">
        <v>-16984</v>
      </c>
      <c r="K618" s="56">
        <f t="shared" si="29"/>
        <v>5621471526</v>
      </c>
      <c r="L618" s="37">
        <v>0</v>
      </c>
      <c r="M618" s="69"/>
      <c r="O618" s="38" t="str">
        <f>IF([1]totrevprm!O619="","",[1]totrevprm!O619)</f>
        <v/>
      </c>
      <c r="V618" s="38"/>
      <c r="W618" s="58"/>
      <c r="X618" s="58"/>
      <c r="Y618" s="58"/>
      <c r="Z618" s="58"/>
    </row>
    <row r="619" spans="1:26">
      <c r="A619" s="50" t="s">
        <v>38</v>
      </c>
      <c r="B619" s="51" t="s">
        <v>410</v>
      </c>
      <c r="C619" s="52"/>
      <c r="D619" s="53">
        <v>2009</v>
      </c>
      <c r="E619" s="37">
        <v>1135565677</v>
      </c>
      <c r="F619" s="37">
        <v>1391617049</v>
      </c>
      <c r="G619" s="37">
        <v>3362138626</v>
      </c>
      <c r="H619" s="37">
        <v>0</v>
      </c>
      <c r="I619" s="55">
        <f t="shared" si="27"/>
        <v>5889321352</v>
      </c>
      <c r="J619" s="54">
        <v>-8456</v>
      </c>
      <c r="K619" s="56">
        <f t="shared" si="29"/>
        <v>5889312896</v>
      </c>
      <c r="L619" s="37">
        <v>0</v>
      </c>
      <c r="M619" s="69"/>
      <c r="O619" s="38" t="str">
        <f>IF([1]totrevprm!O620="","",[1]totrevprm!O620)</f>
        <v/>
      </c>
      <c r="V619" s="38"/>
      <c r="W619" s="58"/>
      <c r="X619" s="58"/>
      <c r="Y619" s="58"/>
      <c r="Z619" s="58"/>
    </row>
    <row r="620" spans="1:26">
      <c r="A620" s="50" t="s">
        <v>38</v>
      </c>
      <c r="B620" s="51" t="s">
        <v>410</v>
      </c>
      <c r="C620" s="52"/>
      <c r="D620" s="53">
        <v>2010</v>
      </c>
      <c r="E620" s="37">
        <v>1150998442</v>
      </c>
      <c r="F620" s="37">
        <v>1365534348</v>
      </c>
      <c r="G620" s="37">
        <v>3442502907</v>
      </c>
      <c r="H620" s="37">
        <v>0</v>
      </c>
      <c r="I620" s="55">
        <f t="shared" ref="I620:I670" si="30">SUM(E620:H620)</f>
        <v>5959035697</v>
      </c>
      <c r="J620" s="54">
        <v>-7833</v>
      </c>
      <c r="K620" s="56">
        <f t="shared" si="29"/>
        <v>5959027864</v>
      </c>
      <c r="L620" s="37">
        <v>0</v>
      </c>
      <c r="M620" s="69"/>
      <c r="O620" s="38" t="str">
        <f>IF([1]totrevprm!O621="","",[1]totrevprm!O621)</f>
        <v/>
      </c>
      <c r="V620" s="38"/>
      <c r="W620" s="58"/>
      <c r="X620" s="58"/>
      <c r="Y620" s="58"/>
      <c r="Z620" s="58"/>
    </row>
    <row r="621" spans="1:26">
      <c r="A621" s="50" t="s">
        <v>38</v>
      </c>
      <c r="B621" s="51" t="s">
        <v>410</v>
      </c>
      <c r="C621" s="52"/>
      <c r="D621" s="53">
        <v>2011</v>
      </c>
      <c r="E621" s="37">
        <v>1228722059</v>
      </c>
      <c r="F621" s="37">
        <v>1360960701</v>
      </c>
      <c r="G621" s="37">
        <v>3403686174.5500002</v>
      </c>
      <c r="H621" s="37">
        <v>0</v>
      </c>
      <c r="I621" s="55">
        <f t="shared" si="30"/>
        <v>5993368934.5500002</v>
      </c>
      <c r="J621" s="54">
        <v>-25756</v>
      </c>
      <c r="K621" s="56">
        <f t="shared" si="29"/>
        <v>5993343178.5500002</v>
      </c>
      <c r="L621" s="37">
        <v>0</v>
      </c>
      <c r="M621" s="69"/>
      <c r="O621" s="38" t="str">
        <f>IF([1]totrevprm!O622="","",[1]totrevprm!O622)</f>
        <v/>
      </c>
      <c r="V621" s="38"/>
      <c r="W621" s="58"/>
      <c r="X621" s="58"/>
      <c r="Y621" s="58"/>
      <c r="Z621" s="58"/>
    </row>
    <row r="622" spans="1:26">
      <c r="A622" s="50" t="s">
        <v>38</v>
      </c>
      <c r="B622" s="51" t="s">
        <v>410</v>
      </c>
      <c r="C622" s="52"/>
      <c r="D622" s="53">
        <v>2012</v>
      </c>
      <c r="E622" s="37">
        <v>1259867856</v>
      </c>
      <c r="F622" s="37">
        <v>1446360585</v>
      </c>
      <c r="G622" s="37">
        <v>3426986109</v>
      </c>
      <c r="H622" s="37">
        <v>0</v>
      </c>
      <c r="I622" s="55">
        <f t="shared" si="30"/>
        <v>6133214550</v>
      </c>
      <c r="J622" s="54">
        <v>-18102</v>
      </c>
      <c r="K622" s="56">
        <f t="shared" si="29"/>
        <v>6133196448</v>
      </c>
      <c r="L622" s="37">
        <v>0</v>
      </c>
      <c r="M622" s="69"/>
      <c r="O622" s="38" t="str">
        <f>IF([1]totrevprm!O623="","",[1]totrevprm!O623)</f>
        <v/>
      </c>
      <c r="V622" s="38"/>
      <c r="W622" s="58"/>
      <c r="X622" s="58"/>
      <c r="Y622" s="58"/>
      <c r="Z622" s="58"/>
    </row>
    <row r="623" spans="1:26">
      <c r="A623" s="50" t="s">
        <v>38</v>
      </c>
      <c r="B623" s="51" t="s">
        <v>410</v>
      </c>
      <c r="C623" s="52"/>
      <c r="D623" s="53">
        <v>2013</v>
      </c>
      <c r="E623" s="37">
        <v>1248090426</v>
      </c>
      <c r="F623" s="37">
        <v>1388478638</v>
      </c>
      <c r="G623" s="37">
        <v>3325564629</v>
      </c>
      <c r="H623" s="37">
        <v>0</v>
      </c>
      <c r="I623" s="55">
        <f t="shared" si="30"/>
        <v>5962133693</v>
      </c>
      <c r="J623" s="54">
        <v>-89628</v>
      </c>
      <c r="K623" s="56">
        <f t="shared" si="29"/>
        <v>5962044065</v>
      </c>
      <c r="L623" s="37">
        <v>0</v>
      </c>
      <c r="M623" s="69"/>
      <c r="O623" s="38" t="str">
        <f>IF([1]totrevprm!O624="","",[1]totrevprm!O624)</f>
        <v/>
      </c>
      <c r="V623" s="38"/>
      <c r="W623" s="58"/>
      <c r="X623" s="58"/>
      <c r="Y623" s="58"/>
      <c r="Z623" s="58"/>
    </row>
    <row r="624" spans="1:26">
      <c r="A624" s="50" t="s">
        <v>38</v>
      </c>
      <c r="B624" s="51" t="s">
        <v>410</v>
      </c>
      <c r="C624" s="52"/>
      <c r="D624" s="53">
        <v>2014</v>
      </c>
      <c r="E624" s="37">
        <v>1277538319</v>
      </c>
      <c r="F624" s="37">
        <v>1423705412</v>
      </c>
      <c r="G624" s="37">
        <v>3164031832.5900002</v>
      </c>
      <c r="H624" s="37">
        <v>0</v>
      </c>
      <c r="I624" s="55">
        <f t="shared" si="30"/>
        <v>5865275563.5900002</v>
      </c>
      <c r="J624" s="54">
        <v>-2840</v>
      </c>
      <c r="K624" s="56">
        <f t="shared" si="29"/>
        <v>5865272723.5900002</v>
      </c>
      <c r="L624" s="37">
        <v>0</v>
      </c>
      <c r="M624" s="69"/>
      <c r="O624" s="38" t="str">
        <f>IF([1]totrevprm!O625="","",[1]totrevprm!O625)</f>
        <v/>
      </c>
      <c r="V624" s="38"/>
      <c r="W624" s="58"/>
      <c r="X624" s="58"/>
      <c r="Y624" s="58"/>
      <c r="Z624" s="58"/>
    </row>
    <row r="625" spans="1:26">
      <c r="A625" s="50" t="s">
        <v>38</v>
      </c>
      <c r="B625" s="51" t="s">
        <v>410</v>
      </c>
      <c r="C625" s="52"/>
      <c r="D625" s="53">
        <v>2015</v>
      </c>
      <c r="E625" s="37">
        <v>1384570264</v>
      </c>
      <c r="F625" s="37">
        <v>1867309307</v>
      </c>
      <c r="G625" s="37">
        <v>3258832099</v>
      </c>
      <c r="H625" s="37">
        <v>0</v>
      </c>
      <c r="I625" s="55">
        <f t="shared" si="30"/>
        <v>6510711670</v>
      </c>
      <c r="J625" s="54">
        <v>-3000</v>
      </c>
      <c r="K625" s="56">
        <f t="shared" si="29"/>
        <v>6510708670</v>
      </c>
      <c r="L625" s="37">
        <v>0</v>
      </c>
      <c r="M625" s="69"/>
      <c r="O625" s="38" t="str">
        <f>IF([1]totrevprm!O626="","",[1]totrevprm!O626)</f>
        <v/>
      </c>
      <c r="P625" s="35">
        <v>187396646.74108458</v>
      </c>
      <c r="Q625" s="35">
        <v>135946179.33000001</v>
      </c>
      <c r="V625" s="38"/>
      <c r="W625" s="58"/>
      <c r="X625" s="58"/>
      <c r="Y625" s="58"/>
      <c r="Z625" s="58"/>
    </row>
    <row r="626" spans="1:26">
      <c r="A626" s="50" t="s">
        <v>38</v>
      </c>
      <c r="B626" s="51" t="s">
        <v>410</v>
      </c>
      <c r="C626" s="52"/>
      <c r="D626" s="53">
        <v>2016</v>
      </c>
      <c r="E626" s="37">
        <v>1357444995</v>
      </c>
      <c r="F626" s="37">
        <v>1619161001</v>
      </c>
      <c r="G626" s="37">
        <v>3117655198</v>
      </c>
      <c r="H626" s="37">
        <v>0</v>
      </c>
      <c r="I626" s="55">
        <f t="shared" si="30"/>
        <v>6094261194</v>
      </c>
      <c r="J626" s="54">
        <v>-587329</v>
      </c>
      <c r="K626" s="56">
        <f t="shared" si="29"/>
        <v>6093673865</v>
      </c>
      <c r="L626" s="37">
        <v>0</v>
      </c>
      <c r="M626" s="69"/>
      <c r="O626" s="38" t="str">
        <f>IF([1]totrevprm!O627="","",[1]totrevprm!O627)</f>
        <v/>
      </c>
      <c r="P626" s="35">
        <v>193858212.94763941</v>
      </c>
      <c r="Q626" s="35">
        <v>135058408.97</v>
      </c>
      <c r="V626" s="38"/>
      <c r="W626" s="58"/>
      <c r="X626" s="58"/>
      <c r="Y626" s="58"/>
      <c r="Z626" s="58"/>
    </row>
    <row r="627" spans="1:26">
      <c r="A627" s="50" t="s">
        <v>38</v>
      </c>
      <c r="B627" s="51" t="s">
        <v>410</v>
      </c>
      <c r="C627" s="52"/>
      <c r="D627" s="53">
        <v>2017</v>
      </c>
      <c r="E627" s="37">
        <v>1341662334</v>
      </c>
      <c r="F627" s="37">
        <v>1639192301</v>
      </c>
      <c r="G627" s="37">
        <v>3151255024.46</v>
      </c>
      <c r="H627" s="37">
        <v>0</v>
      </c>
      <c r="I627" s="55">
        <f t="shared" si="30"/>
        <v>6132109659.46</v>
      </c>
      <c r="J627" s="54">
        <v>-9527</v>
      </c>
      <c r="K627" s="56">
        <f t="shared" si="29"/>
        <v>6132100132.46</v>
      </c>
      <c r="L627" s="37">
        <v>0</v>
      </c>
      <c r="M627" s="69"/>
      <c r="O627" s="38" t="str">
        <f>IF([1]totrevprm!O628="","",[1]totrevprm!O628)</f>
        <v/>
      </c>
      <c r="P627" s="35">
        <v>200195375.4844293</v>
      </c>
      <c r="Q627" s="35">
        <v>131917633.58</v>
      </c>
      <c r="V627" s="38"/>
      <c r="W627" s="58"/>
      <c r="X627" s="58"/>
      <c r="Y627" s="58"/>
      <c r="Z627" s="58"/>
    </row>
    <row r="628" spans="1:26">
      <c r="A628" s="50" t="s">
        <v>38</v>
      </c>
      <c r="B628" s="51" t="s">
        <v>410</v>
      </c>
      <c r="C628" s="52"/>
      <c r="D628" s="53">
        <v>2018</v>
      </c>
      <c r="E628" s="37">
        <v>1339302234</v>
      </c>
      <c r="F628" s="37">
        <v>1816607134</v>
      </c>
      <c r="G628" s="37">
        <v>3720087694.1300001</v>
      </c>
      <c r="H628" s="37">
        <v>0</v>
      </c>
      <c r="I628" s="55">
        <f t="shared" si="30"/>
        <v>6875997062.1300001</v>
      </c>
      <c r="J628" s="54">
        <v>-188</v>
      </c>
      <c r="K628" s="56">
        <f t="shared" si="29"/>
        <v>6875996874.1300001</v>
      </c>
      <c r="L628" s="60">
        <v>0</v>
      </c>
      <c r="M628" s="69"/>
      <c r="O628" s="38" t="str">
        <f>IF([1]totrevprm!O629="","",[1]totrevprm!O629)</f>
        <v/>
      </c>
      <c r="P628" s="35">
        <v>203822190.5775454</v>
      </c>
      <c r="Q628" s="35">
        <v>129624353.33761418</v>
      </c>
      <c r="V628" s="38"/>
      <c r="W628" s="58"/>
      <c r="X628" s="58"/>
      <c r="Y628" s="58"/>
      <c r="Z628" s="58"/>
    </row>
    <row r="629" spans="1:26">
      <c r="A629" s="50" t="s">
        <v>38</v>
      </c>
      <c r="B629" s="51" t="s">
        <v>410</v>
      </c>
      <c r="C629" s="52"/>
      <c r="D629" s="53">
        <v>2019</v>
      </c>
      <c r="E629" s="37">
        <v>1370072952</v>
      </c>
      <c r="F629" s="37">
        <v>2029851023</v>
      </c>
      <c r="G629" s="37">
        <v>3798956168.4075999</v>
      </c>
      <c r="H629" s="37">
        <v>0</v>
      </c>
      <c r="I629" s="55">
        <f t="shared" si="30"/>
        <v>7198880143.4076004</v>
      </c>
      <c r="J629" s="54">
        <v>-16861531</v>
      </c>
      <c r="K629" s="56">
        <f t="shared" si="29"/>
        <v>7182018612.4076004</v>
      </c>
      <c r="L629" s="60">
        <v>0</v>
      </c>
      <c r="M629" s="69"/>
      <c r="O629" s="38" t="str">
        <f>IF([1]totrevprm!O630="","",[1]totrevprm!O630)</f>
        <v/>
      </c>
      <c r="P629" s="35">
        <v>212516674.53672904</v>
      </c>
      <c r="Q629" s="35">
        <v>130292756.27405508</v>
      </c>
      <c r="V629" s="38"/>
      <c r="W629" s="58"/>
      <c r="X629" s="58"/>
      <c r="Y629" s="58"/>
      <c r="Z629" s="58"/>
    </row>
    <row r="630" spans="1:26">
      <c r="A630" s="50" t="s">
        <v>38</v>
      </c>
      <c r="B630" s="51" t="s">
        <v>410</v>
      </c>
      <c r="C630" s="52"/>
      <c r="D630" s="53">
        <v>2020</v>
      </c>
      <c r="E630" s="37">
        <v>1427338700</v>
      </c>
      <c r="F630" s="37">
        <v>1839292043</v>
      </c>
      <c r="G630" s="37">
        <v>3832936997</v>
      </c>
      <c r="H630" s="37">
        <v>0</v>
      </c>
      <c r="I630" s="55">
        <f t="shared" si="30"/>
        <v>7099567740</v>
      </c>
      <c r="J630" s="54">
        <v>-30018</v>
      </c>
      <c r="K630" s="56">
        <f t="shared" si="29"/>
        <v>7099537722</v>
      </c>
      <c r="L630" s="60">
        <v>0</v>
      </c>
      <c r="M630" s="69"/>
      <c r="O630" s="38" t="str">
        <f>IF([1]totrevprm!O631="","",[1]totrevprm!O631)</f>
        <v/>
      </c>
      <c r="P630" s="35">
        <v>211561462</v>
      </c>
      <c r="Q630" s="35">
        <v>128906292</v>
      </c>
      <c r="V630" s="38"/>
      <c r="W630" s="58"/>
      <c r="X630" s="58"/>
      <c r="Y630" s="58"/>
      <c r="Z630" s="58"/>
    </row>
    <row r="631" spans="1:26">
      <c r="A631" s="50" t="s">
        <v>38</v>
      </c>
      <c r="B631" s="51" t="s">
        <v>410</v>
      </c>
      <c r="C631" s="52"/>
      <c r="D631" s="53">
        <v>2021</v>
      </c>
      <c r="E631" s="37">
        <v>1480921721</v>
      </c>
      <c r="F631" s="37">
        <v>2080648274</v>
      </c>
      <c r="G631" s="37">
        <v>3662012535.4499998</v>
      </c>
      <c r="H631" s="37">
        <v>0</v>
      </c>
      <c r="I631" s="55">
        <f t="shared" si="30"/>
        <v>7223582530.4499998</v>
      </c>
      <c r="J631" s="60">
        <v>-10</v>
      </c>
      <c r="K631" s="56">
        <f t="shared" si="29"/>
        <v>7223582520.4499998</v>
      </c>
      <c r="L631" s="60">
        <v>0</v>
      </c>
      <c r="M631" s="69"/>
      <c r="O631" s="38"/>
      <c r="P631" s="35">
        <v>201335288.61000001</v>
      </c>
      <c r="Q631" s="35">
        <v>135448415</v>
      </c>
      <c r="V631" s="38"/>
      <c r="W631" s="58"/>
      <c r="X631" s="58"/>
      <c r="Y631" s="58"/>
      <c r="Z631" s="58"/>
    </row>
    <row r="632" spans="1:26">
      <c r="A632" s="50" t="s">
        <v>38</v>
      </c>
      <c r="B632" s="51" t="s">
        <v>410</v>
      </c>
      <c r="C632" s="52"/>
      <c r="D632" s="53">
        <v>2022</v>
      </c>
      <c r="E632" s="37">
        <v>1477211861</v>
      </c>
      <c r="F632" s="37">
        <v>2325979323</v>
      </c>
      <c r="G632" s="37">
        <v>3981641007</v>
      </c>
      <c r="H632" s="37">
        <v>0</v>
      </c>
      <c r="I632" s="55">
        <f t="shared" si="30"/>
        <v>7784832191</v>
      </c>
      <c r="J632" s="60">
        <v>-281076</v>
      </c>
      <c r="K632" s="56">
        <f t="shared" si="29"/>
        <v>7784551115</v>
      </c>
      <c r="L632" s="60">
        <v>0</v>
      </c>
      <c r="M632" s="69"/>
      <c r="O632" s="38" t="str">
        <f>IF([1]totrevprm!O635="","",[1]totrevprm!O635)</f>
        <v/>
      </c>
      <c r="P632" s="60">
        <v>216175450</v>
      </c>
      <c r="Q632" s="60">
        <v>132013224</v>
      </c>
    </row>
    <row r="633" spans="1:26">
      <c r="A633" s="50" t="s">
        <v>38</v>
      </c>
      <c r="B633" s="51" t="s">
        <v>410</v>
      </c>
      <c r="C633" s="52"/>
      <c r="D633" s="53">
        <v>2023</v>
      </c>
      <c r="E633" s="37">
        <v>1495046826</v>
      </c>
      <c r="F633" s="37">
        <v>3346186087.2856002</v>
      </c>
      <c r="G633" s="37">
        <v>4215294278.75</v>
      </c>
      <c r="H633" s="37">
        <v>0</v>
      </c>
      <c r="I633" s="55">
        <f t="shared" si="30"/>
        <v>9056527192.0356007</v>
      </c>
      <c r="J633" s="60">
        <v>-1482</v>
      </c>
      <c r="K633" s="56">
        <f t="shared" si="29"/>
        <v>9056525710.0356007</v>
      </c>
      <c r="L633" s="37">
        <v>0</v>
      </c>
      <c r="M633" s="69"/>
      <c r="O633" s="38"/>
      <c r="P633" s="60">
        <v>232281569.97999999</v>
      </c>
      <c r="Q633" s="60">
        <v>132138957</v>
      </c>
    </row>
    <row r="634" spans="1:26">
      <c r="A634" s="50"/>
      <c r="B634" s="52"/>
      <c r="C634" s="52"/>
      <c r="E634" s="54"/>
      <c r="F634" s="54"/>
      <c r="G634" s="54"/>
      <c r="H634" s="54"/>
      <c r="I634" s="55"/>
      <c r="K634" s="65"/>
      <c r="L634" s="37"/>
      <c r="M634" s="69"/>
      <c r="O634" s="38"/>
    </row>
    <row r="635" spans="1:26" ht="14.25" customHeight="1">
      <c r="A635" s="50" t="s">
        <v>40</v>
      </c>
      <c r="B635" s="51" t="s">
        <v>537</v>
      </c>
      <c r="C635" s="52" t="s">
        <v>730</v>
      </c>
      <c r="D635" s="53">
        <v>1988</v>
      </c>
      <c r="E635" s="54">
        <v>652323525</v>
      </c>
      <c r="F635" s="54">
        <v>462752555</v>
      </c>
      <c r="G635" s="54">
        <v>1001179311</v>
      </c>
      <c r="H635" s="54">
        <v>0</v>
      </c>
      <c r="I635" s="55">
        <f t="shared" si="30"/>
        <v>2116255391</v>
      </c>
      <c r="J635" s="54">
        <v>-170323</v>
      </c>
      <c r="K635" s="56">
        <f>SUM(I635:J635)</f>
        <v>2116085068</v>
      </c>
      <c r="L635" s="37">
        <v>0</v>
      </c>
      <c r="M635" s="69"/>
      <c r="O635" s="38" t="str">
        <f>IF([1]totrevprm!O636="","",[1]totrevprm!O636)</f>
        <v/>
      </c>
    </row>
    <row r="636" spans="1:26">
      <c r="A636" s="50" t="s">
        <v>40</v>
      </c>
      <c r="B636" s="51" t="s">
        <v>537</v>
      </c>
      <c r="C636" s="52" t="s">
        <v>731</v>
      </c>
      <c r="D636" s="53">
        <v>1989</v>
      </c>
      <c r="E636" s="54">
        <v>681252108</v>
      </c>
      <c r="F636" s="54">
        <v>402109921</v>
      </c>
      <c r="G636" s="54">
        <v>976169464</v>
      </c>
      <c r="H636" s="54">
        <v>0</v>
      </c>
      <c r="I636" s="55">
        <f t="shared" si="30"/>
        <v>2059531493</v>
      </c>
      <c r="J636" s="54">
        <v>-6844765</v>
      </c>
      <c r="K636" s="56">
        <f t="shared" ref="K636:K670" si="31">SUM(I636:J636)</f>
        <v>2052686728</v>
      </c>
      <c r="L636" s="37">
        <v>0</v>
      </c>
      <c r="M636" s="69"/>
      <c r="O636" s="38" t="str">
        <f>IF([1]totrevprm!O637="","",[1]totrevprm!O637)</f>
        <v/>
      </c>
    </row>
    <row r="637" spans="1:26">
      <c r="A637" s="50" t="s">
        <v>40</v>
      </c>
      <c r="B637" s="51" t="s">
        <v>537</v>
      </c>
      <c r="C637" s="52" t="s">
        <v>731</v>
      </c>
      <c r="D637" s="53">
        <v>1990</v>
      </c>
      <c r="E637" s="54">
        <v>702834652</v>
      </c>
      <c r="F637" s="54">
        <v>562093109.12</v>
      </c>
      <c r="G637" s="54">
        <v>1028577699</v>
      </c>
      <c r="H637" s="54">
        <v>0</v>
      </c>
      <c r="I637" s="55">
        <f t="shared" si="30"/>
        <v>2293505460.1199999</v>
      </c>
      <c r="J637" s="54">
        <v>-149404</v>
      </c>
      <c r="K637" s="56">
        <f t="shared" si="31"/>
        <v>2293356056.1199999</v>
      </c>
      <c r="L637" s="37">
        <v>0</v>
      </c>
      <c r="M637" s="69"/>
      <c r="O637" s="38" t="str">
        <f>IF([1]totrevprm!O638="","",[1]totrevprm!O638)</f>
        <v/>
      </c>
    </row>
    <row r="638" spans="1:26">
      <c r="A638" s="50" t="s">
        <v>40</v>
      </c>
      <c r="B638" s="51" t="s">
        <v>537</v>
      </c>
      <c r="C638" s="52" t="s">
        <v>731</v>
      </c>
      <c r="D638" s="53">
        <v>1991</v>
      </c>
      <c r="E638" s="54">
        <v>804298095</v>
      </c>
      <c r="F638" s="54">
        <v>407490577</v>
      </c>
      <c r="G638" s="54">
        <v>1040899763</v>
      </c>
      <c r="H638" s="54">
        <v>0</v>
      </c>
      <c r="I638" s="55">
        <f t="shared" si="30"/>
        <v>2252688435</v>
      </c>
      <c r="J638" s="54">
        <v>-121813</v>
      </c>
      <c r="K638" s="56">
        <f t="shared" si="31"/>
        <v>2252566622</v>
      </c>
      <c r="L638" s="37">
        <v>0</v>
      </c>
      <c r="M638" s="69"/>
      <c r="O638" s="38" t="str">
        <f>IF([1]totrevprm!O639="","",[1]totrevprm!O639)</f>
        <v/>
      </c>
    </row>
    <row r="639" spans="1:26">
      <c r="A639" s="50" t="s">
        <v>40</v>
      </c>
      <c r="B639" s="51" t="s">
        <v>537</v>
      </c>
      <c r="C639" s="52" t="s">
        <v>731</v>
      </c>
      <c r="D639" s="53">
        <v>1992</v>
      </c>
      <c r="E639" s="54">
        <v>863449882</v>
      </c>
      <c r="F639" s="54">
        <v>477039571.24000001</v>
      </c>
      <c r="G639" s="54">
        <v>1046400494</v>
      </c>
      <c r="H639" s="54">
        <v>0</v>
      </c>
      <c r="I639" s="55">
        <f t="shared" si="30"/>
        <v>2386889947.2399998</v>
      </c>
      <c r="J639" s="54">
        <v>-199749</v>
      </c>
      <c r="K639" s="56">
        <f t="shared" si="31"/>
        <v>2386690198.2399998</v>
      </c>
      <c r="L639" s="37">
        <v>0</v>
      </c>
      <c r="M639" s="69"/>
      <c r="O639" s="38" t="str">
        <f>IF([1]totrevprm!O640="","",[1]totrevprm!O640)</f>
        <v/>
      </c>
    </row>
    <row r="640" spans="1:26">
      <c r="A640" s="50" t="s">
        <v>40</v>
      </c>
      <c r="B640" s="51" t="s">
        <v>537</v>
      </c>
      <c r="C640" s="52" t="s">
        <v>731</v>
      </c>
      <c r="D640" s="53">
        <v>1993</v>
      </c>
      <c r="E640" s="54">
        <v>981759182</v>
      </c>
      <c r="F640" s="54">
        <v>420968556</v>
      </c>
      <c r="G640" s="54">
        <v>731975034</v>
      </c>
      <c r="H640" s="54">
        <v>0</v>
      </c>
      <c r="I640" s="55">
        <f t="shared" si="30"/>
        <v>2134702772</v>
      </c>
      <c r="J640" s="54">
        <v>-6364</v>
      </c>
      <c r="K640" s="56">
        <f t="shared" si="31"/>
        <v>2134696408</v>
      </c>
      <c r="L640" s="37">
        <v>0</v>
      </c>
      <c r="M640" s="69"/>
      <c r="O640" s="38" t="str">
        <f>IF([1]totrevprm!O641="","",[1]totrevprm!O641)</f>
        <v/>
      </c>
    </row>
    <row r="641" spans="1:26">
      <c r="A641" s="50" t="s">
        <v>40</v>
      </c>
      <c r="B641" s="51" t="s">
        <v>537</v>
      </c>
      <c r="C641" s="52" t="s">
        <v>731</v>
      </c>
      <c r="D641" s="53">
        <v>1994</v>
      </c>
      <c r="E641" s="54">
        <v>1041084278</v>
      </c>
      <c r="F641" s="54">
        <v>435895513</v>
      </c>
      <c r="G641" s="54">
        <v>754992840</v>
      </c>
      <c r="H641" s="54">
        <v>0</v>
      </c>
      <c r="I641" s="55">
        <f t="shared" si="30"/>
        <v>2231972631</v>
      </c>
      <c r="J641" s="54">
        <v>-654463</v>
      </c>
      <c r="K641" s="56">
        <f t="shared" si="31"/>
        <v>2231318168</v>
      </c>
      <c r="L641" s="37">
        <v>0</v>
      </c>
      <c r="M641" s="69"/>
      <c r="O641" s="38" t="str">
        <f>IF([1]totrevprm!O642="","",[1]totrevprm!O642)</f>
        <v/>
      </c>
    </row>
    <row r="642" spans="1:26">
      <c r="A642" s="50" t="s">
        <v>40</v>
      </c>
      <c r="B642" s="51" t="s">
        <v>537</v>
      </c>
      <c r="C642" s="52" t="s">
        <v>731</v>
      </c>
      <c r="D642" s="53">
        <v>1995</v>
      </c>
      <c r="E642" s="54">
        <v>1118838559</v>
      </c>
      <c r="F642" s="54">
        <v>505290615</v>
      </c>
      <c r="G642" s="54">
        <v>775041380</v>
      </c>
      <c r="H642" s="54">
        <v>0</v>
      </c>
      <c r="I642" s="55">
        <f t="shared" si="30"/>
        <v>2399170554</v>
      </c>
      <c r="J642" s="54">
        <v>-875278</v>
      </c>
      <c r="K642" s="56">
        <f t="shared" si="31"/>
        <v>2398295276</v>
      </c>
      <c r="L642" s="37">
        <v>0</v>
      </c>
      <c r="M642" s="69"/>
      <c r="O642" s="38" t="str">
        <f>IF([1]totrevprm!O643="","",[1]totrevprm!O643)</f>
        <v/>
      </c>
    </row>
    <row r="643" spans="1:26">
      <c r="A643" s="50" t="s">
        <v>40</v>
      </c>
      <c r="B643" s="51" t="s">
        <v>537</v>
      </c>
      <c r="C643" s="52" t="s">
        <v>731</v>
      </c>
      <c r="D643" s="53">
        <v>1996</v>
      </c>
      <c r="E643" s="54">
        <v>1048384540</v>
      </c>
      <c r="F643" s="54">
        <v>510101586</v>
      </c>
      <c r="G643" s="54">
        <v>731273244</v>
      </c>
      <c r="H643" s="54">
        <v>0</v>
      </c>
      <c r="I643" s="55">
        <f t="shared" si="30"/>
        <v>2289759370</v>
      </c>
      <c r="J643" s="54">
        <v>-72321</v>
      </c>
      <c r="K643" s="56">
        <f t="shared" si="31"/>
        <v>2289687049</v>
      </c>
      <c r="L643" s="37">
        <v>0</v>
      </c>
      <c r="M643" s="69"/>
      <c r="O643" s="38" t="str">
        <f>IF([1]totrevprm!O644="","",[1]totrevprm!O644)</f>
        <v/>
      </c>
    </row>
    <row r="644" spans="1:26">
      <c r="A644" s="50" t="s">
        <v>40</v>
      </c>
      <c r="B644" s="51" t="s">
        <v>537</v>
      </c>
      <c r="C644" s="52" t="s">
        <v>731</v>
      </c>
      <c r="D644" s="53">
        <v>1997</v>
      </c>
      <c r="E644" s="54">
        <v>1036170128</v>
      </c>
      <c r="F644" s="54">
        <v>614634514</v>
      </c>
      <c r="G644" s="54">
        <v>698776603</v>
      </c>
      <c r="H644" s="54">
        <v>0</v>
      </c>
      <c r="I644" s="55">
        <f t="shared" si="30"/>
        <v>2349581245</v>
      </c>
      <c r="J644" s="54">
        <v>-6</v>
      </c>
      <c r="K644" s="56">
        <f t="shared" si="31"/>
        <v>2349581239</v>
      </c>
      <c r="L644" s="37">
        <v>0</v>
      </c>
      <c r="M644" s="69"/>
      <c r="O644" s="38" t="str">
        <f>IF([1]totrevprm!O645="","",[1]totrevprm!O645)</f>
        <v/>
      </c>
    </row>
    <row r="645" spans="1:26">
      <c r="A645" s="50" t="s">
        <v>40</v>
      </c>
      <c r="B645" s="51" t="s">
        <v>537</v>
      </c>
      <c r="C645" s="52" t="s">
        <v>731</v>
      </c>
      <c r="D645" s="53">
        <v>1998</v>
      </c>
      <c r="E645" s="54">
        <v>1016179966</v>
      </c>
      <c r="F645" s="54">
        <v>498080187</v>
      </c>
      <c r="G645" s="54">
        <v>837252702</v>
      </c>
      <c r="H645" s="54">
        <v>0</v>
      </c>
      <c r="I645" s="55">
        <f t="shared" si="30"/>
        <v>2351512855</v>
      </c>
      <c r="J645" s="54">
        <v>-1051451</v>
      </c>
      <c r="K645" s="56">
        <f t="shared" si="31"/>
        <v>2350461404</v>
      </c>
      <c r="L645" s="37">
        <v>0</v>
      </c>
      <c r="M645" s="69"/>
      <c r="O645" s="38" t="str">
        <f>IF([1]totrevprm!O646="","",[1]totrevprm!O646)</f>
        <v/>
      </c>
    </row>
    <row r="646" spans="1:26">
      <c r="A646" s="50" t="s">
        <v>40</v>
      </c>
      <c r="B646" s="51" t="s">
        <v>537</v>
      </c>
      <c r="C646" s="52" t="s">
        <v>768</v>
      </c>
      <c r="D646" s="53">
        <v>1999</v>
      </c>
      <c r="E646" s="54">
        <v>987288799</v>
      </c>
      <c r="F646" s="54">
        <v>709438478</v>
      </c>
      <c r="G646" s="54">
        <v>812187543</v>
      </c>
      <c r="H646" s="54">
        <v>0</v>
      </c>
      <c r="I646" s="55">
        <f t="shared" si="30"/>
        <v>2508914820</v>
      </c>
      <c r="J646" s="54">
        <v>-6</v>
      </c>
      <c r="K646" s="56">
        <f t="shared" si="31"/>
        <v>2508914814</v>
      </c>
      <c r="L646" s="37">
        <v>0</v>
      </c>
      <c r="M646" s="69"/>
      <c r="O646" s="38" t="str">
        <f>IF([1]totrevprm!O647="","",[1]totrevprm!O647)</f>
        <v/>
      </c>
    </row>
    <row r="647" spans="1:26">
      <c r="A647" s="50" t="s">
        <v>40</v>
      </c>
      <c r="B647" s="51" t="s">
        <v>537</v>
      </c>
      <c r="C647" s="52" t="s">
        <v>731</v>
      </c>
      <c r="D647" s="53">
        <v>2000</v>
      </c>
      <c r="E647" s="54">
        <v>1006135905</v>
      </c>
      <c r="F647" s="54">
        <v>670789512</v>
      </c>
      <c r="G647" s="54">
        <v>952658524</v>
      </c>
      <c r="H647" s="54">
        <v>0</v>
      </c>
      <c r="I647" s="55">
        <f t="shared" si="30"/>
        <v>2629583941</v>
      </c>
      <c r="J647" s="54">
        <v>-29260519</v>
      </c>
      <c r="K647" s="56">
        <f t="shared" si="31"/>
        <v>2600323422</v>
      </c>
      <c r="L647" s="37">
        <v>0</v>
      </c>
      <c r="M647" s="69"/>
      <c r="O647" s="38" t="str">
        <f>IF([1]totrevprm!O648="","",[1]totrevprm!O648)</f>
        <v/>
      </c>
      <c r="V647" s="38" t="s">
        <v>537</v>
      </c>
      <c r="W647" s="58">
        <v>282081</v>
      </c>
      <c r="X647" s="58">
        <v>6098881</v>
      </c>
      <c r="Y647" s="58">
        <v>15936419</v>
      </c>
      <c r="Z647" s="58">
        <v>0</v>
      </c>
    </row>
    <row r="648" spans="1:26">
      <c r="A648" s="50" t="s">
        <v>40</v>
      </c>
      <c r="B648" s="51" t="s">
        <v>537</v>
      </c>
      <c r="C648" s="52" t="s">
        <v>731</v>
      </c>
      <c r="D648" s="53">
        <v>2001</v>
      </c>
      <c r="E648" s="54">
        <v>1034106318</v>
      </c>
      <c r="F648" s="54">
        <v>1286370885</v>
      </c>
      <c r="G648" s="54">
        <v>999827130</v>
      </c>
      <c r="H648" s="54">
        <v>0</v>
      </c>
      <c r="I648" s="55">
        <f t="shared" si="30"/>
        <v>3320304333</v>
      </c>
      <c r="J648" s="54">
        <v>-411620</v>
      </c>
      <c r="K648" s="56">
        <f t="shared" si="31"/>
        <v>3319892713</v>
      </c>
      <c r="L648" s="37">
        <v>0</v>
      </c>
      <c r="M648" s="69"/>
      <c r="O648" s="38" t="str">
        <f>IF([1]totrevprm!O649="","",[1]totrevprm!O649)</f>
        <v/>
      </c>
      <c r="V648" s="38"/>
      <c r="W648" s="58"/>
      <c r="X648" s="58"/>
      <c r="Y648" s="58"/>
      <c r="Z648" s="58"/>
    </row>
    <row r="649" spans="1:26">
      <c r="A649" s="50" t="s">
        <v>40</v>
      </c>
      <c r="B649" s="51" t="s">
        <v>537</v>
      </c>
      <c r="C649" s="52" t="s">
        <v>731</v>
      </c>
      <c r="D649" s="53">
        <v>2002</v>
      </c>
      <c r="E649" s="54">
        <v>1073349608</v>
      </c>
      <c r="F649" s="54">
        <v>1410082719</v>
      </c>
      <c r="G649" s="54">
        <v>898097907</v>
      </c>
      <c r="H649" s="54">
        <v>0</v>
      </c>
      <c r="I649" s="55">
        <f t="shared" si="30"/>
        <v>3381530234</v>
      </c>
      <c r="J649" s="54">
        <v>-324569</v>
      </c>
      <c r="K649" s="56">
        <f t="shared" si="31"/>
        <v>3381205665</v>
      </c>
      <c r="L649" s="37">
        <v>0</v>
      </c>
      <c r="M649" s="69"/>
      <c r="O649" s="38" t="str">
        <f>IF([1]totrevprm!O650="","",[1]totrevprm!O650)</f>
        <v/>
      </c>
      <c r="V649" s="38"/>
      <c r="W649" s="58"/>
      <c r="X649" s="58"/>
      <c r="Y649" s="58"/>
      <c r="Z649" s="58"/>
    </row>
    <row r="650" spans="1:26">
      <c r="A650" s="50" t="s">
        <v>40</v>
      </c>
      <c r="B650" s="51" t="s">
        <v>537</v>
      </c>
      <c r="C650" s="52" t="s">
        <v>731</v>
      </c>
      <c r="D650" s="53">
        <v>2003</v>
      </c>
      <c r="E650" s="59">
        <v>1141455141</v>
      </c>
      <c r="F650" s="59">
        <v>1328408034</v>
      </c>
      <c r="G650" s="59">
        <v>936642768</v>
      </c>
      <c r="H650" s="54">
        <v>0</v>
      </c>
      <c r="I650" s="55">
        <f t="shared" si="30"/>
        <v>3406505943</v>
      </c>
      <c r="J650" s="54">
        <v>-60205</v>
      </c>
      <c r="K650" s="56">
        <f t="shared" si="31"/>
        <v>3406445738</v>
      </c>
      <c r="L650" s="37">
        <v>0</v>
      </c>
      <c r="M650" s="69"/>
      <c r="O650" s="38" t="str">
        <f>IF([1]totrevprm!O651="","",[1]totrevprm!O651)</f>
        <v/>
      </c>
      <c r="V650" s="38"/>
      <c r="W650" s="58"/>
      <c r="X650" s="58"/>
      <c r="Y650" s="58"/>
      <c r="Z650" s="58"/>
    </row>
    <row r="651" spans="1:26">
      <c r="A651" s="50" t="s">
        <v>40</v>
      </c>
      <c r="B651" s="51" t="s">
        <v>537</v>
      </c>
      <c r="C651" s="52" t="s">
        <v>731</v>
      </c>
      <c r="D651" s="53">
        <v>2004</v>
      </c>
      <c r="E651" s="59">
        <v>1107634880</v>
      </c>
      <c r="F651" s="59">
        <v>1170347703</v>
      </c>
      <c r="G651" s="59">
        <v>968547951</v>
      </c>
      <c r="H651" s="54">
        <v>0</v>
      </c>
      <c r="I651" s="55">
        <f t="shared" si="30"/>
        <v>3246530534</v>
      </c>
      <c r="J651" s="54">
        <v>-1364716</v>
      </c>
      <c r="K651" s="56">
        <f t="shared" si="31"/>
        <v>3245165818</v>
      </c>
      <c r="L651" s="37">
        <v>0</v>
      </c>
      <c r="M651" s="69"/>
      <c r="O651" s="38" t="str">
        <f>IF([1]totrevprm!O652="","",[1]totrevprm!O652)</f>
        <v/>
      </c>
      <c r="V651" s="38"/>
      <c r="W651" s="58"/>
      <c r="X651" s="58"/>
      <c r="Y651" s="58"/>
      <c r="Z651" s="58"/>
    </row>
    <row r="652" spans="1:26">
      <c r="A652" s="50" t="s">
        <v>40</v>
      </c>
      <c r="B652" s="51" t="s">
        <v>537</v>
      </c>
      <c r="C652" s="52"/>
      <c r="D652" s="53">
        <v>2005</v>
      </c>
      <c r="E652" s="59">
        <v>1110285158</v>
      </c>
      <c r="F652" s="59">
        <v>1099669233</v>
      </c>
      <c r="G652" s="59">
        <v>1283024515.95</v>
      </c>
      <c r="H652" s="54">
        <v>0</v>
      </c>
      <c r="I652" s="55">
        <f t="shared" si="30"/>
        <v>3492978906.9499998</v>
      </c>
      <c r="J652" s="54">
        <v>-558892</v>
      </c>
      <c r="K652" s="56">
        <f t="shared" si="31"/>
        <v>3492420014.9499998</v>
      </c>
      <c r="L652" s="37">
        <v>0</v>
      </c>
      <c r="M652" s="69"/>
      <c r="O652" s="38" t="str">
        <f>IF([1]totrevprm!O653="","",[1]totrevprm!O653)</f>
        <v/>
      </c>
      <c r="V652" s="38"/>
      <c r="W652" s="58"/>
      <c r="X652" s="58"/>
      <c r="Y652" s="58"/>
      <c r="Z652" s="58"/>
    </row>
    <row r="653" spans="1:26">
      <c r="A653" s="50" t="s">
        <v>40</v>
      </c>
      <c r="B653" s="51" t="s">
        <v>537</v>
      </c>
      <c r="C653" s="52"/>
      <c r="D653" s="53">
        <v>2006</v>
      </c>
      <c r="E653" s="37">
        <v>1163221523</v>
      </c>
      <c r="F653" s="37">
        <v>1247202232</v>
      </c>
      <c r="G653" s="37">
        <v>1286015510</v>
      </c>
      <c r="H653" s="37">
        <v>0</v>
      </c>
      <c r="I653" s="55">
        <f t="shared" si="30"/>
        <v>3696439265</v>
      </c>
      <c r="J653" s="54">
        <v>-2324862</v>
      </c>
      <c r="K653" s="56">
        <f t="shared" si="31"/>
        <v>3694114403</v>
      </c>
      <c r="L653" s="37">
        <v>0</v>
      </c>
      <c r="M653" s="69"/>
      <c r="O653" s="38" t="str">
        <f>IF([1]totrevprm!O654="","",[1]totrevprm!O654)</f>
        <v/>
      </c>
      <c r="V653" s="38"/>
      <c r="W653" s="58"/>
      <c r="X653" s="58"/>
      <c r="Y653" s="58"/>
      <c r="Z653" s="58"/>
    </row>
    <row r="654" spans="1:26">
      <c r="A654" s="50" t="s">
        <v>40</v>
      </c>
      <c r="B654" s="51" t="s">
        <v>537</v>
      </c>
      <c r="C654" s="52"/>
      <c r="D654" s="53">
        <v>2007</v>
      </c>
      <c r="E654" s="37">
        <v>1243919628</v>
      </c>
      <c r="F654" s="37">
        <v>1232775015</v>
      </c>
      <c r="G654" s="37">
        <v>1544414075</v>
      </c>
      <c r="H654" s="37">
        <v>0</v>
      </c>
      <c r="I654" s="55">
        <f t="shared" si="30"/>
        <v>4021108718</v>
      </c>
      <c r="J654" s="54">
        <v>-3</v>
      </c>
      <c r="K654" s="56">
        <f t="shared" si="31"/>
        <v>4021108715</v>
      </c>
      <c r="L654" s="37">
        <v>0</v>
      </c>
      <c r="M654" s="69"/>
      <c r="O654" s="38" t="str">
        <f>IF([1]totrevprm!O655="","",[1]totrevprm!O655)</f>
        <v/>
      </c>
      <c r="V654" s="38"/>
      <c r="W654" s="58"/>
      <c r="X654" s="58"/>
      <c r="Y654" s="58"/>
      <c r="Z654" s="58"/>
    </row>
    <row r="655" spans="1:26">
      <c r="A655" s="50" t="s">
        <v>40</v>
      </c>
      <c r="B655" s="51" t="s">
        <v>537</v>
      </c>
      <c r="C655" s="52"/>
      <c r="D655" s="53">
        <v>2008</v>
      </c>
      <c r="E655" s="37">
        <v>1257367964</v>
      </c>
      <c r="F655" s="37">
        <v>1833788112</v>
      </c>
      <c r="G655" s="37">
        <v>1553840626</v>
      </c>
      <c r="H655" s="37">
        <v>0</v>
      </c>
      <c r="I655" s="55">
        <f t="shared" si="30"/>
        <v>4644996702</v>
      </c>
      <c r="J655" s="54">
        <v>-25984</v>
      </c>
      <c r="K655" s="56">
        <f t="shared" si="31"/>
        <v>4644970718</v>
      </c>
      <c r="L655" s="37">
        <v>0</v>
      </c>
      <c r="M655" s="69"/>
      <c r="O655" s="38" t="str">
        <f>IF([1]totrevprm!O656="","",[1]totrevprm!O656)</f>
        <v/>
      </c>
      <c r="V655" s="38"/>
      <c r="W655" s="58"/>
      <c r="X655" s="58"/>
      <c r="Y655" s="58"/>
      <c r="Z655" s="58"/>
    </row>
    <row r="656" spans="1:26">
      <c r="A656" s="50" t="s">
        <v>40</v>
      </c>
      <c r="B656" s="51" t="s">
        <v>537</v>
      </c>
      <c r="C656" s="52"/>
      <c r="D656" s="53">
        <v>2009</v>
      </c>
      <c r="E656" s="37">
        <v>1345992502</v>
      </c>
      <c r="F656" s="37">
        <v>1706872729</v>
      </c>
      <c r="G656" s="37">
        <v>1462517156</v>
      </c>
      <c r="H656" s="37">
        <v>0</v>
      </c>
      <c r="I656" s="55">
        <f t="shared" si="30"/>
        <v>4515382387</v>
      </c>
      <c r="J656" s="54">
        <v>-5503</v>
      </c>
      <c r="K656" s="56">
        <f t="shared" si="31"/>
        <v>4515376884</v>
      </c>
      <c r="L656" s="37">
        <v>0</v>
      </c>
      <c r="M656" s="69"/>
      <c r="O656" s="38" t="str">
        <f>IF([1]totrevprm!O657="","",[1]totrevprm!O657)</f>
        <v/>
      </c>
      <c r="V656" s="54" t="s">
        <v>769</v>
      </c>
      <c r="X656" s="58"/>
      <c r="Y656" s="58"/>
      <c r="Z656" s="58"/>
    </row>
    <row r="657" spans="1:26">
      <c r="A657" s="50" t="s">
        <v>40</v>
      </c>
      <c r="B657" s="51" t="s">
        <v>537</v>
      </c>
      <c r="C657" s="52"/>
      <c r="D657" s="53">
        <v>2010</v>
      </c>
      <c r="E657" s="37">
        <v>1394249614</v>
      </c>
      <c r="F657" s="37">
        <v>1399366794</v>
      </c>
      <c r="G657" s="59">
        <v>1669040768</v>
      </c>
      <c r="H657" s="37">
        <v>0</v>
      </c>
      <c r="I657" s="55">
        <f t="shared" si="30"/>
        <v>4462657176</v>
      </c>
      <c r="J657" s="54">
        <v>-2189</v>
      </c>
      <c r="K657" s="56">
        <f t="shared" si="31"/>
        <v>4462654987</v>
      </c>
      <c r="L657" s="37">
        <v>0</v>
      </c>
      <c r="M657" s="69"/>
      <c r="O657" s="38" t="str">
        <f>IF([1]totrevprm!O658="","",[1]totrevprm!O658)</f>
        <v/>
      </c>
      <c r="V657" s="38"/>
      <c r="X657" s="58"/>
      <c r="Y657" s="58"/>
      <c r="Z657" s="58"/>
    </row>
    <row r="658" spans="1:26">
      <c r="A658" s="50" t="s">
        <v>40</v>
      </c>
      <c r="B658" s="51" t="s">
        <v>537</v>
      </c>
      <c r="C658" s="52"/>
      <c r="D658" s="53">
        <v>2011</v>
      </c>
      <c r="E658" s="37">
        <v>1424784306</v>
      </c>
      <c r="F658" s="37">
        <v>1456098579</v>
      </c>
      <c r="G658" s="59">
        <v>1544028048.6199999</v>
      </c>
      <c r="H658" s="37">
        <v>-4</v>
      </c>
      <c r="I658" s="55">
        <f t="shared" si="30"/>
        <v>4424910929.6199999</v>
      </c>
      <c r="J658" s="54">
        <v>-4</v>
      </c>
      <c r="K658" s="56">
        <f t="shared" si="31"/>
        <v>4424910925.6199999</v>
      </c>
      <c r="L658" s="37">
        <v>0</v>
      </c>
      <c r="M658" s="69"/>
      <c r="O658" s="38" t="str">
        <f>IF([1]totrevprm!O659="","",[1]totrevprm!O659)</f>
        <v/>
      </c>
      <c r="V658" s="38"/>
      <c r="X658" s="58"/>
      <c r="Y658" s="58"/>
      <c r="Z658" s="58"/>
    </row>
    <row r="659" spans="1:26">
      <c r="A659" s="50" t="s">
        <v>40</v>
      </c>
      <c r="B659" s="51" t="s">
        <v>537</v>
      </c>
      <c r="C659" s="52"/>
      <c r="D659" s="53">
        <v>2012</v>
      </c>
      <c r="E659" s="37">
        <v>1486455080</v>
      </c>
      <c r="F659" s="37">
        <v>1464591691</v>
      </c>
      <c r="G659" s="59">
        <v>1452641858</v>
      </c>
      <c r="H659" s="37">
        <v>0</v>
      </c>
      <c r="I659" s="55">
        <f t="shared" si="30"/>
        <v>4403688629</v>
      </c>
      <c r="J659" s="54">
        <v>-44</v>
      </c>
      <c r="K659" s="56">
        <f t="shared" si="31"/>
        <v>4403688585</v>
      </c>
      <c r="L659" s="37">
        <v>0</v>
      </c>
      <c r="M659" s="69"/>
      <c r="O659" s="38" t="str">
        <f>IF([1]totrevprm!O660="","",[1]totrevprm!O660)</f>
        <v/>
      </c>
      <c r="S659" s="36">
        <v>1554188239</v>
      </c>
      <c r="T659" s="36" t="s">
        <v>770</v>
      </c>
      <c r="V659" s="38"/>
      <c r="X659" s="58"/>
      <c r="Y659" s="59">
        <v>3006830097</v>
      </c>
      <c r="Z659" s="58"/>
    </row>
    <row r="660" spans="1:26">
      <c r="A660" s="50" t="s">
        <v>40</v>
      </c>
      <c r="B660" s="51" t="s">
        <v>537</v>
      </c>
      <c r="C660" s="52"/>
      <c r="D660" s="53">
        <v>2013</v>
      </c>
      <c r="E660" s="37">
        <v>1502151387</v>
      </c>
      <c r="F660" s="37">
        <v>1632274368</v>
      </c>
      <c r="G660" s="59">
        <v>1374009097</v>
      </c>
      <c r="H660" s="37">
        <v>0</v>
      </c>
      <c r="I660" s="55">
        <f t="shared" si="30"/>
        <v>4508434852</v>
      </c>
      <c r="J660" s="54">
        <v>-247914</v>
      </c>
      <c r="K660" s="56">
        <f t="shared" si="31"/>
        <v>4508186938</v>
      </c>
      <c r="L660" s="37">
        <v>0</v>
      </c>
      <c r="M660" s="69"/>
      <c r="O660" s="38" t="str">
        <f>IF([1]totrevprm!O661="","",[1]totrevprm!O661)</f>
        <v/>
      </c>
      <c r="S660" s="36">
        <v>1061060089</v>
      </c>
      <c r="T660" s="36" t="s">
        <v>770</v>
      </c>
      <c r="V660" s="38"/>
      <c r="X660" s="58"/>
      <c r="Y660" s="59">
        <v>2435069186</v>
      </c>
      <c r="Z660" s="58"/>
    </row>
    <row r="661" spans="1:26">
      <c r="A661" s="50" t="s">
        <v>40</v>
      </c>
      <c r="B661" s="51" t="s">
        <v>537</v>
      </c>
      <c r="C661" s="52"/>
      <c r="D661" s="53">
        <v>2014</v>
      </c>
      <c r="E661" s="37">
        <v>1497797543</v>
      </c>
      <c r="F661" s="37">
        <v>1599690775</v>
      </c>
      <c r="G661" s="59">
        <v>1534732963.3000002</v>
      </c>
      <c r="H661" s="37">
        <v>0</v>
      </c>
      <c r="I661" s="55">
        <f t="shared" si="30"/>
        <v>4632221281.3000002</v>
      </c>
      <c r="J661" s="54">
        <v>-177813</v>
      </c>
      <c r="K661" s="56">
        <f t="shared" si="31"/>
        <v>4632043468.3000002</v>
      </c>
      <c r="L661" s="37">
        <v>0</v>
      </c>
      <c r="M661" s="69"/>
      <c r="O661" s="38" t="str">
        <f>IF([1]totrevprm!O662="","",[1]totrevprm!O662)</f>
        <v/>
      </c>
      <c r="S661" s="36">
        <v>3724251021</v>
      </c>
      <c r="T661" s="36" t="s">
        <v>770</v>
      </c>
      <c r="V661" s="38"/>
      <c r="X661" s="58"/>
      <c r="Y661" s="60">
        <v>5258983984.3000002</v>
      </c>
      <c r="Z661" s="58"/>
    </row>
    <row r="662" spans="1:26">
      <c r="A662" s="50" t="s">
        <v>40</v>
      </c>
      <c r="B662" s="51" t="s">
        <v>537</v>
      </c>
      <c r="C662" s="52"/>
      <c r="D662" s="53">
        <v>2015</v>
      </c>
      <c r="E662" s="37">
        <v>1500646216</v>
      </c>
      <c r="F662" s="37">
        <v>1803179607</v>
      </c>
      <c r="G662" s="59">
        <v>1327295134</v>
      </c>
      <c r="H662" s="37">
        <v>0</v>
      </c>
      <c r="I662" s="55">
        <f t="shared" si="30"/>
        <v>4631120957</v>
      </c>
      <c r="J662" s="54">
        <v>-18</v>
      </c>
      <c r="K662" s="56">
        <f t="shared" si="31"/>
        <v>4631120939</v>
      </c>
      <c r="L662" s="37">
        <v>0</v>
      </c>
      <c r="M662" s="69"/>
      <c r="O662" s="38" t="str">
        <f>IF([1]totrevprm!O663="","",[1]totrevprm!O663)</f>
        <v/>
      </c>
      <c r="P662" s="35">
        <v>298487589.58762228</v>
      </c>
      <c r="Q662" s="35">
        <v>111038483.47</v>
      </c>
      <c r="S662" s="36">
        <v>1373743089</v>
      </c>
      <c r="T662" s="36" t="s">
        <v>770</v>
      </c>
      <c r="V662" s="38"/>
      <c r="X662" s="58"/>
      <c r="Y662" s="60">
        <v>2701038223</v>
      </c>
      <c r="Z662" s="58"/>
    </row>
    <row r="663" spans="1:26">
      <c r="A663" s="50" t="s">
        <v>40</v>
      </c>
      <c r="B663" s="51" t="s">
        <v>537</v>
      </c>
      <c r="C663" s="52"/>
      <c r="D663" s="53">
        <v>2016</v>
      </c>
      <c r="E663" s="37">
        <v>1568121815</v>
      </c>
      <c r="F663" s="37">
        <v>2007957335</v>
      </c>
      <c r="G663" s="37">
        <v>1371595275</v>
      </c>
      <c r="H663" s="37">
        <v>0</v>
      </c>
      <c r="I663" s="55">
        <f t="shared" si="30"/>
        <v>4947674425</v>
      </c>
      <c r="J663" s="54">
        <v>-2326974</v>
      </c>
      <c r="K663" s="56">
        <f t="shared" si="31"/>
        <v>4945347451</v>
      </c>
      <c r="L663" s="37">
        <v>0</v>
      </c>
      <c r="M663" s="69"/>
      <c r="O663" s="38" t="str">
        <f>IF([1]totrevprm!O664="","",[1]totrevprm!O664)</f>
        <v/>
      </c>
      <c r="P663" s="35">
        <v>318005372.52125484</v>
      </c>
      <c r="Q663" s="35">
        <v>110570211.5</v>
      </c>
      <c r="V663" s="38"/>
      <c r="X663" s="58"/>
      <c r="Y663" s="58"/>
      <c r="Z663" s="58"/>
    </row>
    <row r="664" spans="1:26">
      <c r="A664" s="50" t="s">
        <v>40</v>
      </c>
      <c r="B664" s="51" t="s">
        <v>537</v>
      </c>
      <c r="C664" s="52"/>
      <c r="D664" s="53">
        <v>2017</v>
      </c>
      <c r="E664" s="37">
        <v>1588059038</v>
      </c>
      <c r="F664" s="37">
        <v>2286474706</v>
      </c>
      <c r="G664" s="37">
        <v>1406756599.0900002</v>
      </c>
      <c r="H664" s="37">
        <v>0</v>
      </c>
      <c r="I664" s="55">
        <f t="shared" si="30"/>
        <v>5281290343.0900002</v>
      </c>
      <c r="J664" s="54">
        <v>-16140</v>
      </c>
      <c r="K664" s="56">
        <f t="shared" si="31"/>
        <v>5281274203.0900002</v>
      </c>
      <c r="L664" s="37">
        <v>0</v>
      </c>
      <c r="M664" s="69"/>
      <c r="O664" s="38" t="str">
        <f>IF([1]totrevprm!O665="","",[1]totrevprm!O665)</f>
        <v/>
      </c>
      <c r="P664" s="35">
        <v>337477650.28410411</v>
      </c>
      <c r="Q664" s="35">
        <v>107181375.13</v>
      </c>
      <c r="V664" s="38"/>
      <c r="X664" s="58"/>
      <c r="Y664" s="58"/>
      <c r="Z664" s="58"/>
    </row>
    <row r="665" spans="1:26">
      <c r="A665" s="50" t="s">
        <v>40</v>
      </c>
      <c r="B665" s="51" t="s">
        <v>537</v>
      </c>
      <c r="C665" s="52"/>
      <c r="D665" s="53">
        <v>2018</v>
      </c>
      <c r="E665" s="37">
        <v>1621556566</v>
      </c>
      <c r="F665" s="37">
        <v>2211928701</v>
      </c>
      <c r="G665" s="37">
        <v>1424515424.01</v>
      </c>
      <c r="H665" s="37">
        <v>0</v>
      </c>
      <c r="I665" s="55">
        <f t="shared" si="30"/>
        <v>5258000691.0100002</v>
      </c>
      <c r="J665" s="54">
        <v>-238734</v>
      </c>
      <c r="K665" s="56">
        <f t="shared" si="31"/>
        <v>5257761957.0100002</v>
      </c>
      <c r="L665" s="60">
        <v>0</v>
      </c>
      <c r="M665" s="69"/>
      <c r="O665" s="38" t="str">
        <f>IF([1]totrevprm!O666="","",[1]totrevprm!O666)</f>
        <v/>
      </c>
      <c r="P665" s="35">
        <v>342435758.21790874</v>
      </c>
      <c r="Q665" s="35">
        <v>98466342.039834365</v>
      </c>
      <c r="V665" s="38"/>
      <c r="X665" s="58"/>
      <c r="Y665" s="58"/>
      <c r="Z665" s="58"/>
    </row>
    <row r="666" spans="1:26">
      <c r="A666" s="50" t="s">
        <v>40</v>
      </c>
      <c r="B666" s="51" t="s">
        <v>537</v>
      </c>
      <c r="C666" s="52"/>
      <c r="D666" s="53">
        <v>2019</v>
      </c>
      <c r="E666" s="37">
        <v>1672262323</v>
      </c>
      <c r="F666" s="37">
        <v>2390812185</v>
      </c>
      <c r="G666" s="37">
        <v>4318348757.3038998</v>
      </c>
      <c r="H666" s="37">
        <v>0</v>
      </c>
      <c r="I666" s="55">
        <f t="shared" si="30"/>
        <v>8381423265.3038998</v>
      </c>
      <c r="J666" s="54">
        <v>-7011779</v>
      </c>
      <c r="K666" s="56">
        <f t="shared" si="31"/>
        <v>8374411486.3038998</v>
      </c>
      <c r="L666" s="60">
        <v>0</v>
      </c>
      <c r="M666" s="69" t="s">
        <v>771</v>
      </c>
      <c r="N666" t="s">
        <v>708</v>
      </c>
      <c r="O666" s="38" t="str">
        <f>IF([1]totrevprm!O667="","",[1]totrevprm!O667)</f>
        <v>Yes</v>
      </c>
      <c r="P666" s="35">
        <v>357551024.29307979</v>
      </c>
      <c r="Q666" s="35">
        <v>114800041.72478302</v>
      </c>
      <c r="V666" s="38"/>
      <c r="X666" s="58"/>
      <c r="Y666" s="58"/>
      <c r="Z666" s="58"/>
    </row>
    <row r="667" spans="1:26">
      <c r="A667" s="50" t="s">
        <v>40</v>
      </c>
      <c r="B667" s="51" t="s">
        <v>537</v>
      </c>
      <c r="C667" s="52"/>
      <c r="D667" s="53">
        <v>2020</v>
      </c>
      <c r="E667" s="37">
        <v>1664027433</v>
      </c>
      <c r="F667" s="37">
        <v>2502154084</v>
      </c>
      <c r="G667" s="37">
        <v>4301091095</v>
      </c>
      <c r="H667" s="37">
        <v>0</v>
      </c>
      <c r="I667" s="55">
        <f t="shared" si="30"/>
        <v>8467272612</v>
      </c>
      <c r="J667" s="54">
        <v>-73322</v>
      </c>
      <c r="K667" s="56">
        <f t="shared" si="31"/>
        <v>8467199290</v>
      </c>
      <c r="L667" s="60">
        <v>0</v>
      </c>
      <c r="M667" s="69" t="s">
        <v>739</v>
      </c>
      <c r="N667" t="s">
        <v>708</v>
      </c>
      <c r="O667" s="38" t="str">
        <f>IF([1]totrevprm!O668="","",[1]totrevprm!O668)</f>
        <v/>
      </c>
      <c r="P667" s="35">
        <v>365178719</v>
      </c>
      <c r="Q667" s="35">
        <v>114201112</v>
      </c>
      <c r="V667" s="38"/>
      <c r="X667" s="58"/>
      <c r="Y667" s="58"/>
      <c r="Z667" s="58"/>
    </row>
    <row r="668" spans="1:26">
      <c r="A668" s="50" t="s">
        <v>40</v>
      </c>
      <c r="B668" s="51" t="s">
        <v>537</v>
      </c>
      <c r="C668" s="52"/>
      <c r="D668" s="53">
        <v>2021</v>
      </c>
      <c r="E668" s="37">
        <v>1728055129</v>
      </c>
      <c r="F668" s="37">
        <v>2586547648</v>
      </c>
      <c r="G668" s="37">
        <v>4162381769</v>
      </c>
      <c r="H668" s="37">
        <v>0</v>
      </c>
      <c r="I668" s="55">
        <f t="shared" si="30"/>
        <v>8476984546</v>
      </c>
      <c r="J668" s="60">
        <v>-3</v>
      </c>
      <c r="K668" s="56">
        <f t="shared" si="31"/>
        <v>8476984543</v>
      </c>
      <c r="L668" s="60">
        <v>0</v>
      </c>
      <c r="M668" s="69" t="s">
        <v>739</v>
      </c>
      <c r="N668" t="s">
        <v>708</v>
      </c>
      <c r="O668" s="38"/>
      <c r="P668" s="35">
        <v>353528773.60000002</v>
      </c>
      <c r="Q668" s="35">
        <v>120424214</v>
      </c>
      <c r="V668" s="38"/>
      <c r="X668" s="58"/>
      <c r="Y668" s="58"/>
      <c r="Z668" s="58"/>
    </row>
    <row r="669" spans="1:26">
      <c r="A669" s="50" t="s">
        <v>40</v>
      </c>
      <c r="B669" s="51" t="s">
        <v>537</v>
      </c>
      <c r="C669" s="52"/>
      <c r="D669" s="53">
        <v>2022</v>
      </c>
      <c r="E669" s="37">
        <v>1825615325</v>
      </c>
      <c r="F669" s="37">
        <v>3729415646</v>
      </c>
      <c r="G669" s="37">
        <v>4166774755</v>
      </c>
      <c r="H669" s="37">
        <v>0</v>
      </c>
      <c r="I669" s="55">
        <f t="shared" si="30"/>
        <v>9721805726</v>
      </c>
      <c r="J669" s="60">
        <v>-4423</v>
      </c>
      <c r="K669" s="56">
        <f t="shared" si="31"/>
        <v>9721801303</v>
      </c>
      <c r="L669" s="60">
        <v>0</v>
      </c>
      <c r="M669" s="69" t="s">
        <v>739</v>
      </c>
      <c r="O669" s="38" t="str">
        <f>IF([1]totrevprm!O672="","",[1]totrevprm!O672)</f>
        <v/>
      </c>
      <c r="P669" s="60">
        <v>377265981</v>
      </c>
      <c r="Q669" s="60">
        <v>120572071</v>
      </c>
    </row>
    <row r="670" spans="1:26">
      <c r="A670" s="50" t="s">
        <v>40</v>
      </c>
      <c r="B670" s="51" t="s">
        <v>537</v>
      </c>
      <c r="C670" s="52"/>
      <c r="D670" s="53">
        <v>2023</v>
      </c>
      <c r="E670" s="37">
        <v>1844567958</v>
      </c>
      <c r="F670" s="37">
        <v>4051988445.7575002</v>
      </c>
      <c r="G670" s="37">
        <v>4194866394.3295999</v>
      </c>
      <c r="H670" s="37">
        <v>0</v>
      </c>
      <c r="I670" s="55">
        <f t="shared" si="30"/>
        <v>10091422798.087099</v>
      </c>
      <c r="J670" s="60">
        <v>-605</v>
      </c>
      <c r="K670" s="56">
        <f t="shared" si="31"/>
        <v>10091422193.087099</v>
      </c>
      <c r="L670" s="37">
        <v>0</v>
      </c>
      <c r="M670" s="69" t="s">
        <v>739</v>
      </c>
      <c r="O670" s="38"/>
      <c r="P670" s="60">
        <v>409262727.48000002</v>
      </c>
      <c r="Q670" s="60">
        <v>121527899</v>
      </c>
    </row>
    <row r="671" spans="1:26">
      <c r="A671" s="50"/>
      <c r="B671" s="52"/>
      <c r="C671" s="52"/>
      <c r="E671" s="54"/>
      <c r="F671" s="54"/>
      <c r="G671" s="54"/>
      <c r="H671" s="54"/>
      <c r="I671" s="55"/>
      <c r="K671" s="65"/>
      <c r="L671" s="37"/>
      <c r="M671" s="69"/>
      <c r="O671" s="38"/>
    </row>
    <row r="672" spans="1:26">
      <c r="A672" s="50" t="s">
        <v>42</v>
      </c>
      <c r="B672" s="51" t="s">
        <v>560</v>
      </c>
      <c r="C672" s="52" t="s">
        <v>772</v>
      </c>
      <c r="D672" s="53">
        <v>1988</v>
      </c>
      <c r="E672" s="54">
        <v>1061394381</v>
      </c>
      <c r="F672" s="54">
        <v>574031109</v>
      </c>
      <c r="G672" s="54">
        <v>877000957</v>
      </c>
      <c r="H672" s="54">
        <v>0</v>
      </c>
      <c r="I672" s="55">
        <f t="shared" ref="I672:I735" si="32">SUM(E672:H672)</f>
        <v>2512426447</v>
      </c>
      <c r="J672" s="54">
        <v>-1200824</v>
      </c>
      <c r="K672" s="56">
        <f>SUM(I672:J672)</f>
        <v>2511225623</v>
      </c>
      <c r="L672" s="37">
        <v>23113640</v>
      </c>
      <c r="M672" s="69" t="s">
        <v>773</v>
      </c>
      <c r="N672" t="s">
        <v>708</v>
      </c>
      <c r="O672" s="38" t="str">
        <f>IF([1]totrevprm!O673="","",[1]totrevprm!O673)</f>
        <v/>
      </c>
    </row>
    <row r="673" spans="1:26">
      <c r="A673" s="50" t="s">
        <v>42</v>
      </c>
      <c r="B673" s="51" t="s">
        <v>560</v>
      </c>
      <c r="C673" s="52" t="s">
        <v>731</v>
      </c>
      <c r="D673" s="53">
        <v>1989</v>
      </c>
      <c r="E673" s="54">
        <v>996849752</v>
      </c>
      <c r="F673" s="54">
        <v>588924864</v>
      </c>
      <c r="G673" s="54">
        <v>928692389</v>
      </c>
      <c r="H673" s="54">
        <v>0</v>
      </c>
      <c r="I673" s="55">
        <f t="shared" si="32"/>
        <v>2514467005</v>
      </c>
      <c r="J673" s="54">
        <v>-335711</v>
      </c>
      <c r="K673" s="56">
        <f t="shared" ref="K673:K707" si="33">SUM(I673:J673)</f>
        <v>2514131294</v>
      </c>
      <c r="L673" s="37">
        <v>23892225</v>
      </c>
      <c r="M673" s="69" t="s">
        <v>773</v>
      </c>
      <c r="N673" t="s">
        <v>708</v>
      </c>
      <c r="O673" s="38" t="str">
        <f>IF([1]totrevprm!O674="","",[1]totrevprm!O674)</f>
        <v/>
      </c>
    </row>
    <row r="674" spans="1:26">
      <c r="A674" s="50" t="s">
        <v>42</v>
      </c>
      <c r="B674" s="51" t="s">
        <v>560</v>
      </c>
      <c r="C674" s="52" t="s">
        <v>731</v>
      </c>
      <c r="D674" s="53">
        <v>1990</v>
      </c>
      <c r="E674" s="54">
        <v>1018057956</v>
      </c>
      <c r="F674" s="54">
        <v>603881729.79999995</v>
      </c>
      <c r="G674" s="54">
        <v>1036157963</v>
      </c>
      <c r="H674" s="54">
        <v>0</v>
      </c>
      <c r="I674" s="55">
        <f t="shared" si="32"/>
        <v>2658097648.8000002</v>
      </c>
      <c r="J674" s="54">
        <v>-1008737</v>
      </c>
      <c r="K674" s="56">
        <f t="shared" si="33"/>
        <v>2657088911.8000002</v>
      </c>
      <c r="L674" s="37">
        <v>26985446</v>
      </c>
      <c r="M674" s="69" t="s">
        <v>773</v>
      </c>
      <c r="N674" t="s">
        <v>708</v>
      </c>
      <c r="O674" s="38" t="str">
        <f>IF([1]totrevprm!O675="","",[1]totrevprm!O675)</f>
        <v/>
      </c>
    </row>
    <row r="675" spans="1:26">
      <c r="A675" s="50" t="s">
        <v>42</v>
      </c>
      <c r="B675" s="51" t="s">
        <v>560</v>
      </c>
      <c r="C675" s="52" t="s">
        <v>731</v>
      </c>
      <c r="D675" s="53">
        <v>1991</v>
      </c>
      <c r="E675" s="54">
        <v>1121317153</v>
      </c>
      <c r="F675" s="54">
        <v>645602985</v>
      </c>
      <c r="G675" s="54">
        <v>1098008110</v>
      </c>
      <c r="H675" s="54">
        <v>0</v>
      </c>
      <c r="I675" s="55">
        <f t="shared" si="32"/>
        <v>2864928248</v>
      </c>
      <c r="J675" s="54">
        <v>-387312</v>
      </c>
      <c r="K675" s="56">
        <f t="shared" si="33"/>
        <v>2864540936</v>
      </c>
      <c r="L675" s="37">
        <v>33959803</v>
      </c>
      <c r="M675" s="69" t="s">
        <v>773</v>
      </c>
      <c r="N675" t="s">
        <v>708</v>
      </c>
      <c r="O675" s="38" t="str">
        <f>IF([1]totrevprm!O676="","",[1]totrevprm!O676)</f>
        <v/>
      </c>
    </row>
    <row r="676" spans="1:26">
      <c r="A676" s="50" t="s">
        <v>42</v>
      </c>
      <c r="B676" s="51" t="s">
        <v>560</v>
      </c>
      <c r="C676" s="52" t="s">
        <v>731</v>
      </c>
      <c r="D676" s="53">
        <v>1992</v>
      </c>
      <c r="E676" s="54">
        <v>1178793531</v>
      </c>
      <c r="F676" s="54">
        <v>633048563.60000002</v>
      </c>
      <c r="G676" s="54">
        <v>1138258377</v>
      </c>
      <c r="H676" s="54">
        <v>0</v>
      </c>
      <c r="I676" s="55">
        <f t="shared" si="32"/>
        <v>2950100471.5999999</v>
      </c>
      <c r="J676" s="54">
        <v>-1477518</v>
      </c>
      <c r="K676" s="56">
        <f t="shared" si="33"/>
        <v>2948622953.5999999</v>
      </c>
      <c r="L676" s="37">
        <v>43120758</v>
      </c>
      <c r="M676" s="69" t="s">
        <v>773</v>
      </c>
      <c r="N676" t="s">
        <v>708</v>
      </c>
      <c r="O676" s="38" t="str">
        <f>IF([1]totrevprm!O677="","",[1]totrevprm!O677)</f>
        <v/>
      </c>
    </row>
    <row r="677" spans="1:26">
      <c r="A677" s="50" t="s">
        <v>42</v>
      </c>
      <c r="B677" s="51" t="s">
        <v>560</v>
      </c>
      <c r="C677" s="52" t="s">
        <v>731</v>
      </c>
      <c r="D677" s="53">
        <v>1993</v>
      </c>
      <c r="E677" s="54">
        <v>1248764898</v>
      </c>
      <c r="F677" s="54">
        <v>539042938</v>
      </c>
      <c r="G677" s="54">
        <v>1605901669</v>
      </c>
      <c r="H677" s="54">
        <v>0</v>
      </c>
      <c r="I677" s="55">
        <f t="shared" si="32"/>
        <v>3393709505</v>
      </c>
      <c r="J677" s="54">
        <v>-112426</v>
      </c>
      <c r="K677" s="56">
        <f t="shared" si="33"/>
        <v>3393597079</v>
      </c>
      <c r="L677" s="37">
        <v>41233215</v>
      </c>
      <c r="M677" s="69" t="s">
        <v>773</v>
      </c>
      <c r="N677" t="s">
        <v>708</v>
      </c>
      <c r="O677" s="38" t="str">
        <f>IF([1]totrevprm!O678="","",[1]totrevprm!O678)</f>
        <v/>
      </c>
    </row>
    <row r="678" spans="1:26">
      <c r="A678" s="50" t="s">
        <v>42</v>
      </c>
      <c r="B678" s="51" t="s">
        <v>560</v>
      </c>
      <c r="C678" s="52" t="s">
        <v>731</v>
      </c>
      <c r="D678" s="53">
        <v>1994</v>
      </c>
      <c r="E678" s="54">
        <v>1300073287</v>
      </c>
      <c r="F678" s="54">
        <v>723268656</v>
      </c>
      <c r="G678" s="54">
        <v>1463024597</v>
      </c>
      <c r="H678" s="54">
        <v>0</v>
      </c>
      <c r="I678" s="55">
        <f t="shared" si="32"/>
        <v>3486366540</v>
      </c>
      <c r="J678" s="54">
        <v>-2724539</v>
      </c>
      <c r="K678" s="56">
        <f t="shared" si="33"/>
        <v>3483642001</v>
      </c>
      <c r="L678" s="37">
        <v>44926928</v>
      </c>
      <c r="M678" s="69" t="s">
        <v>773</v>
      </c>
      <c r="N678" t="s">
        <v>708</v>
      </c>
      <c r="O678" s="38" t="str">
        <f>IF([1]totrevprm!O679="","",[1]totrevprm!O679)</f>
        <v/>
      </c>
    </row>
    <row r="679" spans="1:26">
      <c r="A679" s="50" t="s">
        <v>42</v>
      </c>
      <c r="B679" s="51" t="s">
        <v>560</v>
      </c>
      <c r="C679" s="52" t="s">
        <v>731</v>
      </c>
      <c r="D679" s="53">
        <v>1995</v>
      </c>
      <c r="E679" s="54">
        <v>1379843512</v>
      </c>
      <c r="F679" s="54">
        <v>716707593</v>
      </c>
      <c r="G679" s="54">
        <v>1458342180</v>
      </c>
      <c r="H679" s="54">
        <v>0</v>
      </c>
      <c r="I679" s="55">
        <f t="shared" si="32"/>
        <v>3554893285</v>
      </c>
      <c r="J679" s="54">
        <v>-163830</v>
      </c>
      <c r="K679" s="56">
        <f t="shared" si="33"/>
        <v>3554729455</v>
      </c>
      <c r="L679" s="37">
        <v>55557500</v>
      </c>
      <c r="M679" s="69" t="s">
        <v>773</v>
      </c>
      <c r="N679" t="s">
        <v>708</v>
      </c>
      <c r="O679" s="38" t="str">
        <f>IF([1]totrevprm!O680="","",[1]totrevprm!O680)</f>
        <v/>
      </c>
    </row>
    <row r="680" spans="1:26">
      <c r="A680" s="50" t="s">
        <v>42</v>
      </c>
      <c r="B680" s="51" t="s">
        <v>560</v>
      </c>
      <c r="C680" s="52" t="s">
        <v>731</v>
      </c>
      <c r="D680" s="53">
        <v>1996</v>
      </c>
      <c r="E680" s="54">
        <v>1339112500</v>
      </c>
      <c r="F680" s="54">
        <v>642737918</v>
      </c>
      <c r="G680" s="54">
        <v>1448410476</v>
      </c>
      <c r="H680" s="54">
        <v>0</v>
      </c>
      <c r="I680" s="55">
        <f t="shared" si="32"/>
        <v>3430260894</v>
      </c>
      <c r="J680" s="54">
        <v>-248994</v>
      </c>
      <c r="K680" s="56">
        <f t="shared" si="33"/>
        <v>3430011900</v>
      </c>
      <c r="L680" s="37">
        <v>44304022</v>
      </c>
      <c r="M680" s="69" t="s">
        <v>773</v>
      </c>
      <c r="N680" t="s">
        <v>708</v>
      </c>
      <c r="O680" s="38" t="str">
        <f>IF([1]totrevprm!O681="","",[1]totrevprm!O681)</f>
        <v/>
      </c>
    </row>
    <row r="681" spans="1:26">
      <c r="A681" s="50" t="s">
        <v>42</v>
      </c>
      <c r="B681" s="51" t="s">
        <v>560</v>
      </c>
      <c r="C681" s="52" t="s">
        <v>731</v>
      </c>
      <c r="D681" s="53">
        <v>1997</v>
      </c>
      <c r="E681" s="54">
        <v>1300752300</v>
      </c>
      <c r="F681" s="54">
        <v>807107035</v>
      </c>
      <c r="G681" s="54">
        <v>1433423516</v>
      </c>
      <c r="H681" s="54">
        <v>0</v>
      </c>
      <c r="I681" s="55">
        <f t="shared" si="32"/>
        <v>3541282851</v>
      </c>
      <c r="J681" s="54">
        <v>-699996</v>
      </c>
      <c r="K681" s="56">
        <f t="shared" si="33"/>
        <v>3540582855</v>
      </c>
      <c r="L681" s="37">
        <v>56147744</v>
      </c>
      <c r="M681" s="69" t="s">
        <v>773</v>
      </c>
      <c r="N681" t="s">
        <v>708</v>
      </c>
      <c r="O681" s="38" t="str">
        <f>IF([1]totrevprm!O682="","",[1]totrevprm!O682)</f>
        <v/>
      </c>
    </row>
    <row r="682" spans="1:26">
      <c r="A682" s="50" t="s">
        <v>42</v>
      </c>
      <c r="B682" s="51" t="s">
        <v>560</v>
      </c>
      <c r="C682" s="52" t="s">
        <v>731</v>
      </c>
      <c r="D682" s="53">
        <v>1998</v>
      </c>
      <c r="E682" s="54">
        <v>1309920109</v>
      </c>
      <c r="F682" s="54">
        <v>694905543</v>
      </c>
      <c r="G682" s="54">
        <v>1478605295</v>
      </c>
      <c r="H682" s="54">
        <v>0</v>
      </c>
      <c r="I682" s="55">
        <f t="shared" si="32"/>
        <v>3483430947</v>
      </c>
      <c r="J682" s="54">
        <v>-25043</v>
      </c>
      <c r="K682" s="56">
        <f t="shared" si="33"/>
        <v>3483405904</v>
      </c>
      <c r="L682" s="37">
        <v>47810828</v>
      </c>
      <c r="M682" s="69" t="s">
        <v>773</v>
      </c>
      <c r="N682" t="s">
        <v>708</v>
      </c>
      <c r="O682" s="38" t="str">
        <f>IF([1]totrevprm!O683="","",[1]totrevprm!O683)</f>
        <v/>
      </c>
    </row>
    <row r="683" spans="1:26">
      <c r="A683" s="50" t="s">
        <v>42</v>
      </c>
      <c r="B683" s="51" t="s">
        <v>560</v>
      </c>
      <c r="C683" s="52" t="s">
        <v>731</v>
      </c>
      <c r="D683" s="53">
        <v>1999</v>
      </c>
      <c r="E683" s="54">
        <v>1337413680</v>
      </c>
      <c r="F683" s="54">
        <v>1000942545</v>
      </c>
      <c r="G683" s="54">
        <v>1503860088</v>
      </c>
      <c r="H683" s="54">
        <v>0</v>
      </c>
      <c r="I683" s="55">
        <f t="shared" si="32"/>
        <v>3842216313</v>
      </c>
      <c r="J683" s="54">
        <v>-16390</v>
      </c>
      <c r="K683" s="56">
        <f t="shared" si="33"/>
        <v>3842199923</v>
      </c>
      <c r="L683" s="37">
        <v>44644228</v>
      </c>
      <c r="M683" s="69" t="s">
        <v>773</v>
      </c>
      <c r="N683" t="s">
        <v>708</v>
      </c>
      <c r="O683" s="38" t="str">
        <f>IF([1]totrevprm!O684="","",[1]totrevprm!O684)</f>
        <v/>
      </c>
    </row>
    <row r="684" spans="1:26">
      <c r="A684" s="50" t="s">
        <v>42</v>
      </c>
      <c r="B684" s="51" t="s">
        <v>560</v>
      </c>
      <c r="C684" s="52" t="s">
        <v>731</v>
      </c>
      <c r="D684" s="53">
        <v>2000</v>
      </c>
      <c r="E684" s="54">
        <v>1325312652</v>
      </c>
      <c r="F684" s="54">
        <v>1111178644</v>
      </c>
      <c r="G684" s="54">
        <v>1588295172</v>
      </c>
      <c r="H684" s="54">
        <v>0</v>
      </c>
      <c r="I684" s="55">
        <f t="shared" si="32"/>
        <v>4024786468</v>
      </c>
      <c r="J684" s="54">
        <v>-721133</v>
      </c>
      <c r="K684" s="56">
        <f t="shared" si="33"/>
        <v>4024065335</v>
      </c>
      <c r="L684" s="37">
        <v>64531917</v>
      </c>
      <c r="M684" s="69" t="s">
        <v>773</v>
      </c>
      <c r="N684" t="s">
        <v>708</v>
      </c>
      <c r="O684" s="38" t="str">
        <f>IF([1]totrevprm!O685="","",[1]totrevprm!O685)</f>
        <v/>
      </c>
      <c r="V684" s="38" t="s">
        <v>560</v>
      </c>
      <c r="W684" s="58">
        <v>459088</v>
      </c>
      <c r="X684" s="58">
        <v>9976814</v>
      </c>
      <c r="Y684" s="58">
        <v>14257701</v>
      </c>
      <c r="Z684" s="58">
        <v>0</v>
      </c>
    </row>
    <row r="685" spans="1:26">
      <c r="A685" s="50" t="s">
        <v>42</v>
      </c>
      <c r="B685" s="51" t="s">
        <v>560</v>
      </c>
      <c r="C685" s="52" t="s">
        <v>731</v>
      </c>
      <c r="D685" s="53">
        <v>2001</v>
      </c>
      <c r="E685" s="54">
        <v>1416242656</v>
      </c>
      <c r="F685" s="54">
        <v>1539052777.52</v>
      </c>
      <c r="G685" s="54">
        <v>1735600327</v>
      </c>
      <c r="H685" s="54">
        <v>0</v>
      </c>
      <c r="I685" s="55">
        <f t="shared" si="32"/>
        <v>4690895760.5200005</v>
      </c>
      <c r="J685" s="54">
        <v>-57446</v>
      </c>
      <c r="K685" s="56">
        <f t="shared" si="33"/>
        <v>4690838314.5200005</v>
      </c>
      <c r="L685" s="35">
        <v>40291410</v>
      </c>
      <c r="M685" s="69" t="s">
        <v>773</v>
      </c>
      <c r="N685" t="s">
        <v>708</v>
      </c>
      <c r="O685" s="38" t="str">
        <f>IF([1]totrevprm!O686="","",[1]totrevprm!O686)</f>
        <v/>
      </c>
      <c r="V685" s="38"/>
      <c r="W685" s="58"/>
      <c r="X685" s="58"/>
      <c r="Y685" s="58"/>
      <c r="Z685" s="58"/>
    </row>
    <row r="686" spans="1:26">
      <c r="A686" s="50" t="s">
        <v>42</v>
      </c>
      <c r="B686" s="51" t="s">
        <v>560</v>
      </c>
      <c r="C686" s="52" t="s">
        <v>731</v>
      </c>
      <c r="D686" s="53">
        <v>2002</v>
      </c>
      <c r="E686" s="54">
        <v>1456002060</v>
      </c>
      <c r="F686" s="54">
        <v>2062519014</v>
      </c>
      <c r="G686" s="54">
        <v>1917295335</v>
      </c>
      <c r="H686" s="54">
        <v>0</v>
      </c>
      <c r="I686" s="55">
        <f t="shared" si="32"/>
        <v>5435816409</v>
      </c>
      <c r="J686" s="54">
        <v>-53070</v>
      </c>
      <c r="K686" s="56">
        <f t="shared" si="33"/>
        <v>5435763339</v>
      </c>
      <c r="L686" s="35">
        <v>58279507</v>
      </c>
      <c r="M686" s="69" t="s">
        <v>773</v>
      </c>
      <c r="N686" t="s">
        <v>708</v>
      </c>
      <c r="O686" s="38" t="str">
        <f>IF([1]totrevprm!O687="","",[1]totrevprm!O687)</f>
        <v/>
      </c>
      <c r="R686" s="79"/>
      <c r="S686" s="80"/>
      <c r="T686" s="80"/>
      <c r="V686" s="38"/>
      <c r="W686" s="58"/>
      <c r="X686" s="58"/>
      <c r="Y686" s="58"/>
      <c r="Z686" s="58"/>
    </row>
    <row r="687" spans="1:26">
      <c r="A687" s="50" t="s">
        <v>42</v>
      </c>
      <c r="B687" s="51" t="s">
        <v>560</v>
      </c>
      <c r="C687" s="52" t="s">
        <v>731</v>
      </c>
      <c r="D687" s="53">
        <v>2003</v>
      </c>
      <c r="E687" s="59">
        <v>1524822170</v>
      </c>
      <c r="F687" s="59">
        <v>1800991553</v>
      </c>
      <c r="G687" s="59">
        <v>2153187282</v>
      </c>
      <c r="H687" s="54">
        <v>0</v>
      </c>
      <c r="I687" s="55">
        <f t="shared" si="32"/>
        <v>5479001005</v>
      </c>
      <c r="J687" s="54">
        <v>-9952</v>
      </c>
      <c r="K687" s="56">
        <f t="shared" si="33"/>
        <v>5478991053</v>
      </c>
      <c r="L687" s="35">
        <v>59892340</v>
      </c>
      <c r="M687" s="69" t="s">
        <v>773</v>
      </c>
      <c r="N687" t="s">
        <v>708</v>
      </c>
      <c r="O687" s="38" t="str">
        <f>IF([1]totrevprm!O688="","",[1]totrevprm!O688)</f>
        <v/>
      </c>
      <c r="R687" s="79"/>
      <c r="S687" s="80"/>
      <c r="T687" s="80"/>
      <c r="V687" s="38"/>
      <c r="W687" s="58"/>
      <c r="X687" s="58"/>
      <c r="Y687" s="58"/>
      <c r="Z687" s="58"/>
    </row>
    <row r="688" spans="1:26">
      <c r="A688" s="50" t="s">
        <v>42</v>
      </c>
      <c r="B688" s="51" t="s">
        <v>560</v>
      </c>
      <c r="C688" s="52" t="s">
        <v>731</v>
      </c>
      <c r="D688" s="53">
        <v>2004</v>
      </c>
      <c r="E688" s="59">
        <v>1578036517</v>
      </c>
      <c r="F688" s="59">
        <v>1592187156</v>
      </c>
      <c r="G688" s="59">
        <v>2325327647</v>
      </c>
      <c r="H688" s="54">
        <v>0</v>
      </c>
      <c r="I688" s="55">
        <f t="shared" si="32"/>
        <v>5495551320</v>
      </c>
      <c r="J688" s="54">
        <v>-2215412</v>
      </c>
      <c r="K688" s="56">
        <f t="shared" si="33"/>
        <v>5493335908</v>
      </c>
      <c r="L688" s="35">
        <v>73114604</v>
      </c>
      <c r="M688" s="69" t="s">
        <v>773</v>
      </c>
      <c r="N688" t="s">
        <v>708</v>
      </c>
      <c r="O688" s="38" t="str">
        <f>IF([1]totrevprm!O689="","",[1]totrevprm!O689)</f>
        <v/>
      </c>
      <c r="T688" s="68"/>
      <c r="V688" s="38"/>
      <c r="W688" s="58"/>
      <c r="X688" s="58"/>
      <c r="Y688" s="58"/>
      <c r="Z688" s="58"/>
    </row>
    <row r="689" spans="1:26">
      <c r="A689" s="50" t="s">
        <v>42</v>
      </c>
      <c r="B689" s="51" t="s">
        <v>560</v>
      </c>
      <c r="C689" s="52"/>
      <c r="D689" s="53">
        <v>2005</v>
      </c>
      <c r="E689" s="59">
        <v>1527128731</v>
      </c>
      <c r="F689" s="59">
        <v>1518473870</v>
      </c>
      <c r="G689" s="59">
        <v>2498862100.9699998</v>
      </c>
      <c r="H689" s="54">
        <v>0</v>
      </c>
      <c r="I689" s="55">
        <f t="shared" si="32"/>
        <v>5544464701.9699993</v>
      </c>
      <c r="J689" s="54">
        <v>-4744</v>
      </c>
      <c r="K689" s="56">
        <f t="shared" si="33"/>
        <v>5544459957.9699993</v>
      </c>
      <c r="L689" s="35">
        <v>44776614</v>
      </c>
      <c r="M689" s="69" t="s">
        <v>773</v>
      </c>
      <c r="N689" t="s">
        <v>708</v>
      </c>
      <c r="O689" s="38" t="str">
        <f>IF([1]totrevprm!O690="","",[1]totrevprm!O690)</f>
        <v/>
      </c>
      <c r="T689" s="68"/>
      <c r="V689" s="38"/>
      <c r="W689" s="58"/>
      <c r="X689" s="58"/>
      <c r="Y689" s="58"/>
      <c r="Z689" s="58"/>
    </row>
    <row r="690" spans="1:26">
      <c r="A690" s="50" t="s">
        <v>42</v>
      </c>
      <c r="B690" s="51" t="s">
        <v>560</v>
      </c>
      <c r="C690" s="52"/>
      <c r="D690" s="53">
        <v>2006</v>
      </c>
      <c r="E690" s="37">
        <v>1651237114</v>
      </c>
      <c r="F690" s="37">
        <v>1979208982</v>
      </c>
      <c r="G690" s="37">
        <v>2791842343</v>
      </c>
      <c r="H690" s="37">
        <v>0</v>
      </c>
      <c r="I690" s="55">
        <f t="shared" si="32"/>
        <v>6422288439</v>
      </c>
      <c r="J690" s="54">
        <v>-6325355</v>
      </c>
      <c r="K690" s="56">
        <f t="shared" si="33"/>
        <v>6415963084</v>
      </c>
      <c r="L690" s="35">
        <v>144996081</v>
      </c>
      <c r="M690" s="69" t="s">
        <v>773</v>
      </c>
      <c r="N690" t="s">
        <v>708</v>
      </c>
      <c r="O690" s="38" t="str">
        <f>IF([1]totrevprm!O691="","",[1]totrevprm!O691)</f>
        <v/>
      </c>
      <c r="T690" s="68"/>
      <c r="V690" s="38"/>
      <c r="W690" s="58"/>
      <c r="X690" s="58"/>
      <c r="Y690" s="58"/>
      <c r="Z690" s="58"/>
    </row>
    <row r="691" spans="1:26">
      <c r="A691" s="50" t="s">
        <v>42</v>
      </c>
      <c r="B691" s="51" t="s">
        <v>560</v>
      </c>
      <c r="C691" s="52"/>
      <c r="D691" s="53">
        <v>2007</v>
      </c>
      <c r="E691" s="37">
        <v>1689804172</v>
      </c>
      <c r="F691" s="37">
        <v>2113085697</v>
      </c>
      <c r="G691" s="37">
        <v>3284912188</v>
      </c>
      <c r="H691" s="37">
        <v>0</v>
      </c>
      <c r="I691" s="55">
        <f t="shared" si="32"/>
        <v>7087802057</v>
      </c>
      <c r="J691" s="54">
        <v>-1</v>
      </c>
      <c r="K691" s="56">
        <f t="shared" si="33"/>
        <v>7087802056</v>
      </c>
      <c r="L691" s="35">
        <v>143070422</v>
      </c>
      <c r="M691" s="69" t="s">
        <v>773</v>
      </c>
      <c r="N691" t="s">
        <v>708</v>
      </c>
      <c r="O691" s="38" t="str">
        <f>IF([1]totrevprm!O692="","",[1]totrevprm!O692)</f>
        <v/>
      </c>
      <c r="T691" s="68"/>
      <c r="V691" s="38"/>
      <c r="W691" s="58"/>
      <c r="X691" s="58"/>
      <c r="Y691" s="58"/>
      <c r="Z691" s="58"/>
    </row>
    <row r="692" spans="1:26">
      <c r="A692" s="50" t="s">
        <v>42</v>
      </c>
      <c r="B692" s="51" t="s">
        <v>560</v>
      </c>
      <c r="C692" s="52"/>
      <c r="D692" s="53">
        <v>2008</v>
      </c>
      <c r="E692" s="37">
        <v>1756605827</v>
      </c>
      <c r="F692" s="37">
        <v>2821474355</v>
      </c>
      <c r="G692" s="37">
        <v>3387327704</v>
      </c>
      <c r="H692" s="37">
        <v>0</v>
      </c>
      <c r="I692" s="55">
        <f t="shared" si="32"/>
        <v>7965407886</v>
      </c>
      <c r="J692" s="54">
        <v>-23582</v>
      </c>
      <c r="K692" s="56">
        <f t="shared" si="33"/>
        <v>7965384304</v>
      </c>
      <c r="L692" s="35">
        <v>162579442</v>
      </c>
      <c r="M692" s="69" t="s">
        <v>773</v>
      </c>
      <c r="N692" t="s">
        <v>708</v>
      </c>
      <c r="O692" s="38" t="str">
        <f>IF([1]totrevprm!O693="","",[1]totrevprm!O693)</f>
        <v/>
      </c>
      <c r="V692" s="38"/>
      <c r="W692" s="58"/>
      <c r="X692" s="58"/>
      <c r="Y692" s="58"/>
      <c r="Z692" s="58"/>
    </row>
    <row r="693" spans="1:26">
      <c r="A693" s="50" t="s">
        <v>42</v>
      </c>
      <c r="B693" s="51" t="s">
        <v>560</v>
      </c>
      <c r="C693" s="52"/>
      <c r="D693" s="53">
        <v>2009</v>
      </c>
      <c r="E693" s="37">
        <v>1884497023</v>
      </c>
      <c r="F693" s="37">
        <v>2433815966</v>
      </c>
      <c r="G693" s="37">
        <v>3465561550</v>
      </c>
      <c r="H693" s="37">
        <v>0</v>
      </c>
      <c r="I693" s="55">
        <f t="shared" si="32"/>
        <v>7783874539</v>
      </c>
      <c r="J693" s="54">
        <v>-4</v>
      </c>
      <c r="K693" s="56">
        <f t="shared" si="33"/>
        <v>7783874535</v>
      </c>
      <c r="L693" s="35">
        <v>124690898</v>
      </c>
      <c r="M693" s="69" t="s">
        <v>773</v>
      </c>
      <c r="N693" t="s">
        <v>708</v>
      </c>
      <c r="O693" s="38" t="str">
        <f>IF([1]totrevprm!O694="","",[1]totrevprm!O694)</f>
        <v/>
      </c>
      <c r="V693" s="38"/>
      <c r="W693" s="58"/>
      <c r="X693" s="58"/>
      <c r="Y693" s="58"/>
      <c r="Z693" s="58"/>
    </row>
    <row r="694" spans="1:26">
      <c r="A694" s="50" t="s">
        <v>42</v>
      </c>
      <c r="B694" s="51" t="s">
        <v>560</v>
      </c>
      <c r="C694" s="52"/>
      <c r="D694" s="53">
        <v>2010</v>
      </c>
      <c r="E694" s="37">
        <v>1985231181</v>
      </c>
      <c r="F694" s="37">
        <v>2079835353</v>
      </c>
      <c r="G694" s="37">
        <v>3624239225</v>
      </c>
      <c r="H694" s="37">
        <v>0</v>
      </c>
      <c r="I694" s="55">
        <f t="shared" si="32"/>
        <v>7689305759</v>
      </c>
      <c r="J694" s="54">
        <v>-6593</v>
      </c>
      <c r="K694" s="56">
        <f t="shared" si="33"/>
        <v>7689299166</v>
      </c>
      <c r="L694" s="35">
        <v>124900532</v>
      </c>
      <c r="M694" s="69" t="s">
        <v>773</v>
      </c>
      <c r="N694" t="s">
        <v>708</v>
      </c>
      <c r="O694" s="38" t="str">
        <f>IF([1]totrevprm!O695="","",[1]totrevprm!O695)</f>
        <v/>
      </c>
      <c r="V694" s="38"/>
      <c r="W694" s="58"/>
      <c r="X694" s="58"/>
      <c r="Y694" s="58"/>
      <c r="Z694" s="58"/>
    </row>
    <row r="695" spans="1:26">
      <c r="A695" s="50" t="s">
        <v>42</v>
      </c>
      <c r="B695" s="51" t="s">
        <v>560</v>
      </c>
      <c r="C695" s="52"/>
      <c r="D695" s="53">
        <v>2011</v>
      </c>
      <c r="E695" s="37">
        <v>2024088654</v>
      </c>
      <c r="F695" s="37">
        <v>2198513841</v>
      </c>
      <c r="G695" s="37">
        <v>3560278143.25</v>
      </c>
      <c r="H695" s="37">
        <v>0</v>
      </c>
      <c r="I695" s="55">
        <f t="shared" si="32"/>
        <v>7782880638.25</v>
      </c>
      <c r="J695" s="54">
        <v>-3836</v>
      </c>
      <c r="K695" s="56">
        <f t="shared" si="33"/>
        <v>7782876802.25</v>
      </c>
      <c r="L695" s="35">
        <v>131535014</v>
      </c>
      <c r="M695" s="69" t="s">
        <v>773</v>
      </c>
      <c r="N695" t="s">
        <v>708</v>
      </c>
      <c r="O695" s="38" t="str">
        <f>IF([1]totrevprm!O696="","",[1]totrevprm!O696)</f>
        <v/>
      </c>
      <c r="V695" s="38"/>
      <c r="W695" s="58"/>
      <c r="X695" s="58"/>
      <c r="Y695" s="58"/>
      <c r="Z695" s="58"/>
    </row>
    <row r="696" spans="1:26">
      <c r="A696" s="50" t="s">
        <v>42</v>
      </c>
      <c r="B696" s="51" t="s">
        <v>560</v>
      </c>
      <c r="C696" s="52"/>
      <c r="D696" s="53">
        <v>2012</v>
      </c>
      <c r="E696" s="37">
        <v>2078046849</v>
      </c>
      <c r="F696" s="37">
        <v>2253251827</v>
      </c>
      <c r="G696" s="37">
        <v>3705288312</v>
      </c>
      <c r="H696" s="37">
        <v>0</v>
      </c>
      <c r="I696" s="55">
        <f t="shared" si="32"/>
        <v>8036586988</v>
      </c>
      <c r="J696" s="54">
        <v>-1725</v>
      </c>
      <c r="K696" s="56">
        <f t="shared" si="33"/>
        <v>8036585263</v>
      </c>
      <c r="L696" s="35">
        <v>110850426</v>
      </c>
      <c r="M696" s="69" t="s">
        <v>773</v>
      </c>
      <c r="N696" t="s">
        <v>708</v>
      </c>
      <c r="O696" s="38" t="str">
        <f>IF([1]totrevprm!O697="","",[1]totrevprm!O697)</f>
        <v/>
      </c>
      <c r="V696" s="38"/>
      <c r="W696" s="58"/>
      <c r="X696" s="58"/>
      <c r="Y696" s="58"/>
      <c r="Z696" s="58"/>
    </row>
    <row r="697" spans="1:26">
      <c r="A697" s="50" t="s">
        <v>42</v>
      </c>
      <c r="B697" s="51" t="s">
        <v>560</v>
      </c>
      <c r="C697" s="52"/>
      <c r="D697" s="53">
        <v>2013</v>
      </c>
      <c r="E697" s="37">
        <v>2140889799</v>
      </c>
      <c r="F697" s="37">
        <v>2420840710</v>
      </c>
      <c r="G697" s="37">
        <v>3676991155</v>
      </c>
      <c r="H697" s="37">
        <v>0</v>
      </c>
      <c r="I697" s="55">
        <f t="shared" si="32"/>
        <v>8238721664</v>
      </c>
      <c r="J697" s="54">
        <v>-7832218</v>
      </c>
      <c r="K697" s="56">
        <f t="shared" si="33"/>
        <v>8230889446</v>
      </c>
      <c r="L697" s="35">
        <v>127786518</v>
      </c>
      <c r="M697" s="69" t="s">
        <v>773</v>
      </c>
      <c r="N697" t="s">
        <v>708</v>
      </c>
      <c r="O697" s="38" t="str">
        <f>IF([1]totrevprm!O698="","",[1]totrevprm!O698)</f>
        <v/>
      </c>
      <c r="V697" s="38"/>
      <c r="W697" s="58"/>
      <c r="X697" s="58"/>
      <c r="Y697" s="58"/>
      <c r="Z697" s="58"/>
    </row>
    <row r="698" spans="1:26">
      <c r="A698" s="50" t="s">
        <v>42</v>
      </c>
      <c r="B698" s="51" t="s">
        <v>560</v>
      </c>
      <c r="C698" s="52"/>
      <c r="D698" s="53">
        <v>2014</v>
      </c>
      <c r="E698" s="37">
        <v>2201139105</v>
      </c>
      <c r="F698" s="37">
        <v>2421052904</v>
      </c>
      <c r="G698" s="37">
        <v>3964723029.79</v>
      </c>
      <c r="H698" s="37">
        <v>0</v>
      </c>
      <c r="I698" s="55">
        <f t="shared" si="32"/>
        <v>8586915038.79</v>
      </c>
      <c r="J698" s="54">
        <v>-42438</v>
      </c>
      <c r="K698" s="56">
        <f t="shared" si="33"/>
        <v>8586872600.79</v>
      </c>
      <c r="L698" s="37">
        <v>113183859</v>
      </c>
      <c r="M698" s="69" t="s">
        <v>773</v>
      </c>
      <c r="N698" t="s">
        <v>708</v>
      </c>
      <c r="O698" s="38" t="str">
        <f>IF([1]totrevprm!O699="","",[1]totrevprm!O699)</f>
        <v/>
      </c>
      <c r="V698" s="38"/>
      <c r="W698" s="58"/>
      <c r="X698" s="58"/>
      <c r="Y698" s="58"/>
      <c r="Z698" s="58"/>
    </row>
    <row r="699" spans="1:26">
      <c r="A699" s="50" t="s">
        <v>42</v>
      </c>
      <c r="B699" s="51" t="s">
        <v>560</v>
      </c>
      <c r="C699" s="52"/>
      <c r="D699" s="53">
        <v>2015</v>
      </c>
      <c r="E699" s="37">
        <v>2210297851</v>
      </c>
      <c r="F699" s="37">
        <v>2592456650</v>
      </c>
      <c r="G699" s="37">
        <v>4180565657</v>
      </c>
      <c r="H699" s="37">
        <v>0</v>
      </c>
      <c r="I699" s="55">
        <f t="shared" si="32"/>
        <v>8983320158</v>
      </c>
      <c r="J699" s="54">
        <v>-5260</v>
      </c>
      <c r="K699" s="56">
        <f t="shared" si="33"/>
        <v>8983314898</v>
      </c>
      <c r="L699" s="37">
        <v>118677149</v>
      </c>
      <c r="M699" s="69" t="s">
        <v>773</v>
      </c>
      <c r="N699" t="s">
        <v>708</v>
      </c>
      <c r="O699" s="38" t="str">
        <f>IF([1]totrevprm!O700="","",[1]totrevprm!O700)</f>
        <v/>
      </c>
      <c r="P699" s="35">
        <v>397383841.37903923</v>
      </c>
      <c r="Q699" s="35">
        <v>94055529.914776117</v>
      </c>
      <c r="V699" s="38"/>
      <c r="W699" s="58"/>
      <c r="X699" s="58"/>
      <c r="Y699" s="58"/>
      <c r="Z699" s="58"/>
    </row>
    <row r="700" spans="1:26">
      <c r="A700" s="50" t="s">
        <v>42</v>
      </c>
      <c r="B700" s="51" t="s">
        <v>560</v>
      </c>
      <c r="C700" s="52"/>
      <c r="D700" s="53">
        <v>2016</v>
      </c>
      <c r="E700" s="37">
        <v>2358653809</v>
      </c>
      <c r="F700" s="37">
        <v>2638306060</v>
      </c>
      <c r="G700" s="37">
        <v>4011364777</v>
      </c>
      <c r="H700" s="37">
        <v>0</v>
      </c>
      <c r="I700" s="55">
        <f t="shared" si="32"/>
        <v>9008324646</v>
      </c>
      <c r="J700" s="54">
        <v>-2</v>
      </c>
      <c r="K700" s="56">
        <f t="shared" si="33"/>
        <v>9008324644</v>
      </c>
      <c r="L700" s="37">
        <v>116837084</v>
      </c>
      <c r="M700" s="69" t="s">
        <v>773</v>
      </c>
      <c r="N700" t="s">
        <v>708</v>
      </c>
      <c r="O700" s="38" t="str">
        <f>IF([1]totrevprm!O701="","",[1]totrevprm!O701)</f>
        <v/>
      </c>
      <c r="P700" s="35">
        <v>397609335.53459752</v>
      </c>
      <c r="Q700" s="35">
        <v>96997991.949398488</v>
      </c>
      <c r="V700" s="38"/>
      <c r="W700" s="58"/>
      <c r="X700" s="58"/>
      <c r="Y700" s="58"/>
      <c r="Z700" s="58"/>
    </row>
    <row r="701" spans="1:26">
      <c r="A701" s="50" t="s">
        <v>42</v>
      </c>
      <c r="B701" s="51" t="s">
        <v>560</v>
      </c>
      <c r="C701" s="52"/>
      <c r="D701" s="53">
        <v>2017</v>
      </c>
      <c r="E701" s="37">
        <v>2331485656</v>
      </c>
      <c r="F701" s="37">
        <v>2537801001</v>
      </c>
      <c r="G701" s="37">
        <v>4078229241.29</v>
      </c>
      <c r="H701" s="37">
        <v>0</v>
      </c>
      <c r="I701" s="55">
        <f t="shared" si="32"/>
        <v>8947515898.2900009</v>
      </c>
      <c r="J701" s="54">
        <v>-109870</v>
      </c>
      <c r="K701" s="56">
        <f t="shared" si="33"/>
        <v>8947406028.2900009</v>
      </c>
      <c r="L701" s="37">
        <v>84476426</v>
      </c>
      <c r="M701" s="69" t="s">
        <v>773</v>
      </c>
      <c r="N701" t="s">
        <v>708</v>
      </c>
      <c r="O701" s="38" t="str">
        <f>IF([1]totrevprm!O702="","",[1]totrevprm!O702)</f>
        <v/>
      </c>
      <c r="P701" s="35">
        <v>402884258.22395325</v>
      </c>
      <c r="Q701" s="35">
        <v>93572368.605984256</v>
      </c>
      <c r="V701" s="38"/>
      <c r="W701" s="58"/>
      <c r="X701" s="58"/>
      <c r="Y701" s="58"/>
      <c r="Z701" s="58"/>
    </row>
    <row r="702" spans="1:26">
      <c r="A702" s="50" t="s">
        <v>42</v>
      </c>
      <c r="B702" s="51" t="s">
        <v>560</v>
      </c>
      <c r="C702" s="52"/>
      <c r="D702" s="53">
        <v>2018</v>
      </c>
      <c r="E702" s="37">
        <v>2437936531</v>
      </c>
      <c r="F702" s="37">
        <v>2981411261</v>
      </c>
      <c r="G702" s="37">
        <v>5648070031.4200001</v>
      </c>
      <c r="H702" s="37">
        <v>0</v>
      </c>
      <c r="I702" s="55">
        <f t="shared" si="32"/>
        <v>11067417823.42</v>
      </c>
      <c r="J702" s="54">
        <v>-91</v>
      </c>
      <c r="K702" s="56">
        <f t="shared" si="33"/>
        <v>11067417732.42</v>
      </c>
      <c r="L702" s="60">
        <v>85461749</v>
      </c>
      <c r="M702" s="69" t="s">
        <v>841</v>
      </c>
      <c r="N702" t="s">
        <v>708</v>
      </c>
      <c r="O702" s="38" t="str">
        <f>IF([1]totrevprm!O703="","",[1]totrevprm!O703)</f>
        <v>Yes</v>
      </c>
      <c r="P702" s="35">
        <v>395770631.50500154</v>
      </c>
      <c r="Q702" s="35">
        <v>93028936.394921675</v>
      </c>
      <c r="R702" s="73"/>
      <c r="V702" s="38"/>
      <c r="W702" s="58"/>
      <c r="X702" s="58"/>
      <c r="Y702" s="58"/>
      <c r="Z702" s="58"/>
    </row>
    <row r="703" spans="1:26">
      <c r="A703" s="50" t="s">
        <v>42</v>
      </c>
      <c r="B703" s="51" t="s">
        <v>560</v>
      </c>
      <c r="C703" s="52"/>
      <c r="D703" s="53">
        <v>2019</v>
      </c>
      <c r="E703" s="37">
        <v>2397488934</v>
      </c>
      <c r="F703" s="37">
        <v>2921637033</v>
      </c>
      <c r="G703" s="37">
        <v>5561988218.9569998</v>
      </c>
      <c r="H703" s="37">
        <v>0</v>
      </c>
      <c r="I703" s="55">
        <f t="shared" si="32"/>
        <v>10881114185.957001</v>
      </c>
      <c r="J703" s="54">
        <v>-705665</v>
      </c>
      <c r="K703" s="56">
        <f t="shared" si="33"/>
        <v>10880408520.957001</v>
      </c>
      <c r="L703" s="60">
        <v>99189320</v>
      </c>
      <c r="M703" s="69" t="s">
        <v>842</v>
      </c>
      <c r="N703" t="s">
        <v>708</v>
      </c>
      <c r="O703" s="38" t="str">
        <f>IF([1]totrevprm!O704="","",[1]totrevprm!O704)</f>
        <v/>
      </c>
      <c r="P703" s="35">
        <v>429374131.72398752</v>
      </c>
      <c r="Q703" s="35">
        <v>94237003.035816774</v>
      </c>
      <c r="R703" s="73"/>
      <c r="V703" s="38"/>
      <c r="W703" s="58"/>
      <c r="X703" s="58"/>
      <c r="Y703" s="58"/>
      <c r="Z703" s="58"/>
    </row>
    <row r="704" spans="1:26">
      <c r="A704" s="50" t="s">
        <v>42</v>
      </c>
      <c r="B704" s="51" t="s">
        <v>560</v>
      </c>
      <c r="C704" s="52"/>
      <c r="D704" s="53">
        <v>2020</v>
      </c>
      <c r="E704" s="37">
        <v>2372332122</v>
      </c>
      <c r="F704" s="37">
        <v>2890228781</v>
      </c>
      <c r="G704" s="37">
        <v>5712310722</v>
      </c>
      <c r="H704" s="37">
        <v>0</v>
      </c>
      <c r="I704" s="55">
        <f t="shared" si="32"/>
        <v>10974871625</v>
      </c>
      <c r="J704" s="54">
        <v>-5</v>
      </c>
      <c r="K704" s="56">
        <f t="shared" si="33"/>
        <v>10974871620</v>
      </c>
      <c r="L704" s="60">
        <v>116453571</v>
      </c>
      <c r="M704" s="69" t="s">
        <v>842</v>
      </c>
      <c r="N704" t="s">
        <v>708</v>
      </c>
      <c r="O704" s="38" t="str">
        <f>IF([1]totrevprm!O705="","",[1]totrevprm!O705)</f>
        <v/>
      </c>
      <c r="P704" s="35">
        <v>430524665</v>
      </c>
      <c r="Q704" s="35">
        <v>92640049</v>
      </c>
      <c r="R704" s="73"/>
      <c r="V704" s="38"/>
      <c r="W704" s="58"/>
      <c r="X704" s="58"/>
      <c r="Y704" s="58"/>
      <c r="Z704" s="58"/>
    </row>
    <row r="705" spans="1:26">
      <c r="A705" s="50" t="s">
        <v>42</v>
      </c>
      <c r="B705" s="51" t="s">
        <v>560</v>
      </c>
      <c r="C705" s="52"/>
      <c r="D705" s="53">
        <v>2021</v>
      </c>
      <c r="E705" s="37">
        <v>2535959659</v>
      </c>
      <c r="F705" s="37">
        <v>2983582543</v>
      </c>
      <c r="G705" s="37">
        <v>5816244351.7399998</v>
      </c>
      <c r="H705" s="37">
        <v>0</v>
      </c>
      <c r="I705" s="55">
        <f t="shared" si="32"/>
        <v>11335786553.74</v>
      </c>
      <c r="J705" s="54">
        <v>-3604</v>
      </c>
      <c r="K705" s="56">
        <f t="shared" si="33"/>
        <v>11335782949.74</v>
      </c>
      <c r="L705" s="37">
        <v>88765368</v>
      </c>
      <c r="M705" s="69" t="s">
        <v>843</v>
      </c>
      <c r="N705" t="s">
        <v>708</v>
      </c>
      <c r="O705" s="38" t="s">
        <v>708</v>
      </c>
      <c r="P705" s="35">
        <v>376364095.26999998</v>
      </c>
      <c r="Q705" s="35">
        <v>97356814</v>
      </c>
      <c r="R705" s="73"/>
      <c r="V705" s="38"/>
      <c r="W705" s="58"/>
      <c r="X705" s="58"/>
      <c r="Y705" s="58"/>
      <c r="Z705" s="58"/>
    </row>
    <row r="706" spans="1:26">
      <c r="A706" s="50" t="s">
        <v>42</v>
      </c>
      <c r="B706" s="51" t="s">
        <v>560</v>
      </c>
      <c r="C706" s="52"/>
      <c r="D706" s="53">
        <v>2022</v>
      </c>
      <c r="E706" s="37">
        <v>2637175613</v>
      </c>
      <c r="F706" s="37">
        <v>4134499782</v>
      </c>
      <c r="G706" s="37">
        <v>6045098600</v>
      </c>
      <c r="H706" s="37">
        <v>0</v>
      </c>
      <c r="I706" s="55">
        <f t="shared" si="32"/>
        <v>12816773995</v>
      </c>
      <c r="J706" s="54">
        <v>-726945</v>
      </c>
      <c r="K706" s="56">
        <f t="shared" si="33"/>
        <v>12816047050</v>
      </c>
      <c r="L706" s="60">
        <v>119248899</v>
      </c>
      <c r="M706" s="69" t="s">
        <v>843</v>
      </c>
      <c r="N706" t="s">
        <v>708</v>
      </c>
      <c r="O706" s="39"/>
      <c r="P706" s="60">
        <v>397168833</v>
      </c>
      <c r="Q706" s="60">
        <v>96085963</v>
      </c>
      <c r="R706" s="73"/>
      <c r="V706" s="38"/>
      <c r="W706" s="58"/>
      <c r="X706" s="58"/>
      <c r="Y706" s="58"/>
      <c r="Z706" s="58"/>
    </row>
    <row r="707" spans="1:26">
      <c r="A707" s="50" t="s">
        <v>42</v>
      </c>
      <c r="B707" s="51" t="s">
        <v>560</v>
      </c>
      <c r="C707" s="52"/>
      <c r="D707" s="53">
        <v>2023</v>
      </c>
      <c r="E707" s="37">
        <v>2627496361</v>
      </c>
      <c r="F707" s="37">
        <v>5141743316.5073996</v>
      </c>
      <c r="G707" s="37">
        <v>6397530139.5599995</v>
      </c>
      <c r="H707" s="37">
        <v>0</v>
      </c>
      <c r="I707" s="55">
        <f t="shared" si="32"/>
        <v>14166769817.067398</v>
      </c>
      <c r="J707" s="54">
        <v>-143039</v>
      </c>
      <c r="K707" s="56">
        <f t="shared" si="33"/>
        <v>14166626778.067398</v>
      </c>
      <c r="L707" s="54">
        <v>126110425</v>
      </c>
      <c r="M707" s="69" t="s">
        <v>843</v>
      </c>
      <c r="O707" s="39"/>
      <c r="P707" s="60">
        <v>407019052.48000002</v>
      </c>
      <c r="Q707" s="60">
        <v>95073987</v>
      </c>
      <c r="R707" s="73"/>
      <c r="V707" s="38"/>
      <c r="W707" s="58"/>
      <c r="X707" s="58"/>
      <c r="Y707" s="58"/>
      <c r="Z707" s="58"/>
    </row>
    <row r="708" spans="1:26">
      <c r="A708" s="50"/>
      <c r="B708" s="52"/>
      <c r="C708" s="52"/>
      <c r="E708" s="54"/>
      <c r="F708" s="54"/>
      <c r="G708" s="54"/>
      <c r="H708" s="54"/>
      <c r="I708" s="55"/>
      <c r="K708" s="65"/>
      <c r="L708" s="37"/>
      <c r="M708" s="69"/>
      <c r="O708" s="38"/>
    </row>
    <row r="709" spans="1:26">
      <c r="A709" s="50" t="s">
        <v>44</v>
      </c>
      <c r="B709" s="51" t="s">
        <v>774</v>
      </c>
      <c r="C709" s="52" t="s">
        <v>762</v>
      </c>
      <c r="D709" s="53">
        <v>1988</v>
      </c>
      <c r="E709" s="54">
        <v>205589438</v>
      </c>
      <c r="F709" s="54">
        <v>143683665</v>
      </c>
      <c r="G709" s="54">
        <v>258670567</v>
      </c>
      <c r="H709" s="54">
        <v>46145929</v>
      </c>
      <c r="I709" s="55">
        <f t="shared" si="32"/>
        <v>654089599</v>
      </c>
      <c r="J709" s="54">
        <v>0</v>
      </c>
      <c r="K709" s="56">
        <f>SUM(I709:J709)</f>
        <v>654089599</v>
      </c>
      <c r="L709" s="37">
        <v>0</v>
      </c>
      <c r="M709" s="69"/>
      <c r="O709" s="38" t="str">
        <f>IF([1]totrevprm!O710="","",[1]totrevprm!O710)</f>
        <v/>
      </c>
    </row>
    <row r="710" spans="1:26">
      <c r="A710" s="50" t="s">
        <v>44</v>
      </c>
      <c r="B710" s="51" t="s">
        <v>774</v>
      </c>
      <c r="C710" s="52" t="s">
        <v>731</v>
      </c>
      <c r="D710" s="53">
        <v>1989</v>
      </c>
      <c r="E710" s="54">
        <v>202478234</v>
      </c>
      <c r="F710" s="54">
        <v>166195355</v>
      </c>
      <c r="G710" s="54">
        <v>290326059</v>
      </c>
      <c r="H710" s="54">
        <v>70395054</v>
      </c>
      <c r="I710" s="55">
        <f t="shared" si="32"/>
        <v>729394702</v>
      </c>
      <c r="J710" s="54">
        <v>0</v>
      </c>
      <c r="K710" s="56">
        <f t="shared" ref="K710:K743" si="34">SUM(I710:J710)</f>
        <v>729394702</v>
      </c>
      <c r="L710" s="37">
        <v>0</v>
      </c>
      <c r="M710" s="69"/>
      <c r="O710" s="38" t="str">
        <f>IF([1]totrevprm!O711="","",[1]totrevprm!O711)</f>
        <v/>
      </c>
    </row>
    <row r="711" spans="1:26">
      <c r="A711" s="50" t="s">
        <v>44</v>
      </c>
      <c r="B711" s="51" t="s">
        <v>774</v>
      </c>
      <c r="C711" s="52" t="s">
        <v>731</v>
      </c>
      <c r="D711" s="53">
        <v>1990</v>
      </c>
      <c r="E711" s="54">
        <v>211356731</v>
      </c>
      <c r="F711" s="54">
        <v>222695205.59999999</v>
      </c>
      <c r="G711" s="54">
        <v>312504647</v>
      </c>
      <c r="H711" s="54">
        <v>43039290</v>
      </c>
      <c r="I711" s="55">
        <f t="shared" si="32"/>
        <v>789595873.60000002</v>
      </c>
      <c r="J711" s="54">
        <v>0</v>
      </c>
      <c r="K711" s="56">
        <f t="shared" si="34"/>
        <v>789595873.60000002</v>
      </c>
      <c r="L711" s="37">
        <v>0</v>
      </c>
      <c r="M711" s="69"/>
      <c r="O711" s="38" t="str">
        <f>IF([1]totrevprm!O712="","",[1]totrevprm!O712)</f>
        <v/>
      </c>
    </row>
    <row r="712" spans="1:26">
      <c r="A712" s="50" t="s">
        <v>44</v>
      </c>
      <c r="B712" s="51" t="s">
        <v>774</v>
      </c>
      <c r="C712" s="52" t="s">
        <v>731</v>
      </c>
      <c r="D712" s="53">
        <v>1991</v>
      </c>
      <c r="E712" s="54">
        <v>222499783</v>
      </c>
      <c r="F712" s="54">
        <v>168234474</v>
      </c>
      <c r="G712" s="54">
        <v>350523624</v>
      </c>
      <c r="H712" s="54">
        <v>69681202</v>
      </c>
      <c r="I712" s="55">
        <f t="shared" si="32"/>
        <v>810939083</v>
      </c>
      <c r="J712" s="54">
        <v>0</v>
      </c>
      <c r="K712" s="56">
        <f t="shared" si="34"/>
        <v>810939083</v>
      </c>
      <c r="L712" s="37">
        <v>0</v>
      </c>
      <c r="M712" s="69"/>
      <c r="O712" s="38" t="str">
        <f>IF([1]totrevprm!O713="","",[1]totrevprm!O713)</f>
        <v/>
      </c>
    </row>
    <row r="713" spans="1:26">
      <c r="A713" s="50" t="s">
        <v>44</v>
      </c>
      <c r="B713" s="51" t="s">
        <v>774</v>
      </c>
      <c r="C713" s="52" t="s">
        <v>731</v>
      </c>
      <c r="D713" s="53">
        <v>1992</v>
      </c>
      <c r="E713" s="54">
        <v>236125111</v>
      </c>
      <c r="F713" s="54">
        <v>204375145.52000001</v>
      </c>
      <c r="G713" s="54">
        <v>352638718</v>
      </c>
      <c r="H713" s="54">
        <v>40121545</v>
      </c>
      <c r="I713" s="55">
        <f t="shared" si="32"/>
        <v>833260519.51999998</v>
      </c>
      <c r="J713" s="54">
        <v>0</v>
      </c>
      <c r="K713" s="56">
        <f t="shared" si="34"/>
        <v>833260519.51999998</v>
      </c>
      <c r="L713" s="37">
        <v>0</v>
      </c>
      <c r="M713" s="69"/>
      <c r="O713" s="38" t="str">
        <f>IF([1]totrevprm!O714="","",[1]totrevprm!O714)</f>
        <v/>
      </c>
    </row>
    <row r="714" spans="1:26">
      <c r="A714" s="50" t="s">
        <v>44</v>
      </c>
      <c r="B714" s="51" t="s">
        <v>774</v>
      </c>
      <c r="C714" s="52" t="s">
        <v>731</v>
      </c>
      <c r="D714" s="53">
        <v>1993</v>
      </c>
      <c r="E714" s="54">
        <v>238318364</v>
      </c>
      <c r="F714" s="54">
        <v>172138858</v>
      </c>
      <c r="G714" s="54">
        <v>322976510</v>
      </c>
      <c r="H714" s="54">
        <v>55186025</v>
      </c>
      <c r="I714" s="55">
        <f t="shared" si="32"/>
        <v>788619757</v>
      </c>
      <c r="J714" s="54">
        <v>0</v>
      </c>
      <c r="K714" s="56">
        <f t="shared" si="34"/>
        <v>788619757</v>
      </c>
      <c r="L714" s="37">
        <v>0</v>
      </c>
      <c r="M714" s="69"/>
      <c r="O714" s="38" t="str">
        <f>IF([1]totrevprm!O715="","",[1]totrevprm!O715)</f>
        <v/>
      </c>
    </row>
    <row r="715" spans="1:26">
      <c r="A715" s="50" t="s">
        <v>44</v>
      </c>
      <c r="B715" s="51" t="s">
        <v>774</v>
      </c>
      <c r="C715" s="52" t="s">
        <v>731</v>
      </c>
      <c r="D715" s="53">
        <v>1994</v>
      </c>
      <c r="E715" s="54">
        <v>248769967</v>
      </c>
      <c r="F715" s="54">
        <v>244794929</v>
      </c>
      <c r="G715" s="54">
        <v>329123557</v>
      </c>
      <c r="H715" s="54">
        <v>67038506</v>
      </c>
      <c r="I715" s="55">
        <f t="shared" si="32"/>
        <v>889726959</v>
      </c>
      <c r="J715" s="54">
        <v>0</v>
      </c>
      <c r="K715" s="56">
        <f t="shared" si="34"/>
        <v>889726959</v>
      </c>
      <c r="L715" s="37">
        <v>0</v>
      </c>
      <c r="M715" s="69"/>
      <c r="O715" s="38" t="str">
        <f>IF([1]totrevprm!O716="","",[1]totrevprm!O716)</f>
        <v/>
      </c>
    </row>
    <row r="716" spans="1:26">
      <c r="A716" s="50" t="s">
        <v>44</v>
      </c>
      <c r="B716" s="51" t="s">
        <v>774</v>
      </c>
      <c r="C716" s="52" t="s">
        <v>731</v>
      </c>
      <c r="D716" s="53">
        <v>1995</v>
      </c>
      <c r="E716" s="54">
        <v>270300977</v>
      </c>
      <c r="F716" s="54">
        <v>250045083</v>
      </c>
      <c r="G716" s="54">
        <v>348737618</v>
      </c>
      <c r="H716" s="54">
        <v>71961672</v>
      </c>
      <c r="I716" s="55">
        <f t="shared" si="32"/>
        <v>941045350</v>
      </c>
      <c r="J716" s="54">
        <v>0</v>
      </c>
      <c r="K716" s="56">
        <f t="shared" si="34"/>
        <v>941045350</v>
      </c>
      <c r="L716" s="37">
        <v>0</v>
      </c>
      <c r="M716" s="69"/>
      <c r="O716" s="38" t="str">
        <f>IF([1]totrevprm!O717="","",[1]totrevprm!O717)</f>
        <v/>
      </c>
    </row>
    <row r="717" spans="1:26">
      <c r="A717" s="50" t="s">
        <v>44</v>
      </c>
      <c r="B717" s="51" t="s">
        <v>774</v>
      </c>
      <c r="C717" s="52" t="s">
        <v>731</v>
      </c>
      <c r="D717" s="53">
        <v>1996</v>
      </c>
      <c r="E717" s="54">
        <v>266662231</v>
      </c>
      <c r="F717" s="54">
        <v>195967922</v>
      </c>
      <c r="G717" s="54">
        <v>353848307</v>
      </c>
      <c r="H717" s="54">
        <v>114182473</v>
      </c>
      <c r="I717" s="55">
        <f t="shared" si="32"/>
        <v>930660933</v>
      </c>
      <c r="J717" s="54">
        <v>0</v>
      </c>
      <c r="K717" s="56">
        <f t="shared" si="34"/>
        <v>930660933</v>
      </c>
      <c r="L717" s="37">
        <v>0</v>
      </c>
      <c r="M717" s="69"/>
      <c r="O717" s="38" t="str">
        <f>IF([1]totrevprm!O718="","",[1]totrevprm!O718)</f>
        <v/>
      </c>
    </row>
    <row r="718" spans="1:26">
      <c r="A718" s="50" t="s">
        <v>44</v>
      </c>
      <c r="B718" s="51" t="s">
        <v>774</v>
      </c>
      <c r="C718" s="52" t="s">
        <v>731</v>
      </c>
      <c r="D718" s="53">
        <v>1997</v>
      </c>
      <c r="E718" s="54">
        <v>284860385</v>
      </c>
      <c r="F718" s="54">
        <v>264033487</v>
      </c>
      <c r="G718" s="54">
        <v>333331361</v>
      </c>
      <c r="H718" s="54">
        <v>19887348</v>
      </c>
      <c r="I718" s="55">
        <f t="shared" si="32"/>
        <v>902112581</v>
      </c>
      <c r="J718" s="54">
        <v>0</v>
      </c>
      <c r="K718" s="56">
        <f t="shared" si="34"/>
        <v>902112581</v>
      </c>
      <c r="L718" s="37">
        <v>0</v>
      </c>
      <c r="M718" s="69"/>
      <c r="O718" s="38" t="str">
        <f>IF([1]totrevprm!O719="","",[1]totrevprm!O719)</f>
        <v/>
      </c>
    </row>
    <row r="719" spans="1:26">
      <c r="A719" s="50" t="s">
        <v>44</v>
      </c>
      <c r="B719" s="51" t="s">
        <v>774</v>
      </c>
      <c r="C719" s="52" t="s">
        <v>731</v>
      </c>
      <c r="D719" s="53">
        <v>1998</v>
      </c>
      <c r="E719" s="54">
        <v>266013103</v>
      </c>
      <c r="F719" s="54">
        <v>251185254</v>
      </c>
      <c r="G719" s="54">
        <v>319592654</v>
      </c>
      <c r="H719" s="54">
        <v>150662978</v>
      </c>
      <c r="I719" s="55">
        <f t="shared" si="32"/>
        <v>987453989</v>
      </c>
      <c r="J719" s="54">
        <v>0</v>
      </c>
      <c r="K719" s="56">
        <f t="shared" si="34"/>
        <v>987453989</v>
      </c>
      <c r="L719" s="37">
        <v>0</v>
      </c>
      <c r="M719" s="69"/>
      <c r="O719" s="38" t="str">
        <f>IF([1]totrevprm!O720="","",[1]totrevprm!O720)</f>
        <v/>
      </c>
    </row>
    <row r="720" spans="1:26">
      <c r="A720" s="50" t="s">
        <v>44</v>
      </c>
      <c r="B720" s="51" t="s">
        <v>774</v>
      </c>
      <c r="C720" s="52" t="s">
        <v>731</v>
      </c>
      <c r="D720" s="53">
        <v>1999</v>
      </c>
      <c r="E720" s="54">
        <v>348461472</v>
      </c>
      <c r="F720" s="54">
        <v>290690820</v>
      </c>
      <c r="G720" s="54">
        <v>328367163</v>
      </c>
      <c r="H720" s="54">
        <v>50073932</v>
      </c>
      <c r="I720" s="55">
        <f t="shared" si="32"/>
        <v>1017593387</v>
      </c>
      <c r="J720" s="54">
        <v>0</v>
      </c>
      <c r="K720" s="56">
        <f t="shared" si="34"/>
        <v>1017593387</v>
      </c>
      <c r="L720" s="37">
        <v>0</v>
      </c>
      <c r="M720" s="69"/>
      <c r="O720" s="38" t="str">
        <f>IF([1]totrevprm!O721="","",[1]totrevprm!O721)</f>
        <v/>
      </c>
    </row>
    <row r="721" spans="1:26">
      <c r="A721" s="50" t="s">
        <v>44</v>
      </c>
      <c r="B721" s="51" t="s">
        <v>774</v>
      </c>
      <c r="C721" s="52" t="s">
        <v>731</v>
      </c>
      <c r="D721" s="53">
        <v>2000</v>
      </c>
      <c r="E721" s="54">
        <v>297620356</v>
      </c>
      <c r="F721" s="54">
        <v>356673168</v>
      </c>
      <c r="G721" s="54">
        <v>315050368</v>
      </c>
      <c r="H721" s="54">
        <v>25000729</v>
      </c>
      <c r="I721" s="55">
        <f t="shared" si="32"/>
        <v>994344621</v>
      </c>
      <c r="J721" s="54">
        <v>0</v>
      </c>
      <c r="K721" s="56">
        <f t="shared" si="34"/>
        <v>994344621</v>
      </c>
      <c r="L721" s="37">
        <v>0</v>
      </c>
      <c r="M721" s="69"/>
      <c r="O721" s="38" t="str">
        <f>IF([1]totrevprm!O722="","",[1]totrevprm!O722)</f>
        <v/>
      </c>
      <c r="V721" s="38" t="s">
        <v>774</v>
      </c>
      <c r="W721" s="58">
        <v>196540</v>
      </c>
      <c r="X721" s="58">
        <v>3354652</v>
      </c>
      <c r="Y721" s="58">
        <v>6784199</v>
      </c>
      <c r="Z721" s="58">
        <v>0</v>
      </c>
    </row>
    <row r="722" spans="1:26">
      <c r="A722" s="50" t="s">
        <v>44</v>
      </c>
      <c r="B722" s="51" t="s">
        <v>774</v>
      </c>
      <c r="C722" s="52" t="s">
        <v>731</v>
      </c>
      <c r="D722" s="53">
        <v>2001</v>
      </c>
      <c r="E722" s="54">
        <v>282813848</v>
      </c>
      <c r="F722" s="54">
        <v>405279312</v>
      </c>
      <c r="G722" s="54">
        <v>323524951</v>
      </c>
      <c r="H722" s="54">
        <v>37673601</v>
      </c>
      <c r="I722" s="55">
        <f t="shared" si="32"/>
        <v>1049291712</v>
      </c>
      <c r="J722" s="54">
        <v>0</v>
      </c>
      <c r="K722" s="56">
        <f t="shared" si="34"/>
        <v>1049291712</v>
      </c>
      <c r="L722" s="37">
        <v>0</v>
      </c>
      <c r="M722" s="69"/>
      <c r="O722" s="38" t="str">
        <f>IF([1]totrevprm!O723="","",[1]totrevprm!O723)</f>
        <v/>
      </c>
      <c r="V722" s="38"/>
      <c r="W722" s="58"/>
      <c r="X722" s="58"/>
      <c r="Y722" s="58"/>
      <c r="Z722" s="58"/>
    </row>
    <row r="723" spans="1:26">
      <c r="A723" s="50" t="s">
        <v>44</v>
      </c>
      <c r="B723" s="51" t="s">
        <v>774</v>
      </c>
      <c r="C723" s="52" t="s">
        <v>731</v>
      </c>
      <c r="D723" s="53">
        <v>2002</v>
      </c>
      <c r="E723" s="54">
        <v>334023655</v>
      </c>
      <c r="F723" s="54">
        <v>640376252</v>
      </c>
      <c r="G723" s="54">
        <v>364934677</v>
      </c>
      <c r="H723" s="54">
        <v>32454741</v>
      </c>
      <c r="I723" s="55">
        <f t="shared" si="32"/>
        <v>1371789325</v>
      </c>
      <c r="J723" s="54">
        <v>0</v>
      </c>
      <c r="K723" s="56">
        <f t="shared" si="34"/>
        <v>1371789325</v>
      </c>
      <c r="L723" s="37">
        <v>0</v>
      </c>
      <c r="M723" s="69"/>
      <c r="O723" s="38" t="str">
        <f>IF([1]totrevprm!O724="","",[1]totrevprm!O724)</f>
        <v/>
      </c>
      <c r="V723" s="38"/>
      <c r="W723" s="58"/>
      <c r="X723" s="58"/>
      <c r="Y723" s="58"/>
      <c r="Z723" s="58"/>
    </row>
    <row r="724" spans="1:26">
      <c r="A724" s="50" t="s">
        <v>44</v>
      </c>
      <c r="B724" s="51" t="s">
        <v>774</v>
      </c>
      <c r="C724" s="52" t="s">
        <v>731</v>
      </c>
      <c r="D724" s="53">
        <v>2003</v>
      </c>
      <c r="E724" s="59">
        <v>320072923</v>
      </c>
      <c r="F724" s="59">
        <v>522887967</v>
      </c>
      <c r="G724" s="59">
        <v>371570538</v>
      </c>
      <c r="H724" s="59">
        <v>50152412</v>
      </c>
      <c r="I724" s="55">
        <f t="shared" si="32"/>
        <v>1264683840</v>
      </c>
      <c r="J724" s="54">
        <v>0</v>
      </c>
      <c r="K724" s="56">
        <f t="shared" si="34"/>
        <v>1264683840</v>
      </c>
      <c r="L724" s="37">
        <v>0</v>
      </c>
      <c r="M724" s="69"/>
      <c r="O724" s="38" t="str">
        <f>IF([1]totrevprm!O725="","",[1]totrevprm!O725)</f>
        <v/>
      </c>
      <c r="V724" s="38"/>
      <c r="W724" s="58"/>
      <c r="X724" s="58"/>
      <c r="Y724" s="58"/>
      <c r="Z724" s="58"/>
    </row>
    <row r="725" spans="1:26">
      <c r="A725" s="50" t="s">
        <v>44</v>
      </c>
      <c r="B725" s="51" t="s">
        <v>774</v>
      </c>
      <c r="C725" s="52" t="s">
        <v>731</v>
      </c>
      <c r="D725" s="53">
        <v>2004</v>
      </c>
      <c r="E725" s="59">
        <v>311301627</v>
      </c>
      <c r="F725" s="59">
        <v>439715909</v>
      </c>
      <c r="G725" s="59">
        <v>399355879</v>
      </c>
      <c r="H725" s="59">
        <v>55627947</v>
      </c>
      <c r="I725" s="55">
        <f t="shared" si="32"/>
        <v>1206001362</v>
      </c>
      <c r="J725" s="54">
        <v>0</v>
      </c>
      <c r="K725" s="56">
        <f t="shared" si="34"/>
        <v>1206001362</v>
      </c>
      <c r="L725" s="37">
        <v>0</v>
      </c>
      <c r="M725" s="69"/>
      <c r="O725" s="38" t="str">
        <f>IF([1]totrevprm!O726="","",[1]totrevprm!O726)</f>
        <v/>
      </c>
      <c r="V725" s="38"/>
      <c r="W725" s="58"/>
      <c r="X725" s="58"/>
      <c r="Y725" s="58"/>
      <c r="Z725" s="58"/>
    </row>
    <row r="726" spans="1:26">
      <c r="A726" s="50" t="s">
        <v>44</v>
      </c>
      <c r="B726" s="51" t="s">
        <v>774</v>
      </c>
      <c r="C726" s="52"/>
      <c r="D726" s="53">
        <v>2005</v>
      </c>
      <c r="E726" s="59">
        <v>348452634</v>
      </c>
      <c r="F726" s="59">
        <v>375814326</v>
      </c>
      <c r="G726" s="59">
        <v>495094180.76999903</v>
      </c>
      <c r="H726" s="59">
        <v>0</v>
      </c>
      <c r="I726" s="55">
        <f t="shared" si="32"/>
        <v>1219361140.769999</v>
      </c>
      <c r="J726" s="54">
        <v>-2</v>
      </c>
      <c r="K726" s="56">
        <f t="shared" si="34"/>
        <v>1219361138.769999</v>
      </c>
      <c r="L726" s="37">
        <v>0</v>
      </c>
      <c r="M726" s="69"/>
      <c r="O726" s="38" t="str">
        <f>IF([1]totrevprm!O727="","",[1]totrevprm!O727)</f>
        <v/>
      </c>
      <c r="V726" s="38"/>
      <c r="W726" s="58"/>
      <c r="X726" s="58"/>
      <c r="Y726" s="58"/>
      <c r="Z726" s="58"/>
    </row>
    <row r="727" spans="1:26">
      <c r="A727" s="50" t="s">
        <v>44</v>
      </c>
      <c r="B727" s="51" t="s">
        <v>774</v>
      </c>
      <c r="C727" s="52"/>
      <c r="D727" s="53">
        <v>2006</v>
      </c>
      <c r="E727" s="37">
        <v>335928198</v>
      </c>
      <c r="F727" s="37">
        <v>382858325</v>
      </c>
      <c r="G727" s="37">
        <v>614238997</v>
      </c>
      <c r="H727" s="37">
        <v>0</v>
      </c>
      <c r="I727" s="55">
        <f t="shared" si="32"/>
        <v>1333025520</v>
      </c>
      <c r="J727" s="54">
        <v>-479304</v>
      </c>
      <c r="K727" s="56">
        <f t="shared" si="34"/>
        <v>1332546216</v>
      </c>
      <c r="L727" s="37">
        <v>0</v>
      </c>
      <c r="M727" s="69"/>
      <c r="O727" s="38" t="str">
        <f>IF([1]totrevprm!O728="","",[1]totrevprm!O728)</f>
        <v/>
      </c>
      <c r="V727" s="38"/>
      <c r="W727" s="58"/>
      <c r="X727" s="58"/>
      <c r="Y727" s="58"/>
      <c r="Z727" s="58"/>
    </row>
    <row r="728" spans="1:26">
      <c r="A728" s="50" t="s">
        <v>44</v>
      </c>
      <c r="B728" s="51" t="s">
        <v>774</v>
      </c>
      <c r="C728" s="52"/>
      <c r="D728" s="53">
        <v>2007</v>
      </c>
      <c r="E728" s="37">
        <v>370265342</v>
      </c>
      <c r="F728" s="37">
        <v>453329640</v>
      </c>
      <c r="G728" s="37">
        <v>759775549</v>
      </c>
      <c r="H728" s="37">
        <v>0</v>
      </c>
      <c r="I728" s="55">
        <f t="shared" si="32"/>
        <v>1583370531</v>
      </c>
      <c r="J728" s="54">
        <v>-1</v>
      </c>
      <c r="K728" s="56">
        <f t="shared" si="34"/>
        <v>1583370530</v>
      </c>
      <c r="L728" s="37">
        <v>0</v>
      </c>
      <c r="M728" s="69"/>
      <c r="O728" s="38" t="str">
        <f>IF([1]totrevprm!O729="","",[1]totrevprm!O729)</f>
        <v/>
      </c>
      <c r="V728" s="38"/>
      <c r="W728" s="58"/>
      <c r="X728" s="58"/>
      <c r="Y728" s="58"/>
      <c r="Z728" s="58"/>
    </row>
    <row r="729" spans="1:26">
      <c r="A729" s="50" t="s">
        <v>44</v>
      </c>
      <c r="B729" s="51" t="s">
        <v>774</v>
      </c>
      <c r="C729" s="52"/>
      <c r="D729" s="53">
        <v>2008</v>
      </c>
      <c r="E729" s="37">
        <v>378249617</v>
      </c>
      <c r="F729" s="37">
        <v>748592595</v>
      </c>
      <c r="G729" s="37">
        <v>934417918</v>
      </c>
      <c r="H729" s="37">
        <v>0</v>
      </c>
      <c r="I729" s="55">
        <f t="shared" si="32"/>
        <v>2061260130</v>
      </c>
      <c r="J729" s="54">
        <v>-57430</v>
      </c>
      <c r="K729" s="56">
        <f t="shared" si="34"/>
        <v>2061202700</v>
      </c>
      <c r="L729" s="37">
        <v>0</v>
      </c>
      <c r="M729" s="69"/>
      <c r="O729" s="38" t="str">
        <f>IF([1]totrevprm!O730="","",[1]totrevprm!O730)</f>
        <v/>
      </c>
      <c r="V729" s="38"/>
      <c r="W729" s="58"/>
      <c r="X729" s="58"/>
      <c r="Y729" s="58"/>
      <c r="Z729" s="58"/>
    </row>
    <row r="730" spans="1:26">
      <c r="A730" s="50" t="s">
        <v>44</v>
      </c>
      <c r="B730" s="51" t="s">
        <v>774</v>
      </c>
      <c r="C730" s="52"/>
      <c r="D730" s="53">
        <v>2009</v>
      </c>
      <c r="E730" s="37">
        <v>376299271</v>
      </c>
      <c r="F730" s="37">
        <v>635147204</v>
      </c>
      <c r="G730" s="37">
        <v>1461212242</v>
      </c>
      <c r="H730" s="37">
        <v>0</v>
      </c>
      <c r="I730" s="55">
        <f t="shared" si="32"/>
        <v>2472658717</v>
      </c>
      <c r="J730" s="54">
        <v>-14928</v>
      </c>
      <c r="K730" s="56">
        <f t="shared" si="34"/>
        <v>2472643789</v>
      </c>
      <c r="L730" s="37">
        <v>2016321</v>
      </c>
      <c r="M730" s="69" t="s">
        <v>735</v>
      </c>
      <c r="N730" t="s">
        <v>708</v>
      </c>
      <c r="O730" s="38" t="str">
        <f>IF([1]totrevprm!O731="","",[1]totrevprm!O731)</f>
        <v/>
      </c>
      <c r="T730" s="68"/>
      <c r="V730" s="38"/>
      <c r="W730" s="58"/>
      <c r="X730" s="58"/>
      <c r="Y730" s="58"/>
      <c r="Z730" s="58"/>
    </row>
    <row r="731" spans="1:26">
      <c r="A731" s="50" t="s">
        <v>44</v>
      </c>
      <c r="B731" s="51" t="s">
        <v>774</v>
      </c>
      <c r="C731" s="52"/>
      <c r="D731" s="53">
        <v>2010</v>
      </c>
      <c r="E731" s="37">
        <v>408408080</v>
      </c>
      <c r="F731" s="37">
        <v>560169643</v>
      </c>
      <c r="G731" s="37">
        <v>1622108827</v>
      </c>
      <c r="H731" s="37">
        <v>0</v>
      </c>
      <c r="I731" s="55">
        <f t="shared" si="32"/>
        <v>2590686550</v>
      </c>
      <c r="J731" s="54">
        <v>-1186</v>
      </c>
      <c r="K731" s="56">
        <f t="shared" si="34"/>
        <v>2590685364</v>
      </c>
      <c r="L731" s="37">
        <v>2238767</v>
      </c>
      <c r="M731" s="69" t="s">
        <v>735</v>
      </c>
      <c r="N731" t="s">
        <v>708</v>
      </c>
      <c r="O731" s="38" t="str">
        <f>IF([1]totrevprm!O732="","",[1]totrevprm!O732)</f>
        <v/>
      </c>
      <c r="T731" s="68"/>
      <c r="V731" s="38"/>
      <c r="W731" s="58"/>
      <c r="X731" s="58"/>
      <c r="Y731" s="58"/>
      <c r="Z731" s="58"/>
    </row>
    <row r="732" spans="1:26">
      <c r="A732" s="50" t="s">
        <v>44</v>
      </c>
      <c r="B732" s="51" t="s">
        <v>774</v>
      </c>
      <c r="C732" s="52"/>
      <c r="D732" s="53">
        <v>2011</v>
      </c>
      <c r="E732" s="37">
        <v>429568480</v>
      </c>
      <c r="F732" s="37">
        <v>540286662</v>
      </c>
      <c r="G732" s="37">
        <v>1721187580.51</v>
      </c>
      <c r="H732" s="37">
        <v>0</v>
      </c>
      <c r="I732" s="55">
        <f t="shared" si="32"/>
        <v>2691042722.5100002</v>
      </c>
      <c r="J732" s="54">
        <v>-4</v>
      </c>
      <c r="K732" s="56">
        <f t="shared" si="34"/>
        <v>2691042718.5100002</v>
      </c>
      <c r="L732" s="37">
        <v>186665</v>
      </c>
      <c r="M732" s="69" t="s">
        <v>735</v>
      </c>
      <c r="N732" t="s">
        <v>708</v>
      </c>
      <c r="O732" s="38" t="str">
        <f>IF([1]totrevprm!O733="","",[1]totrevprm!O733)</f>
        <v/>
      </c>
      <c r="T732" s="68"/>
      <c r="V732" s="38"/>
      <c r="W732" s="58"/>
      <c r="X732" s="58"/>
      <c r="Y732" s="58"/>
      <c r="Z732" s="58"/>
    </row>
    <row r="733" spans="1:26">
      <c r="A733" s="50" t="s">
        <v>44</v>
      </c>
      <c r="B733" s="51" t="s">
        <v>774</v>
      </c>
      <c r="C733" s="52"/>
      <c r="D733" s="53">
        <v>2012</v>
      </c>
      <c r="E733" s="37">
        <v>428345193</v>
      </c>
      <c r="F733" s="37">
        <v>693163890</v>
      </c>
      <c r="G733" s="37">
        <v>2028998396</v>
      </c>
      <c r="H733" s="37">
        <v>0</v>
      </c>
      <c r="I733" s="55">
        <f t="shared" si="32"/>
        <v>3150507479</v>
      </c>
      <c r="J733" s="54">
        <v>-8884</v>
      </c>
      <c r="K733" s="56">
        <f t="shared" si="34"/>
        <v>3150498595</v>
      </c>
      <c r="L733" s="37">
        <v>464155</v>
      </c>
      <c r="M733" s="69" t="s">
        <v>735</v>
      </c>
      <c r="N733" t="s">
        <v>708</v>
      </c>
      <c r="O733" s="38" t="str">
        <f>IF([1]totrevprm!O734="","",[1]totrevprm!O734)</f>
        <v/>
      </c>
      <c r="T733" s="68"/>
      <c r="V733" s="38"/>
      <c r="W733" s="58"/>
      <c r="X733" s="58"/>
      <c r="Y733" s="58"/>
      <c r="Z733" s="58"/>
    </row>
    <row r="734" spans="1:26">
      <c r="A734" s="50" t="s">
        <v>44</v>
      </c>
      <c r="B734" s="51" t="s">
        <v>774</v>
      </c>
      <c r="C734" s="52"/>
      <c r="D734" s="53">
        <v>2013</v>
      </c>
      <c r="E734" s="37">
        <v>430399020</v>
      </c>
      <c r="F734" s="37">
        <v>617619418</v>
      </c>
      <c r="G734" s="37">
        <v>2012988030</v>
      </c>
      <c r="H734" s="37">
        <v>0</v>
      </c>
      <c r="I734" s="55">
        <f t="shared" si="32"/>
        <v>3061006468</v>
      </c>
      <c r="J734" s="54">
        <v>-2</v>
      </c>
      <c r="K734" s="56">
        <f t="shared" si="34"/>
        <v>3061006466</v>
      </c>
      <c r="L734" s="37">
        <v>361903</v>
      </c>
      <c r="M734" s="69" t="s">
        <v>735</v>
      </c>
      <c r="N734" t="s">
        <v>708</v>
      </c>
      <c r="O734" s="38" t="str">
        <f>IF([1]totrevprm!O735="","",[1]totrevprm!O735)</f>
        <v/>
      </c>
      <c r="T734" s="68"/>
      <c r="V734" s="38"/>
      <c r="W734" s="58"/>
      <c r="X734" s="58"/>
      <c r="Y734" s="58"/>
      <c r="Z734" s="58"/>
    </row>
    <row r="735" spans="1:26">
      <c r="A735" s="50" t="s">
        <v>44</v>
      </c>
      <c r="B735" s="51" t="s">
        <v>774</v>
      </c>
      <c r="C735" s="52"/>
      <c r="D735" s="53">
        <v>2014</v>
      </c>
      <c r="E735" s="37">
        <v>444523134</v>
      </c>
      <c r="F735" s="37">
        <v>691538364</v>
      </c>
      <c r="G735" s="37">
        <v>1501994698.0699999</v>
      </c>
      <c r="H735" s="37">
        <v>0</v>
      </c>
      <c r="I735" s="55">
        <f t="shared" si="32"/>
        <v>2638056196.0699997</v>
      </c>
      <c r="J735" s="54">
        <v>-47</v>
      </c>
      <c r="K735" s="56">
        <f t="shared" si="34"/>
        <v>2638056149.0699997</v>
      </c>
      <c r="L735" s="37">
        <v>524418</v>
      </c>
      <c r="M735" s="69" t="s">
        <v>735</v>
      </c>
      <c r="N735" t="s">
        <v>708</v>
      </c>
      <c r="O735" s="38" t="str">
        <f>IF([1]totrevprm!O736="","",[1]totrevprm!O736)</f>
        <v/>
      </c>
      <c r="T735" s="68"/>
      <c r="V735" s="38"/>
      <c r="W735" s="58"/>
      <c r="X735" s="58"/>
      <c r="Y735" s="58"/>
      <c r="Z735" s="58"/>
    </row>
    <row r="736" spans="1:26">
      <c r="A736" s="50" t="s">
        <v>44</v>
      </c>
      <c r="B736" s="51" t="s">
        <v>774</v>
      </c>
      <c r="C736" s="52"/>
      <c r="D736" s="53">
        <v>2015</v>
      </c>
      <c r="E736" s="37">
        <v>478624619</v>
      </c>
      <c r="F736" s="37">
        <v>792866083</v>
      </c>
      <c r="G736" s="37">
        <v>1467631221</v>
      </c>
      <c r="H736" s="37">
        <v>0</v>
      </c>
      <c r="I736" s="55">
        <f t="shared" ref="I736:I799" si="35">SUM(E736:H736)</f>
        <v>2739121923</v>
      </c>
      <c r="J736" s="54">
        <v>-4</v>
      </c>
      <c r="K736" s="56">
        <f t="shared" si="34"/>
        <v>2739121919</v>
      </c>
      <c r="L736" s="37">
        <v>550952</v>
      </c>
      <c r="M736" s="69" t="s">
        <v>735</v>
      </c>
      <c r="N736" t="s">
        <v>708</v>
      </c>
      <c r="O736" s="38" t="str">
        <f>IF([1]totrevprm!O737="","",[1]totrevprm!O737)</f>
        <v/>
      </c>
      <c r="P736" s="35">
        <v>107640506.82500361</v>
      </c>
      <c r="Q736" s="35">
        <v>58576963.827462688</v>
      </c>
      <c r="T736" s="68"/>
      <c r="V736" s="38"/>
      <c r="W736" s="58"/>
      <c r="X736" s="58"/>
      <c r="Y736" s="58"/>
      <c r="Z736" s="58"/>
    </row>
    <row r="737" spans="1:26">
      <c r="A737" s="50" t="s">
        <v>44</v>
      </c>
      <c r="B737" s="51" t="s">
        <v>774</v>
      </c>
      <c r="C737" s="52"/>
      <c r="D737" s="53">
        <v>2016</v>
      </c>
      <c r="E737" s="37">
        <v>455348331</v>
      </c>
      <c r="F737" s="37">
        <v>792110527</v>
      </c>
      <c r="G737" s="37">
        <v>1572688885</v>
      </c>
      <c r="H737" s="37">
        <v>0</v>
      </c>
      <c r="I737" s="55">
        <f t="shared" si="35"/>
        <v>2820147743</v>
      </c>
      <c r="J737" s="54">
        <v>-702</v>
      </c>
      <c r="K737" s="56">
        <f t="shared" si="34"/>
        <v>2820147041</v>
      </c>
      <c r="L737" s="37">
        <v>10757658</v>
      </c>
      <c r="M737" s="69" t="s">
        <v>735</v>
      </c>
      <c r="N737" t="s">
        <v>708</v>
      </c>
      <c r="O737" s="38" t="str">
        <f>IF([1]totrevprm!O738="","",[1]totrevprm!O738)</f>
        <v/>
      </c>
      <c r="P737" s="35">
        <v>114239008.27981886</v>
      </c>
      <c r="Q737" s="35">
        <v>58577520.630000003</v>
      </c>
      <c r="T737" s="68"/>
      <c r="V737" s="38"/>
      <c r="W737" s="58"/>
      <c r="X737" s="58"/>
      <c r="Y737" s="58"/>
      <c r="Z737" s="58"/>
    </row>
    <row r="738" spans="1:26">
      <c r="A738" s="50" t="s">
        <v>44</v>
      </c>
      <c r="B738" s="51" t="s">
        <v>774</v>
      </c>
      <c r="C738" s="52"/>
      <c r="D738" s="53">
        <v>2017</v>
      </c>
      <c r="E738" s="37">
        <v>445279009</v>
      </c>
      <c r="F738" s="37">
        <v>892960126</v>
      </c>
      <c r="G738" s="37">
        <v>1595448016</v>
      </c>
      <c r="H738" s="37">
        <v>0</v>
      </c>
      <c r="I738" s="55">
        <f t="shared" si="35"/>
        <v>2933687151</v>
      </c>
      <c r="J738" s="54">
        <v>-18050</v>
      </c>
      <c r="K738" s="56">
        <f t="shared" si="34"/>
        <v>2933669101</v>
      </c>
      <c r="L738" s="60">
        <v>6757809</v>
      </c>
      <c r="M738" s="69" t="s">
        <v>765</v>
      </c>
      <c r="N738" t="s">
        <v>708</v>
      </c>
      <c r="O738" s="38" t="str">
        <f>IF([1]totrevprm!O739="","",[1]totrevprm!O739)</f>
        <v/>
      </c>
      <c r="P738" s="35">
        <v>115087098.99721651</v>
      </c>
      <c r="Q738" s="35">
        <v>58295468.490000002</v>
      </c>
      <c r="R738" s="36"/>
      <c r="S738" s="36">
        <v>314294455</v>
      </c>
      <c r="T738" s="36" t="s">
        <v>717</v>
      </c>
      <c r="U738" s="36">
        <v>6</v>
      </c>
      <c r="V738" s="38"/>
      <c r="W738" s="58"/>
      <c r="X738" s="58"/>
      <c r="Y738" s="60">
        <v>1909742471</v>
      </c>
      <c r="Z738" s="58"/>
    </row>
    <row r="739" spans="1:26">
      <c r="A739" s="50" t="s">
        <v>44</v>
      </c>
      <c r="B739" s="51" t="s">
        <v>774</v>
      </c>
      <c r="C739" s="52"/>
      <c r="D739" s="53">
        <v>2018</v>
      </c>
      <c r="E739" s="37">
        <v>460406887</v>
      </c>
      <c r="F739" s="37">
        <v>1050266144</v>
      </c>
      <c r="G739" s="37">
        <v>1962857827.77</v>
      </c>
      <c r="H739" s="35">
        <v>0</v>
      </c>
      <c r="I739" s="55">
        <f t="shared" si="35"/>
        <v>3473530858.77</v>
      </c>
      <c r="J739" s="81">
        <v>-66951</v>
      </c>
      <c r="K739" s="56">
        <f t="shared" si="34"/>
        <v>3473463907.77</v>
      </c>
      <c r="L739" s="60">
        <v>5741742</v>
      </c>
      <c r="M739" s="69" t="s">
        <v>736</v>
      </c>
      <c r="N739" t="s">
        <v>708</v>
      </c>
      <c r="O739" s="38" t="str">
        <f>IF([1]totrevprm!O740="","",[1]totrevprm!O740)</f>
        <v>Yes</v>
      </c>
      <c r="P739" s="35">
        <v>111566560.40953422</v>
      </c>
      <c r="Q739" s="35">
        <v>56769286.369999997</v>
      </c>
      <c r="R739" s="36"/>
      <c r="V739" s="38"/>
      <c r="W739" s="58"/>
      <c r="X739" s="58"/>
      <c r="Y739" s="60">
        <v>1909742471</v>
      </c>
      <c r="Z739" s="58"/>
    </row>
    <row r="740" spans="1:26">
      <c r="A740" s="50" t="s">
        <v>44</v>
      </c>
      <c r="B740" s="51" t="s">
        <v>774</v>
      </c>
      <c r="C740" s="52"/>
      <c r="D740" s="53">
        <v>2019</v>
      </c>
      <c r="E740" s="37">
        <v>465683963</v>
      </c>
      <c r="F740" s="37">
        <v>1045022527</v>
      </c>
      <c r="G740" s="37">
        <v>2097043194.0999999</v>
      </c>
      <c r="H740" s="35">
        <v>0</v>
      </c>
      <c r="I740" s="55">
        <f t="shared" si="35"/>
        <v>3607749684.0999999</v>
      </c>
      <c r="J740" s="81">
        <v>-3880778</v>
      </c>
      <c r="K740" s="56">
        <f t="shared" si="34"/>
        <v>3603868906.0999999</v>
      </c>
      <c r="L740" s="60">
        <v>11875788</v>
      </c>
      <c r="M740" s="69" t="s">
        <v>738</v>
      </c>
      <c r="N740" t="s">
        <v>708</v>
      </c>
      <c r="O740" s="38" t="str">
        <f>IF([1]totrevprm!O741="","",[1]totrevprm!O741)</f>
        <v/>
      </c>
      <c r="P740" s="35">
        <v>118196683.82799701</v>
      </c>
      <c r="Q740" s="35">
        <v>55842334.84483923</v>
      </c>
      <c r="R740" s="36"/>
      <c r="V740" s="38"/>
      <c r="W740" s="58"/>
      <c r="X740" s="58"/>
      <c r="Y740" s="58"/>
      <c r="Z740" s="58"/>
    </row>
    <row r="741" spans="1:26">
      <c r="A741" s="50" t="s">
        <v>44</v>
      </c>
      <c r="B741" s="51" t="s">
        <v>774</v>
      </c>
      <c r="C741" s="52"/>
      <c r="D741" s="53">
        <v>2020</v>
      </c>
      <c r="E741" s="37">
        <v>459120238</v>
      </c>
      <c r="F741" s="37">
        <v>903002039</v>
      </c>
      <c r="G741" s="37">
        <v>2066777968</v>
      </c>
      <c r="H741" s="35">
        <v>0</v>
      </c>
      <c r="I741" s="55">
        <f t="shared" si="35"/>
        <v>3428900245</v>
      </c>
      <c r="J741" s="81">
        <v>-317247</v>
      </c>
      <c r="K741" s="56">
        <f t="shared" si="34"/>
        <v>3428582998</v>
      </c>
      <c r="L741" s="60">
        <v>9720100</v>
      </c>
      <c r="M741" s="69" t="s">
        <v>738</v>
      </c>
      <c r="N741" t="s">
        <v>708</v>
      </c>
      <c r="O741" s="38" t="str">
        <f>IF([1]totrevprm!O742="","",[1]totrevprm!O742)</f>
        <v/>
      </c>
      <c r="P741" s="35">
        <v>121302506</v>
      </c>
      <c r="Q741" s="35">
        <v>54722913</v>
      </c>
      <c r="R741" s="36"/>
      <c r="V741" s="38"/>
      <c r="W741" s="58"/>
      <c r="X741" s="58"/>
      <c r="Y741" s="58"/>
      <c r="Z741" s="58"/>
    </row>
    <row r="742" spans="1:26">
      <c r="A742" s="50" t="s">
        <v>44</v>
      </c>
      <c r="B742" s="51" t="s">
        <v>774</v>
      </c>
      <c r="C742" s="52"/>
      <c r="D742" s="53">
        <v>2021</v>
      </c>
      <c r="E742" s="37">
        <v>491682072</v>
      </c>
      <c r="F742" s="37">
        <v>1321483044</v>
      </c>
      <c r="G742" s="37">
        <v>2048489176</v>
      </c>
      <c r="H742" s="35">
        <v>0</v>
      </c>
      <c r="I742" s="55">
        <f t="shared" si="35"/>
        <v>3861654292</v>
      </c>
      <c r="J742" s="82">
        <v>-5</v>
      </c>
      <c r="K742" s="56">
        <f t="shared" si="34"/>
        <v>3861654287</v>
      </c>
      <c r="L742" s="37">
        <v>0</v>
      </c>
      <c r="M742" s="69" t="s">
        <v>739</v>
      </c>
      <c r="N742" t="s">
        <v>708</v>
      </c>
      <c r="O742" s="38" t="s">
        <v>708</v>
      </c>
      <c r="P742" s="35">
        <v>106761280.31</v>
      </c>
      <c r="Q742" s="35">
        <v>56830472</v>
      </c>
      <c r="R742" s="36"/>
      <c r="V742" s="38"/>
      <c r="W742" s="58"/>
      <c r="X742" s="58"/>
      <c r="Y742" s="58"/>
      <c r="Z742" s="58"/>
    </row>
    <row r="743" spans="1:26">
      <c r="A743" s="50" t="s">
        <v>44</v>
      </c>
      <c r="B743" s="51" t="s">
        <v>774</v>
      </c>
      <c r="C743" s="52"/>
      <c r="D743" s="53">
        <v>2022</v>
      </c>
      <c r="E743" s="37">
        <v>526201177</v>
      </c>
      <c r="F743" s="37">
        <v>1374243392</v>
      </c>
      <c r="G743" s="37">
        <v>2092786654</v>
      </c>
      <c r="H743" s="35">
        <v>0</v>
      </c>
      <c r="I743" s="55">
        <f t="shared" si="35"/>
        <v>3993231223</v>
      </c>
      <c r="J743" s="82">
        <v>-26545</v>
      </c>
      <c r="K743" s="56">
        <f t="shared" si="34"/>
        <v>3993204678</v>
      </c>
      <c r="L743" s="37">
        <v>0</v>
      </c>
      <c r="M743" s="69" t="s">
        <v>739</v>
      </c>
      <c r="N743" t="s">
        <v>708</v>
      </c>
      <c r="O743" s="38" t="s">
        <v>708</v>
      </c>
      <c r="P743" s="60">
        <v>189599206</v>
      </c>
      <c r="Q743" s="60">
        <v>56553915</v>
      </c>
    </row>
    <row r="744" spans="1:26">
      <c r="A744" s="50" t="s">
        <v>44</v>
      </c>
      <c r="B744" s="51" t="s">
        <v>774</v>
      </c>
      <c r="C744" s="52"/>
      <c r="D744" s="53">
        <v>2023</v>
      </c>
      <c r="E744" s="37">
        <v>511065827</v>
      </c>
      <c r="F744" s="37">
        <v>1723182814.1688001</v>
      </c>
      <c r="G744" s="37">
        <v>2131449635.71</v>
      </c>
      <c r="H744" s="37">
        <v>0</v>
      </c>
      <c r="I744" s="55">
        <f>SUM(E744:H744)</f>
        <v>4365698276.8788004</v>
      </c>
      <c r="J744" s="60">
        <v>-37984</v>
      </c>
      <c r="K744" s="56">
        <f>SUM(I744:J744)</f>
        <v>4365660292.8788004</v>
      </c>
      <c r="L744" s="37">
        <v>0</v>
      </c>
      <c r="M744" s="69" t="s">
        <v>739</v>
      </c>
      <c r="O744" s="38"/>
      <c r="P744" s="60">
        <v>124638619.54000001</v>
      </c>
      <c r="Q744" s="60">
        <v>57075385</v>
      </c>
    </row>
    <row r="745" spans="1:26">
      <c r="A745" s="50"/>
      <c r="B745" s="52"/>
      <c r="C745" s="52"/>
      <c r="E745" s="54"/>
      <c r="F745" s="54"/>
      <c r="G745" s="54"/>
      <c r="H745" s="54"/>
      <c r="I745" s="55"/>
      <c r="K745" s="65"/>
      <c r="L745" s="37"/>
      <c r="M745" s="69"/>
      <c r="O745" s="38"/>
    </row>
    <row r="746" spans="1:26">
      <c r="A746" s="50" t="s">
        <v>45</v>
      </c>
      <c r="B746" s="51" t="s">
        <v>775</v>
      </c>
      <c r="C746" s="52" t="s">
        <v>730</v>
      </c>
      <c r="D746" s="53">
        <v>1988</v>
      </c>
      <c r="E746" s="54">
        <v>1100513137</v>
      </c>
      <c r="F746" s="54">
        <v>733179846</v>
      </c>
      <c r="G746" s="54">
        <v>1872016098</v>
      </c>
      <c r="H746" s="54">
        <v>0</v>
      </c>
      <c r="I746" s="55">
        <f t="shared" si="35"/>
        <v>3705709081</v>
      </c>
      <c r="J746" s="54">
        <v>-5122781</v>
      </c>
      <c r="K746" s="56">
        <f>SUM(I746:J746)</f>
        <v>3700586300</v>
      </c>
      <c r="L746" s="37">
        <v>0</v>
      </c>
      <c r="M746" s="69"/>
      <c r="O746" s="38" t="str">
        <f>IF([1]totrevprm!O747="","",[1]totrevprm!O747)</f>
        <v/>
      </c>
    </row>
    <row r="747" spans="1:26">
      <c r="A747" s="50" t="s">
        <v>45</v>
      </c>
      <c r="B747" s="51" t="s">
        <v>775</v>
      </c>
      <c r="C747" s="52" t="s">
        <v>731</v>
      </c>
      <c r="D747" s="53">
        <v>1989</v>
      </c>
      <c r="E747" s="54">
        <v>1145229975</v>
      </c>
      <c r="F747" s="54">
        <v>921665068</v>
      </c>
      <c r="G747" s="54">
        <v>1988481174</v>
      </c>
      <c r="H747" s="54">
        <v>0</v>
      </c>
      <c r="I747" s="55">
        <f t="shared" si="35"/>
        <v>4055376217</v>
      </c>
      <c r="J747" s="54">
        <v>-7209284</v>
      </c>
      <c r="K747" s="56">
        <f t="shared" ref="K747:K781" si="36">SUM(I747:J747)</f>
        <v>4048166933</v>
      </c>
      <c r="L747" s="37">
        <v>0</v>
      </c>
      <c r="M747" s="69"/>
      <c r="O747" s="38" t="str">
        <f>IF([1]totrevprm!O748="","",[1]totrevprm!O748)</f>
        <v/>
      </c>
    </row>
    <row r="748" spans="1:26">
      <c r="A748" s="50" t="s">
        <v>45</v>
      </c>
      <c r="B748" s="51" t="s">
        <v>775</v>
      </c>
      <c r="C748" s="52" t="s">
        <v>731</v>
      </c>
      <c r="D748" s="53">
        <v>1990</v>
      </c>
      <c r="E748" s="54">
        <v>1191463774</v>
      </c>
      <c r="F748" s="54">
        <v>1117302797.52</v>
      </c>
      <c r="G748" s="54">
        <v>2144409308</v>
      </c>
      <c r="H748" s="54">
        <v>0</v>
      </c>
      <c r="I748" s="55">
        <f t="shared" si="35"/>
        <v>4453175879.5200005</v>
      </c>
      <c r="J748" s="54">
        <v>-9916729</v>
      </c>
      <c r="K748" s="56">
        <f t="shared" si="36"/>
        <v>4443259150.5200005</v>
      </c>
      <c r="L748" s="37">
        <v>0</v>
      </c>
      <c r="M748" s="69"/>
      <c r="O748" s="38" t="str">
        <f>IF([1]totrevprm!O749="","",[1]totrevprm!O749)</f>
        <v/>
      </c>
    </row>
    <row r="749" spans="1:26">
      <c r="A749" s="50" t="s">
        <v>45</v>
      </c>
      <c r="B749" s="51" t="s">
        <v>775</v>
      </c>
      <c r="C749" s="52" t="s">
        <v>731</v>
      </c>
      <c r="D749" s="53">
        <v>1991</v>
      </c>
      <c r="E749" s="54">
        <v>1263365695</v>
      </c>
      <c r="F749" s="54">
        <v>1005736364</v>
      </c>
      <c r="G749" s="54">
        <v>1745723567</v>
      </c>
      <c r="H749" s="54">
        <v>0</v>
      </c>
      <c r="I749" s="55">
        <f t="shared" si="35"/>
        <v>4014825626</v>
      </c>
      <c r="J749" s="54">
        <v>-342913</v>
      </c>
      <c r="K749" s="56">
        <f t="shared" si="36"/>
        <v>4014482713</v>
      </c>
      <c r="L749" s="37">
        <v>0</v>
      </c>
      <c r="M749" s="69"/>
      <c r="O749" s="38" t="str">
        <f>IF([1]totrevprm!O750="","",[1]totrevprm!O750)</f>
        <v/>
      </c>
    </row>
    <row r="750" spans="1:26">
      <c r="A750" s="50" t="s">
        <v>45</v>
      </c>
      <c r="B750" s="51" t="s">
        <v>775</v>
      </c>
      <c r="C750" s="52" t="s">
        <v>731</v>
      </c>
      <c r="D750" s="53">
        <v>1992</v>
      </c>
      <c r="E750" s="54">
        <v>1358123602</v>
      </c>
      <c r="F750" s="54">
        <v>1369609901.6400001</v>
      </c>
      <c r="G750" s="54">
        <v>1635054709</v>
      </c>
      <c r="H750" s="54">
        <v>0</v>
      </c>
      <c r="I750" s="55">
        <f t="shared" si="35"/>
        <v>4362788212.6400003</v>
      </c>
      <c r="J750" s="54">
        <v>-579531</v>
      </c>
      <c r="K750" s="56">
        <f t="shared" si="36"/>
        <v>4362208681.6400003</v>
      </c>
      <c r="L750" s="37">
        <v>0</v>
      </c>
      <c r="M750" s="69"/>
      <c r="O750" s="38" t="str">
        <f>IF([1]totrevprm!O751="","",[1]totrevprm!O751)</f>
        <v/>
      </c>
    </row>
    <row r="751" spans="1:26">
      <c r="A751" s="50" t="s">
        <v>45</v>
      </c>
      <c r="B751" s="51" t="s">
        <v>775</v>
      </c>
      <c r="C751" s="52" t="s">
        <v>731</v>
      </c>
      <c r="D751" s="53">
        <v>1993</v>
      </c>
      <c r="E751" s="54">
        <v>1358348908</v>
      </c>
      <c r="F751" s="54">
        <v>1012867979</v>
      </c>
      <c r="G751" s="54">
        <v>1659545557</v>
      </c>
      <c r="H751" s="54">
        <v>0</v>
      </c>
      <c r="I751" s="55">
        <f t="shared" si="35"/>
        <v>4030762444</v>
      </c>
      <c r="J751" s="54">
        <v>-29592</v>
      </c>
      <c r="K751" s="56">
        <f t="shared" si="36"/>
        <v>4030732852</v>
      </c>
      <c r="L751" s="37">
        <v>0</v>
      </c>
      <c r="M751" s="69"/>
      <c r="O751" s="38" t="str">
        <f>IF([1]totrevprm!O752="","",[1]totrevprm!O752)</f>
        <v/>
      </c>
    </row>
    <row r="752" spans="1:26">
      <c r="A752" s="50" t="s">
        <v>45</v>
      </c>
      <c r="B752" s="51" t="s">
        <v>775</v>
      </c>
      <c r="C752" s="52" t="s">
        <v>731</v>
      </c>
      <c r="D752" s="53">
        <v>1994</v>
      </c>
      <c r="E752" s="54">
        <v>1405794797</v>
      </c>
      <c r="F752" s="54">
        <v>1228124274</v>
      </c>
      <c r="G752" s="54">
        <v>1638518200</v>
      </c>
      <c r="H752" s="54">
        <v>0</v>
      </c>
      <c r="I752" s="55">
        <f t="shared" si="35"/>
        <v>4272437271</v>
      </c>
      <c r="J752" s="54">
        <v>-218330181</v>
      </c>
      <c r="K752" s="56">
        <f t="shared" si="36"/>
        <v>4054107090</v>
      </c>
      <c r="L752" s="37">
        <v>0</v>
      </c>
      <c r="M752" s="69"/>
      <c r="O752" s="38" t="str">
        <f>IF([1]totrevprm!O753="","",[1]totrevprm!O753)</f>
        <v/>
      </c>
    </row>
    <row r="753" spans="1:26">
      <c r="A753" s="50" t="s">
        <v>45</v>
      </c>
      <c r="B753" s="51" t="s">
        <v>775</v>
      </c>
      <c r="C753" s="52" t="s">
        <v>731</v>
      </c>
      <c r="D753" s="53">
        <v>1995</v>
      </c>
      <c r="E753" s="54">
        <v>1517772500</v>
      </c>
      <c r="F753" s="54">
        <v>1209099674</v>
      </c>
      <c r="G753" s="54">
        <v>1645912453</v>
      </c>
      <c r="H753" s="54">
        <v>0</v>
      </c>
      <c r="I753" s="55">
        <f t="shared" si="35"/>
        <v>4372784627</v>
      </c>
      <c r="J753" s="54">
        <v>-14612269</v>
      </c>
      <c r="K753" s="56">
        <f t="shared" si="36"/>
        <v>4358172358</v>
      </c>
      <c r="L753" s="37">
        <v>0</v>
      </c>
      <c r="M753" s="69"/>
      <c r="O753" s="38" t="str">
        <f>IF([1]totrevprm!O754="","",[1]totrevprm!O754)</f>
        <v/>
      </c>
    </row>
    <row r="754" spans="1:26">
      <c r="A754" s="50" t="s">
        <v>45</v>
      </c>
      <c r="B754" s="51" t="s">
        <v>775</v>
      </c>
      <c r="C754" s="52" t="s">
        <v>731</v>
      </c>
      <c r="D754" s="53">
        <v>1996</v>
      </c>
      <c r="E754" s="54">
        <v>1632127857</v>
      </c>
      <c r="F754" s="54">
        <v>1080298182</v>
      </c>
      <c r="G754" s="54">
        <v>1637026483</v>
      </c>
      <c r="H754" s="54">
        <v>0</v>
      </c>
      <c r="I754" s="55">
        <f t="shared" si="35"/>
        <v>4349452522</v>
      </c>
      <c r="J754" s="54">
        <v>-7535</v>
      </c>
      <c r="K754" s="56">
        <f t="shared" si="36"/>
        <v>4349444987</v>
      </c>
      <c r="L754" s="37">
        <v>0</v>
      </c>
      <c r="M754" s="69"/>
      <c r="O754" s="38" t="str">
        <f>IF([1]totrevprm!O755="","",[1]totrevprm!O755)</f>
        <v/>
      </c>
    </row>
    <row r="755" spans="1:26">
      <c r="A755" s="50" t="s">
        <v>45</v>
      </c>
      <c r="B755" s="51" t="s">
        <v>775</v>
      </c>
      <c r="C755" s="52" t="s">
        <v>731</v>
      </c>
      <c r="D755" s="53">
        <v>1997</v>
      </c>
      <c r="E755" s="54">
        <v>1588575292</v>
      </c>
      <c r="F755" s="54">
        <v>1024473490</v>
      </c>
      <c r="G755" s="54">
        <v>1734491700</v>
      </c>
      <c r="H755" s="54">
        <v>0</v>
      </c>
      <c r="I755" s="55">
        <f t="shared" si="35"/>
        <v>4347540482</v>
      </c>
      <c r="J755" s="54">
        <v>-645990</v>
      </c>
      <c r="K755" s="56">
        <f t="shared" si="36"/>
        <v>4346894492</v>
      </c>
      <c r="L755" s="37">
        <v>0</v>
      </c>
      <c r="M755" s="69"/>
      <c r="O755" s="38" t="str">
        <f>IF([1]totrevprm!O756="","",[1]totrevprm!O756)</f>
        <v/>
      </c>
    </row>
    <row r="756" spans="1:26">
      <c r="A756" s="50" t="s">
        <v>45</v>
      </c>
      <c r="B756" s="51" t="s">
        <v>775</v>
      </c>
      <c r="C756" s="52" t="s">
        <v>731</v>
      </c>
      <c r="D756" s="53">
        <v>1998</v>
      </c>
      <c r="E756" s="54">
        <v>1688281538</v>
      </c>
      <c r="F756" s="54">
        <v>1053738638</v>
      </c>
      <c r="G756" s="54">
        <v>1795521762</v>
      </c>
      <c r="H756" s="54">
        <v>0</v>
      </c>
      <c r="I756" s="55">
        <f t="shared" si="35"/>
        <v>4537541938</v>
      </c>
      <c r="J756" s="54">
        <v>-362302530</v>
      </c>
      <c r="K756" s="56">
        <f t="shared" si="36"/>
        <v>4175239408</v>
      </c>
      <c r="L756" s="37">
        <v>0</v>
      </c>
      <c r="M756" s="69"/>
      <c r="O756" s="38" t="str">
        <f>IF([1]totrevprm!O757="","",[1]totrevprm!O757)</f>
        <v/>
      </c>
    </row>
    <row r="757" spans="1:26">
      <c r="A757" s="50" t="s">
        <v>45</v>
      </c>
      <c r="B757" s="51" t="s">
        <v>775</v>
      </c>
      <c r="C757" s="52" t="s">
        <v>731</v>
      </c>
      <c r="D757" s="53">
        <v>1999</v>
      </c>
      <c r="E757" s="54">
        <v>1552397622</v>
      </c>
      <c r="F757" s="54">
        <v>1349985708</v>
      </c>
      <c r="G757" s="54">
        <v>1935957228</v>
      </c>
      <c r="H757" s="54">
        <v>0</v>
      </c>
      <c r="I757" s="55">
        <f t="shared" si="35"/>
        <v>4838340558</v>
      </c>
      <c r="J757" s="54">
        <v>-16146</v>
      </c>
      <c r="K757" s="56">
        <f t="shared" si="36"/>
        <v>4838324412</v>
      </c>
      <c r="L757" s="37">
        <v>0</v>
      </c>
      <c r="M757" s="69"/>
      <c r="O757" s="38" t="str">
        <f>IF([1]totrevprm!O758="","",[1]totrevprm!O758)</f>
        <v/>
      </c>
    </row>
    <row r="758" spans="1:26">
      <c r="A758" s="50" t="s">
        <v>45</v>
      </c>
      <c r="B758" s="51" t="s">
        <v>775</v>
      </c>
      <c r="C758" s="52" t="s">
        <v>731</v>
      </c>
      <c r="D758" s="53">
        <v>2000</v>
      </c>
      <c r="E758" s="54">
        <v>1718273738</v>
      </c>
      <c r="F758" s="54">
        <v>1438550088</v>
      </c>
      <c r="G758" s="54">
        <v>2130025155</v>
      </c>
      <c r="H758" s="54">
        <v>0</v>
      </c>
      <c r="I758" s="55">
        <f t="shared" si="35"/>
        <v>5286848981</v>
      </c>
      <c r="J758" s="54">
        <v>-1478265</v>
      </c>
      <c r="K758" s="56">
        <f t="shared" si="36"/>
        <v>5285370716</v>
      </c>
      <c r="L758" s="37">
        <v>0</v>
      </c>
      <c r="M758" s="69"/>
      <c r="O758" s="38" t="str">
        <f>IF([1]totrevprm!O759="","",[1]totrevprm!O759)</f>
        <v/>
      </c>
      <c r="V758" s="38" t="s">
        <v>775</v>
      </c>
      <c r="W758" s="58">
        <v>345592</v>
      </c>
      <c r="X758" s="58">
        <v>30748068</v>
      </c>
      <c r="Y758" s="58">
        <v>19481425</v>
      </c>
      <c r="Z758" s="58">
        <v>0</v>
      </c>
    </row>
    <row r="759" spans="1:26">
      <c r="A759" s="50" t="s">
        <v>45</v>
      </c>
      <c r="B759" s="51" t="s">
        <v>775</v>
      </c>
      <c r="C759" s="52" t="s">
        <v>731</v>
      </c>
      <c r="D759" s="53">
        <v>2001</v>
      </c>
      <c r="E759" s="54">
        <v>1703241352</v>
      </c>
      <c r="F759" s="54">
        <v>2078864778.2</v>
      </c>
      <c r="G759" s="54">
        <v>2254660723</v>
      </c>
      <c r="H759" s="54">
        <v>0</v>
      </c>
      <c r="I759" s="55">
        <f t="shared" si="35"/>
        <v>6036766853.1999998</v>
      </c>
      <c r="J759" s="54">
        <v>-440162</v>
      </c>
      <c r="K759" s="56">
        <f t="shared" si="36"/>
        <v>6036326691.1999998</v>
      </c>
      <c r="L759" s="37">
        <v>0</v>
      </c>
      <c r="M759" s="69"/>
      <c r="O759" s="38" t="str">
        <f>IF([1]totrevprm!O760="","",[1]totrevprm!O760)</f>
        <v/>
      </c>
      <c r="V759" s="38"/>
      <c r="W759" s="58"/>
      <c r="X759" s="58"/>
      <c r="Y759" s="58"/>
      <c r="Z759" s="58"/>
    </row>
    <row r="760" spans="1:26">
      <c r="A760" s="50" t="s">
        <v>45</v>
      </c>
      <c r="B760" s="51" t="s">
        <v>775</v>
      </c>
      <c r="C760" s="52" t="s">
        <v>731</v>
      </c>
      <c r="D760" s="53">
        <v>2002</v>
      </c>
      <c r="E760" s="54">
        <v>1744145980</v>
      </c>
      <c r="F760" s="54">
        <v>2629263391</v>
      </c>
      <c r="G760" s="54">
        <v>2378845571</v>
      </c>
      <c r="H760" s="54">
        <v>0</v>
      </c>
      <c r="I760" s="55">
        <f t="shared" si="35"/>
        <v>6752254942</v>
      </c>
      <c r="J760" s="54">
        <v>-136250</v>
      </c>
      <c r="K760" s="56">
        <f t="shared" si="36"/>
        <v>6752118692</v>
      </c>
      <c r="L760" s="37">
        <v>0</v>
      </c>
      <c r="M760" s="69"/>
      <c r="O760" s="38" t="str">
        <f>IF([1]totrevprm!O761="","",[1]totrevprm!O761)</f>
        <v/>
      </c>
      <c r="V760" s="38"/>
      <c r="W760" s="58"/>
      <c r="X760" s="58"/>
      <c r="Y760" s="58"/>
      <c r="Z760" s="58"/>
    </row>
    <row r="761" spans="1:26">
      <c r="A761" s="50" t="s">
        <v>45</v>
      </c>
      <c r="B761" s="51" t="s">
        <v>775</v>
      </c>
      <c r="C761" s="52" t="s">
        <v>731</v>
      </c>
      <c r="D761" s="53">
        <v>2003</v>
      </c>
      <c r="E761" s="59">
        <v>1870965444</v>
      </c>
      <c r="F761" s="59">
        <v>3097895350</v>
      </c>
      <c r="G761" s="59">
        <v>2439223032</v>
      </c>
      <c r="H761" s="54">
        <v>0</v>
      </c>
      <c r="I761" s="55">
        <f t="shared" si="35"/>
        <v>7408083826</v>
      </c>
      <c r="J761" s="54">
        <v>-981</v>
      </c>
      <c r="K761" s="56">
        <f t="shared" si="36"/>
        <v>7408082845</v>
      </c>
      <c r="L761" s="37">
        <v>0</v>
      </c>
      <c r="M761" s="69"/>
      <c r="O761" s="38" t="str">
        <f>IF([1]totrevprm!O762="","",[1]totrevprm!O762)</f>
        <v/>
      </c>
      <c r="V761" s="38"/>
      <c r="W761" s="58"/>
      <c r="X761" s="58"/>
      <c r="Y761" s="58"/>
      <c r="Z761" s="58"/>
    </row>
    <row r="762" spans="1:26">
      <c r="A762" s="50" t="s">
        <v>45</v>
      </c>
      <c r="B762" s="51" t="s">
        <v>775</v>
      </c>
      <c r="C762" s="52" t="s">
        <v>731</v>
      </c>
      <c r="D762" s="53">
        <v>2004</v>
      </c>
      <c r="E762" s="59">
        <v>1954175819</v>
      </c>
      <c r="F762" s="59">
        <v>2228188227</v>
      </c>
      <c r="G762" s="59">
        <v>2492018708</v>
      </c>
      <c r="H762" s="54">
        <v>0</v>
      </c>
      <c r="I762" s="55">
        <f t="shared" si="35"/>
        <v>6674382754</v>
      </c>
      <c r="J762" s="54">
        <v>-5401814</v>
      </c>
      <c r="K762" s="56">
        <f t="shared" si="36"/>
        <v>6668980940</v>
      </c>
      <c r="L762" s="37">
        <v>0</v>
      </c>
      <c r="M762" s="69"/>
      <c r="O762" s="38" t="str">
        <f>IF([1]totrevprm!O763="","",[1]totrevprm!O763)</f>
        <v/>
      </c>
      <c r="V762" s="38"/>
      <c r="W762" s="58"/>
      <c r="X762" s="58"/>
      <c r="Y762" s="58"/>
      <c r="Z762" s="58"/>
    </row>
    <row r="763" spans="1:26">
      <c r="A763" s="50" t="s">
        <v>45</v>
      </c>
      <c r="B763" s="51" t="s">
        <v>775</v>
      </c>
      <c r="C763" s="52"/>
      <c r="D763" s="53">
        <v>2005</v>
      </c>
      <c r="E763" s="59">
        <v>1965492865</v>
      </c>
      <c r="F763" s="59">
        <v>2274841052</v>
      </c>
      <c r="G763" s="59">
        <v>2688549703.5900002</v>
      </c>
      <c r="H763" s="54">
        <v>0</v>
      </c>
      <c r="I763" s="55">
        <f t="shared" si="35"/>
        <v>6928883620.5900002</v>
      </c>
      <c r="J763" s="54">
        <v>-431838</v>
      </c>
      <c r="K763" s="56">
        <f t="shared" si="36"/>
        <v>6928451782.5900002</v>
      </c>
      <c r="L763" s="37">
        <v>0</v>
      </c>
      <c r="M763" s="69"/>
      <c r="O763" s="38" t="str">
        <f>IF([1]totrevprm!O764="","",[1]totrevprm!O764)</f>
        <v/>
      </c>
      <c r="V763" s="38"/>
      <c r="W763" s="58"/>
      <c r="X763" s="58"/>
      <c r="Y763" s="58"/>
      <c r="Z763" s="58"/>
    </row>
    <row r="764" spans="1:26">
      <c r="A764" s="50" t="s">
        <v>45</v>
      </c>
      <c r="B764" s="51" t="s">
        <v>775</v>
      </c>
      <c r="C764" s="52"/>
      <c r="D764" s="53">
        <v>2006</v>
      </c>
      <c r="E764" s="37">
        <v>2143588207</v>
      </c>
      <c r="F764" s="37">
        <v>2123976820</v>
      </c>
      <c r="G764" s="37">
        <v>3202480666</v>
      </c>
      <c r="H764" s="37">
        <v>0</v>
      </c>
      <c r="I764" s="55">
        <f t="shared" si="35"/>
        <v>7470045693</v>
      </c>
      <c r="J764" s="54">
        <v>-7527293</v>
      </c>
      <c r="K764" s="56">
        <f t="shared" si="36"/>
        <v>7462518400</v>
      </c>
      <c r="L764" s="37">
        <v>0</v>
      </c>
      <c r="M764" s="69"/>
      <c r="O764" s="38" t="str">
        <f>IF([1]totrevprm!O765="","",[1]totrevprm!O765)</f>
        <v/>
      </c>
      <c r="V764" s="38"/>
      <c r="W764" s="58"/>
      <c r="X764" s="58"/>
      <c r="Y764" s="58"/>
      <c r="Z764" s="58"/>
    </row>
    <row r="765" spans="1:26">
      <c r="A765" s="50" t="s">
        <v>45</v>
      </c>
      <c r="B765" s="51" t="s">
        <v>775</v>
      </c>
      <c r="C765" s="52"/>
      <c r="D765" s="53">
        <v>2007</v>
      </c>
      <c r="E765" s="37">
        <v>2204212801</v>
      </c>
      <c r="F765" s="37">
        <v>2403527601</v>
      </c>
      <c r="G765" s="37">
        <v>3773154488</v>
      </c>
      <c r="H765" s="37">
        <v>0</v>
      </c>
      <c r="I765" s="55">
        <f t="shared" si="35"/>
        <v>8380894890</v>
      </c>
      <c r="J765" s="54">
        <v>-3</v>
      </c>
      <c r="K765" s="56">
        <f t="shared" si="36"/>
        <v>8380894887</v>
      </c>
      <c r="L765" s="37">
        <v>0</v>
      </c>
      <c r="M765" s="69"/>
      <c r="O765" s="38" t="str">
        <f>IF([1]totrevprm!O766="","",[1]totrevprm!O766)</f>
        <v/>
      </c>
      <c r="V765" s="38"/>
      <c r="W765" s="58"/>
      <c r="X765" s="58"/>
      <c r="Y765" s="58"/>
      <c r="Z765" s="58"/>
    </row>
    <row r="766" spans="1:26">
      <c r="A766" s="50" t="s">
        <v>45</v>
      </c>
      <c r="B766" s="51" t="s">
        <v>775</v>
      </c>
      <c r="C766" s="52"/>
      <c r="D766" s="53">
        <v>2008</v>
      </c>
      <c r="E766" s="37">
        <v>2346014021</v>
      </c>
      <c r="F766" s="37">
        <v>3374285781</v>
      </c>
      <c r="G766" s="37">
        <v>3955739445</v>
      </c>
      <c r="H766" s="37">
        <v>0</v>
      </c>
      <c r="I766" s="55">
        <f t="shared" si="35"/>
        <v>9676039247</v>
      </c>
      <c r="J766" s="54">
        <v>-5010</v>
      </c>
      <c r="K766" s="56">
        <f t="shared" si="36"/>
        <v>9676034237</v>
      </c>
      <c r="L766" s="37">
        <v>0</v>
      </c>
      <c r="M766" s="69"/>
      <c r="O766" s="38" t="str">
        <f>IF([1]totrevprm!O767="","",[1]totrevprm!O767)</f>
        <v/>
      </c>
      <c r="V766" s="38"/>
      <c r="W766" s="58"/>
      <c r="X766" s="58"/>
      <c r="Y766" s="58"/>
      <c r="Z766" s="58"/>
    </row>
    <row r="767" spans="1:26">
      <c r="A767" s="50" t="s">
        <v>45</v>
      </c>
      <c r="B767" s="51" t="s">
        <v>775</v>
      </c>
      <c r="C767" s="52"/>
      <c r="D767" s="53">
        <v>2009</v>
      </c>
      <c r="E767" s="37">
        <v>2490791657</v>
      </c>
      <c r="F767" s="37">
        <v>3523331529</v>
      </c>
      <c r="G767" s="37">
        <v>4137086391</v>
      </c>
      <c r="H767" s="37">
        <v>0</v>
      </c>
      <c r="I767" s="55">
        <f t="shared" si="35"/>
        <v>10151209577</v>
      </c>
      <c r="J767" s="54">
        <v>-2</v>
      </c>
      <c r="K767" s="56">
        <f t="shared" si="36"/>
        <v>10151209575</v>
      </c>
      <c r="L767" s="37">
        <v>0</v>
      </c>
      <c r="M767" s="69"/>
      <c r="O767" s="38" t="str">
        <f>IF([1]totrevprm!O768="","",[1]totrevprm!O768)</f>
        <v/>
      </c>
      <c r="V767" s="38"/>
      <c r="W767" s="58"/>
      <c r="X767" s="58"/>
      <c r="Y767" s="58"/>
      <c r="Z767" s="58"/>
    </row>
    <row r="768" spans="1:26">
      <c r="A768" s="50" t="s">
        <v>45</v>
      </c>
      <c r="B768" s="51" t="s">
        <v>775</v>
      </c>
      <c r="C768" s="52"/>
      <c r="D768" s="53">
        <v>2010</v>
      </c>
      <c r="E768" s="37">
        <v>2612384311</v>
      </c>
      <c r="F768" s="37">
        <v>3139196728</v>
      </c>
      <c r="G768" s="37">
        <v>4261358993</v>
      </c>
      <c r="H768" s="37">
        <v>0</v>
      </c>
      <c r="I768" s="55">
        <f t="shared" si="35"/>
        <v>10012940032</v>
      </c>
      <c r="J768" s="54">
        <v>-18198</v>
      </c>
      <c r="K768" s="56">
        <f t="shared" si="36"/>
        <v>10012921834</v>
      </c>
      <c r="L768" s="37">
        <v>0</v>
      </c>
      <c r="M768" s="69"/>
      <c r="O768" s="38" t="str">
        <f>IF([1]totrevprm!O769="","",[1]totrevprm!O769)</f>
        <v/>
      </c>
      <c r="V768" s="38"/>
      <c r="W768" s="58"/>
      <c r="X768" s="58"/>
      <c r="Y768" s="58"/>
      <c r="Z768" s="58"/>
    </row>
    <row r="769" spans="1:26">
      <c r="A769" s="50" t="s">
        <v>45</v>
      </c>
      <c r="B769" s="51" t="s">
        <v>775</v>
      </c>
      <c r="C769" s="52"/>
      <c r="D769" s="53">
        <v>2011</v>
      </c>
      <c r="E769" s="37">
        <v>2723229675</v>
      </c>
      <c r="F769" s="37">
        <v>2868331167</v>
      </c>
      <c r="G769" s="37">
        <v>4393026859.3699999</v>
      </c>
      <c r="H769" s="37">
        <v>0</v>
      </c>
      <c r="I769" s="55">
        <f t="shared" si="35"/>
        <v>9984587701.3699989</v>
      </c>
      <c r="J769" s="54">
        <v>-5</v>
      </c>
      <c r="K769" s="56">
        <f t="shared" si="36"/>
        <v>9984587696.3699989</v>
      </c>
      <c r="L769" s="37">
        <v>0</v>
      </c>
      <c r="M769" s="69"/>
      <c r="O769" s="38" t="str">
        <f>IF([1]totrevprm!O770="","",[1]totrevprm!O770)</f>
        <v/>
      </c>
      <c r="V769" s="38"/>
      <c r="W769" s="58"/>
      <c r="X769" s="58"/>
      <c r="Y769" s="58"/>
      <c r="Z769" s="58"/>
    </row>
    <row r="770" spans="1:26">
      <c r="A770" s="50" t="s">
        <v>45</v>
      </c>
      <c r="B770" s="51" t="s">
        <v>775</v>
      </c>
      <c r="C770" s="52"/>
      <c r="D770" s="53">
        <v>2012</v>
      </c>
      <c r="E770" s="37">
        <v>2816230110</v>
      </c>
      <c r="F770" s="37">
        <v>3388564402</v>
      </c>
      <c r="G770" s="37">
        <v>4050785188</v>
      </c>
      <c r="H770" s="37">
        <v>0</v>
      </c>
      <c r="I770" s="55">
        <f t="shared" si="35"/>
        <v>10255579700</v>
      </c>
      <c r="J770" s="54">
        <v>-88</v>
      </c>
      <c r="K770" s="56">
        <f t="shared" si="36"/>
        <v>10255579612</v>
      </c>
      <c r="L770" s="37">
        <v>0</v>
      </c>
      <c r="M770" s="69"/>
      <c r="O770" s="38" t="str">
        <f>IF([1]totrevprm!O771="","",[1]totrevprm!O771)</f>
        <v/>
      </c>
      <c r="V770" s="38"/>
      <c r="W770" s="58"/>
      <c r="X770" s="58"/>
      <c r="Y770" s="58"/>
      <c r="Z770" s="58"/>
    </row>
    <row r="771" spans="1:26">
      <c r="A771" s="50" t="s">
        <v>45</v>
      </c>
      <c r="B771" s="51" t="s">
        <v>775</v>
      </c>
      <c r="C771" s="52"/>
      <c r="D771" s="53">
        <v>2013</v>
      </c>
      <c r="E771" s="37">
        <v>2870612075</v>
      </c>
      <c r="F771" s="37">
        <v>3238434822</v>
      </c>
      <c r="G771" s="37">
        <v>4031316015</v>
      </c>
      <c r="H771" s="37">
        <v>0</v>
      </c>
      <c r="I771" s="55">
        <f t="shared" si="35"/>
        <v>10140362912</v>
      </c>
      <c r="J771" s="54">
        <v>-22024</v>
      </c>
      <c r="K771" s="56">
        <f t="shared" si="36"/>
        <v>10140340888</v>
      </c>
      <c r="L771" s="37">
        <v>0</v>
      </c>
      <c r="M771" s="69"/>
      <c r="O771" s="38" t="str">
        <f>IF([1]totrevprm!O772="","",[1]totrevprm!O772)</f>
        <v/>
      </c>
      <c r="V771" s="38"/>
      <c r="W771" s="58"/>
      <c r="X771" s="58"/>
      <c r="Y771" s="58"/>
      <c r="Z771" s="58"/>
    </row>
    <row r="772" spans="1:26">
      <c r="A772" s="50" t="s">
        <v>45</v>
      </c>
      <c r="B772" s="51" t="s">
        <v>775</v>
      </c>
      <c r="C772" s="52"/>
      <c r="D772" s="53">
        <v>2014</v>
      </c>
      <c r="E772" s="37">
        <v>2937936849</v>
      </c>
      <c r="F772" s="37">
        <v>3350187348</v>
      </c>
      <c r="G772" s="37">
        <v>4232194224.4499998</v>
      </c>
      <c r="H772" s="37">
        <v>0</v>
      </c>
      <c r="I772" s="55">
        <f t="shared" si="35"/>
        <v>10520318421.450001</v>
      </c>
      <c r="J772" s="54">
        <v>-257493</v>
      </c>
      <c r="K772" s="56">
        <f t="shared" si="36"/>
        <v>10520060928.450001</v>
      </c>
      <c r="L772" s="37">
        <v>0</v>
      </c>
      <c r="M772" s="69"/>
      <c r="O772" s="38" t="str">
        <f>IF([1]totrevprm!O773="","",[1]totrevprm!O773)</f>
        <v/>
      </c>
      <c r="V772" s="38"/>
      <c r="W772" s="58"/>
      <c r="X772" s="58"/>
      <c r="Y772" s="58"/>
      <c r="Z772" s="58"/>
    </row>
    <row r="773" spans="1:26">
      <c r="A773" s="50" t="s">
        <v>45</v>
      </c>
      <c r="B773" s="51" t="s">
        <v>775</v>
      </c>
      <c r="C773" s="52"/>
      <c r="D773" s="53">
        <v>2015</v>
      </c>
      <c r="E773" s="37">
        <v>2976639670</v>
      </c>
      <c r="F773" s="37">
        <v>3377788782</v>
      </c>
      <c r="G773" s="37">
        <v>4049752600</v>
      </c>
      <c r="H773" s="37">
        <v>0</v>
      </c>
      <c r="I773" s="55">
        <f t="shared" si="35"/>
        <v>10404181052</v>
      </c>
      <c r="J773" s="54">
        <v>-162159</v>
      </c>
      <c r="K773" s="56">
        <f t="shared" si="36"/>
        <v>10404018893</v>
      </c>
      <c r="L773" s="37">
        <v>0</v>
      </c>
      <c r="M773" s="69"/>
      <c r="O773" s="38" t="str">
        <f>IF([1]totrevprm!O774="","",[1]totrevprm!O774)</f>
        <v/>
      </c>
      <c r="P773" s="35">
        <v>528859844.2294296</v>
      </c>
      <c r="Q773" s="35">
        <v>252971065.77567166</v>
      </c>
      <c r="V773" s="38"/>
      <c r="W773" s="58"/>
      <c r="X773" s="58"/>
      <c r="Y773" s="58"/>
      <c r="Z773" s="58"/>
    </row>
    <row r="774" spans="1:26">
      <c r="A774" s="50" t="s">
        <v>45</v>
      </c>
      <c r="B774" s="51" t="s">
        <v>775</v>
      </c>
      <c r="C774" s="52"/>
      <c r="D774" s="53">
        <v>2016</v>
      </c>
      <c r="E774" s="37">
        <v>3029402742</v>
      </c>
      <c r="F774" s="37">
        <v>4149649643</v>
      </c>
      <c r="G774" s="37">
        <v>4059641835</v>
      </c>
      <c r="H774" s="37">
        <v>0</v>
      </c>
      <c r="I774" s="55">
        <f t="shared" si="35"/>
        <v>11238694220</v>
      </c>
      <c r="J774" s="54">
        <v>-120727</v>
      </c>
      <c r="K774" s="56">
        <f t="shared" si="36"/>
        <v>11238573493</v>
      </c>
      <c r="L774" s="37">
        <v>0</v>
      </c>
      <c r="M774" s="69"/>
      <c r="O774" s="38" t="str">
        <f>IF([1]totrevprm!O775="","",[1]totrevprm!O775)</f>
        <v/>
      </c>
      <c r="P774" s="35">
        <v>566007329.87784421</v>
      </c>
      <c r="Q774" s="35">
        <v>259087420.21909776</v>
      </c>
      <c r="V774" s="38"/>
      <c r="W774" s="58"/>
      <c r="X774" s="58"/>
      <c r="Y774" s="58"/>
      <c r="Z774" s="58"/>
    </row>
    <row r="775" spans="1:26">
      <c r="A775" s="50" t="s">
        <v>45</v>
      </c>
      <c r="B775" s="51" t="s">
        <v>775</v>
      </c>
      <c r="C775" s="52"/>
      <c r="D775" s="53">
        <v>2017</v>
      </c>
      <c r="E775" s="37">
        <v>3101906744</v>
      </c>
      <c r="F775" s="37">
        <v>3781620121</v>
      </c>
      <c r="G775" s="37">
        <v>4273960303.3199997</v>
      </c>
      <c r="H775" s="37">
        <v>0</v>
      </c>
      <c r="I775" s="55">
        <f t="shared" si="35"/>
        <v>11157487168.32</v>
      </c>
      <c r="J775" s="54">
        <v>-255679</v>
      </c>
      <c r="K775" s="56">
        <f t="shared" si="36"/>
        <v>11157231489.32</v>
      </c>
      <c r="L775" s="37">
        <v>0</v>
      </c>
      <c r="M775" s="69"/>
      <c r="O775" s="38" t="str">
        <f>IF([1]totrevprm!O776="","",[1]totrevprm!O776)</f>
        <v/>
      </c>
      <c r="P775" s="35">
        <v>578942966.26565409</v>
      </c>
      <c r="Q775" s="35">
        <v>260470635.53</v>
      </c>
      <c r="V775" s="38"/>
      <c r="W775" s="58"/>
      <c r="X775" s="58"/>
      <c r="Y775" s="58"/>
      <c r="Z775" s="58"/>
    </row>
    <row r="776" spans="1:26">
      <c r="A776" s="50" t="s">
        <v>45</v>
      </c>
      <c r="B776" s="51" t="s">
        <v>775</v>
      </c>
      <c r="C776" s="52"/>
      <c r="D776" s="53">
        <v>2018</v>
      </c>
      <c r="E776" s="37">
        <v>3188615165</v>
      </c>
      <c r="F776" s="37">
        <v>4422283199</v>
      </c>
      <c r="G776" s="37">
        <v>4297782758.0599995</v>
      </c>
      <c r="H776" s="37">
        <v>0</v>
      </c>
      <c r="I776" s="55">
        <f t="shared" si="35"/>
        <v>11908681122.059999</v>
      </c>
      <c r="J776" s="54">
        <v>-3319</v>
      </c>
      <c r="K776" s="56">
        <f t="shared" si="36"/>
        <v>11908677803.059999</v>
      </c>
      <c r="L776" s="60">
        <v>0</v>
      </c>
      <c r="M776" s="69"/>
      <c r="O776" s="38" t="str">
        <f>IF([1]totrevprm!O777="","",[1]totrevprm!O777)</f>
        <v/>
      </c>
      <c r="P776" s="35">
        <v>568530317.73166358</v>
      </c>
      <c r="Q776" s="35">
        <v>255087396.03</v>
      </c>
      <c r="V776" s="38"/>
      <c r="W776" s="58"/>
      <c r="X776" s="58"/>
      <c r="Y776" s="58"/>
      <c r="Z776" s="58"/>
    </row>
    <row r="777" spans="1:26">
      <c r="A777" s="50" t="s">
        <v>45</v>
      </c>
      <c r="B777" s="51" t="s">
        <v>775</v>
      </c>
      <c r="C777" s="52"/>
      <c r="D777" s="53">
        <v>2019</v>
      </c>
      <c r="E777" s="37">
        <v>3280751411</v>
      </c>
      <c r="F777" s="37">
        <v>4556501025</v>
      </c>
      <c r="G777" s="37">
        <v>4335130528.3813</v>
      </c>
      <c r="H777" s="37">
        <v>0</v>
      </c>
      <c r="I777" s="55">
        <f t="shared" si="35"/>
        <v>12172382964.3813</v>
      </c>
      <c r="J777" s="54">
        <v>-6001444</v>
      </c>
      <c r="K777" s="56">
        <f t="shared" si="36"/>
        <v>12166381520.3813</v>
      </c>
      <c r="L777" s="60">
        <v>0</v>
      </c>
      <c r="M777" s="69"/>
      <c r="O777" s="38" t="str">
        <f>IF([1]totrevprm!O778="","",[1]totrevprm!O778)</f>
        <v/>
      </c>
      <c r="P777" s="35">
        <v>613167200.75795841</v>
      </c>
      <c r="Q777" s="35">
        <v>256452753.28366831</v>
      </c>
      <c r="V777" s="38"/>
      <c r="W777" s="58"/>
      <c r="X777" s="58"/>
      <c r="Y777" s="58"/>
      <c r="Z777" s="58"/>
    </row>
    <row r="778" spans="1:26">
      <c r="A778" s="50" t="s">
        <v>45</v>
      </c>
      <c r="B778" s="51" t="s">
        <v>775</v>
      </c>
      <c r="C778" s="52"/>
      <c r="D778" s="53">
        <v>2020</v>
      </c>
      <c r="E778" s="37">
        <v>3282937315</v>
      </c>
      <c r="F778" s="37">
        <v>5313348456</v>
      </c>
      <c r="G778" s="37">
        <v>7952968577</v>
      </c>
      <c r="H778" s="37">
        <v>0</v>
      </c>
      <c r="I778" s="55">
        <f t="shared" si="35"/>
        <v>16549254348</v>
      </c>
      <c r="J778" s="54">
        <v>-2</v>
      </c>
      <c r="K778" s="56">
        <f t="shared" si="36"/>
        <v>16549254346</v>
      </c>
      <c r="L778" s="60">
        <v>0</v>
      </c>
      <c r="M778" s="69" t="s">
        <v>760</v>
      </c>
      <c r="N778" t="s">
        <v>708</v>
      </c>
      <c r="O778" s="38" t="str">
        <f>IF([1]totrevprm!O779="","",[1]totrevprm!O779)</f>
        <v>Yes</v>
      </c>
      <c r="P778" s="35">
        <v>592901994</v>
      </c>
      <c r="Q778" s="35">
        <v>242791050</v>
      </c>
      <c r="V778" s="38"/>
      <c r="W778" s="58"/>
      <c r="X778" s="58"/>
      <c r="Y778" s="58"/>
      <c r="Z778" s="58"/>
    </row>
    <row r="779" spans="1:26">
      <c r="A779" s="50" t="s">
        <v>45</v>
      </c>
      <c r="B779" s="51" t="s">
        <v>775</v>
      </c>
      <c r="C779" s="52"/>
      <c r="D779" s="53">
        <v>2021</v>
      </c>
      <c r="E779" s="37">
        <v>3594117983</v>
      </c>
      <c r="F779" s="37">
        <v>4802380412</v>
      </c>
      <c r="G779" s="37">
        <v>8042452208.9200001</v>
      </c>
      <c r="H779" s="37">
        <v>0</v>
      </c>
      <c r="I779" s="55">
        <f t="shared" si="35"/>
        <v>16438950603.92</v>
      </c>
      <c r="J779" s="60">
        <v>-1004</v>
      </c>
      <c r="K779" s="56">
        <f t="shared" si="36"/>
        <v>16438949599.92</v>
      </c>
      <c r="L779" s="60">
        <v>0</v>
      </c>
      <c r="M779" s="69" t="s">
        <v>739</v>
      </c>
      <c r="N779" t="s">
        <v>708</v>
      </c>
      <c r="O779" s="38"/>
      <c r="P779" s="35">
        <v>576491728.21000004</v>
      </c>
      <c r="Q779" s="35">
        <v>267895531</v>
      </c>
      <c r="V779" s="38"/>
      <c r="W779" s="58"/>
      <c r="X779" s="58"/>
      <c r="Y779" s="58"/>
      <c r="Z779" s="58"/>
    </row>
    <row r="780" spans="1:26">
      <c r="A780" s="50" t="s">
        <v>45</v>
      </c>
      <c r="B780" s="51" t="s">
        <v>775</v>
      </c>
      <c r="C780" s="52"/>
      <c r="D780" s="53">
        <v>2022</v>
      </c>
      <c r="E780" s="37">
        <v>3505490213</v>
      </c>
      <c r="F780" s="37">
        <v>6184991654</v>
      </c>
      <c r="G780" s="37">
        <v>8318319957</v>
      </c>
      <c r="H780" s="37">
        <v>0</v>
      </c>
      <c r="I780" s="55">
        <f t="shared" si="35"/>
        <v>18008801824</v>
      </c>
      <c r="J780" s="60">
        <v>-56751</v>
      </c>
      <c r="K780" s="56">
        <f t="shared" si="36"/>
        <v>18008745073</v>
      </c>
      <c r="L780" s="60">
        <v>0</v>
      </c>
      <c r="M780" s="69" t="s">
        <v>739</v>
      </c>
      <c r="O780" s="38" t="str">
        <f>IF([1]totrevprm!O783="","",[1]totrevprm!O783)</f>
        <v/>
      </c>
      <c r="P780" s="60">
        <v>614407290</v>
      </c>
      <c r="Q780" s="60">
        <v>266671397</v>
      </c>
    </row>
    <row r="781" spans="1:26">
      <c r="A781" s="50" t="s">
        <v>45</v>
      </c>
      <c r="B781" s="51" t="s">
        <v>775</v>
      </c>
      <c r="C781" s="52"/>
      <c r="D781" s="53">
        <v>2023</v>
      </c>
      <c r="E781" s="37">
        <v>3589151510</v>
      </c>
      <c r="F781" s="37">
        <v>7113698977.0423002</v>
      </c>
      <c r="G781" s="37">
        <v>8561675974.8909998</v>
      </c>
      <c r="H781" s="37">
        <v>0</v>
      </c>
      <c r="I781" s="55">
        <f t="shared" si="35"/>
        <v>19264526461.9333</v>
      </c>
      <c r="J781" s="60">
        <v>-53349</v>
      </c>
      <c r="K781" s="56">
        <f t="shared" si="36"/>
        <v>19264473112.9333</v>
      </c>
      <c r="L781" s="37">
        <v>0</v>
      </c>
      <c r="M781" s="69" t="s">
        <v>739</v>
      </c>
      <c r="O781" s="38"/>
      <c r="P781" s="60">
        <v>632608063.92999995</v>
      </c>
      <c r="Q781" s="60">
        <v>269887029</v>
      </c>
    </row>
    <row r="782" spans="1:26">
      <c r="A782" s="50"/>
      <c r="B782" s="52"/>
      <c r="C782" s="52"/>
      <c r="E782" s="54"/>
      <c r="F782" s="54"/>
      <c r="G782" s="54"/>
      <c r="H782" s="54"/>
      <c r="I782" s="55"/>
      <c r="K782" s="65"/>
      <c r="L782" s="37"/>
      <c r="M782" s="69"/>
      <c r="O782" s="38"/>
    </row>
    <row r="783" spans="1:26">
      <c r="A783" s="50" t="s">
        <v>47</v>
      </c>
      <c r="B783" s="51" t="s">
        <v>192</v>
      </c>
      <c r="C783" s="52" t="s">
        <v>730</v>
      </c>
      <c r="D783" s="53">
        <v>1988</v>
      </c>
      <c r="E783" s="54">
        <v>1495903361</v>
      </c>
      <c r="F783" s="54">
        <v>1449017699</v>
      </c>
      <c r="G783" s="54">
        <v>1099039902</v>
      </c>
      <c r="H783" s="54">
        <v>0</v>
      </c>
      <c r="I783" s="55">
        <f t="shared" si="35"/>
        <v>4043960962</v>
      </c>
      <c r="J783" s="54">
        <v>-2162211</v>
      </c>
      <c r="K783" s="56">
        <f>SUM(I783:J783)</f>
        <v>4041798751</v>
      </c>
      <c r="L783" s="37">
        <v>0</v>
      </c>
      <c r="M783" s="69"/>
      <c r="O783" s="38" t="str">
        <f>IF([1]totrevprm!O784="","",[1]totrevprm!O784)</f>
        <v/>
      </c>
    </row>
    <row r="784" spans="1:26">
      <c r="A784" s="50" t="s">
        <v>47</v>
      </c>
      <c r="B784" s="51" t="s">
        <v>192</v>
      </c>
      <c r="C784" s="52" t="s">
        <v>731</v>
      </c>
      <c r="D784" s="53">
        <v>1989</v>
      </c>
      <c r="E784" s="54">
        <v>1474726661</v>
      </c>
      <c r="F784" s="54">
        <v>1432451148</v>
      </c>
      <c r="G784" s="54">
        <v>1227571030</v>
      </c>
      <c r="H784" s="54">
        <v>0</v>
      </c>
      <c r="I784" s="55">
        <f t="shared" si="35"/>
        <v>4134748839</v>
      </c>
      <c r="J784" s="54">
        <v>-10999435</v>
      </c>
      <c r="K784" s="56">
        <f t="shared" ref="K784:K818" si="37">SUM(I784:J784)</f>
        <v>4123749404</v>
      </c>
      <c r="L784" s="37">
        <v>0</v>
      </c>
      <c r="M784" s="69"/>
      <c r="O784" s="38" t="str">
        <f>IF([1]totrevprm!O785="","",[1]totrevprm!O785)</f>
        <v/>
      </c>
    </row>
    <row r="785" spans="1:26">
      <c r="A785" s="50" t="s">
        <v>47</v>
      </c>
      <c r="B785" s="51" t="s">
        <v>192</v>
      </c>
      <c r="C785" s="52" t="s">
        <v>731</v>
      </c>
      <c r="D785" s="53">
        <v>1990</v>
      </c>
      <c r="E785" s="54">
        <v>1540835162</v>
      </c>
      <c r="F785" s="54">
        <v>2036694414.5599999</v>
      </c>
      <c r="G785" s="54">
        <v>1262552408</v>
      </c>
      <c r="H785" s="54">
        <v>0</v>
      </c>
      <c r="I785" s="55">
        <f t="shared" si="35"/>
        <v>4840081984.5599995</v>
      </c>
      <c r="J785" s="54">
        <v>-46962786</v>
      </c>
      <c r="K785" s="56">
        <f t="shared" si="37"/>
        <v>4793119198.5599995</v>
      </c>
      <c r="L785" s="37">
        <v>0</v>
      </c>
      <c r="M785" s="69"/>
      <c r="O785" s="38" t="str">
        <f>IF([1]totrevprm!O786="","",[1]totrevprm!O786)</f>
        <v/>
      </c>
    </row>
    <row r="786" spans="1:26">
      <c r="A786" s="50" t="s">
        <v>47</v>
      </c>
      <c r="B786" s="51" t="s">
        <v>192</v>
      </c>
      <c r="C786" s="52" t="s">
        <v>731</v>
      </c>
      <c r="D786" s="53">
        <v>1991</v>
      </c>
      <c r="E786" s="54">
        <v>1639871965</v>
      </c>
      <c r="F786" s="54">
        <v>1557117445</v>
      </c>
      <c r="G786" s="54">
        <v>1302733826</v>
      </c>
      <c r="H786" s="54">
        <v>0</v>
      </c>
      <c r="I786" s="55">
        <f t="shared" si="35"/>
        <v>4499723236</v>
      </c>
      <c r="J786" s="54">
        <v>-1206668</v>
      </c>
      <c r="K786" s="56">
        <f t="shared" si="37"/>
        <v>4498516568</v>
      </c>
      <c r="L786" s="37">
        <v>0</v>
      </c>
      <c r="M786" s="69"/>
      <c r="O786" s="38" t="str">
        <f>IF([1]totrevprm!O787="","",[1]totrevprm!O787)</f>
        <v/>
      </c>
    </row>
    <row r="787" spans="1:26">
      <c r="A787" s="50" t="s">
        <v>47</v>
      </c>
      <c r="B787" s="51" t="s">
        <v>192</v>
      </c>
      <c r="C787" s="52" t="s">
        <v>731</v>
      </c>
      <c r="D787" s="53">
        <v>1992</v>
      </c>
      <c r="E787" s="54">
        <v>1795643916</v>
      </c>
      <c r="F787" s="54">
        <v>1468916212.6800001</v>
      </c>
      <c r="G787" s="54">
        <v>1284972004</v>
      </c>
      <c r="H787" s="54">
        <v>0</v>
      </c>
      <c r="I787" s="55">
        <f t="shared" si="35"/>
        <v>4549532132.6800003</v>
      </c>
      <c r="J787" s="54">
        <v>-2172073</v>
      </c>
      <c r="K787" s="56">
        <f t="shared" si="37"/>
        <v>4547360059.6800003</v>
      </c>
      <c r="L787" s="37">
        <v>0</v>
      </c>
      <c r="M787" s="69"/>
      <c r="O787" s="38" t="str">
        <f>IF([1]totrevprm!O788="","",[1]totrevprm!O788)</f>
        <v/>
      </c>
    </row>
    <row r="788" spans="1:26">
      <c r="A788" s="50" t="s">
        <v>47</v>
      </c>
      <c r="B788" s="51" t="s">
        <v>192</v>
      </c>
      <c r="C788" s="52" t="s">
        <v>731</v>
      </c>
      <c r="D788" s="53">
        <v>1993</v>
      </c>
      <c r="E788" s="54">
        <v>1773549766</v>
      </c>
      <c r="F788" s="54">
        <v>1336044258</v>
      </c>
      <c r="G788" s="54">
        <v>1306814253</v>
      </c>
      <c r="H788" s="54">
        <v>0</v>
      </c>
      <c r="I788" s="55">
        <f t="shared" si="35"/>
        <v>4416408277</v>
      </c>
      <c r="J788" s="54">
        <v>-54047</v>
      </c>
      <c r="K788" s="56">
        <f t="shared" si="37"/>
        <v>4416354230</v>
      </c>
      <c r="L788" s="37">
        <v>0</v>
      </c>
      <c r="M788" s="69"/>
      <c r="O788" s="38" t="str">
        <f>IF([1]totrevprm!O789="","",[1]totrevprm!O789)</f>
        <v/>
      </c>
    </row>
    <row r="789" spans="1:26">
      <c r="A789" s="50" t="s">
        <v>47</v>
      </c>
      <c r="B789" s="51" t="s">
        <v>192</v>
      </c>
      <c r="C789" s="52" t="s">
        <v>731</v>
      </c>
      <c r="D789" s="53">
        <v>1994</v>
      </c>
      <c r="E789" s="54">
        <v>1952761854</v>
      </c>
      <c r="F789" s="54">
        <v>1683031581</v>
      </c>
      <c r="G789" s="54">
        <v>1351159104</v>
      </c>
      <c r="H789" s="54">
        <v>0</v>
      </c>
      <c r="I789" s="55">
        <f t="shared" si="35"/>
        <v>4986952539</v>
      </c>
      <c r="J789" s="54">
        <v>-74147964</v>
      </c>
      <c r="K789" s="56">
        <f t="shared" si="37"/>
        <v>4912804575</v>
      </c>
      <c r="L789" s="37">
        <v>0</v>
      </c>
      <c r="M789" s="69"/>
      <c r="O789" s="38" t="str">
        <f>IF([1]totrevprm!O790="","",[1]totrevprm!O790)</f>
        <v/>
      </c>
    </row>
    <row r="790" spans="1:26">
      <c r="A790" s="50" t="s">
        <v>47</v>
      </c>
      <c r="B790" s="51" t="s">
        <v>192</v>
      </c>
      <c r="C790" s="52" t="s">
        <v>731</v>
      </c>
      <c r="D790" s="53">
        <v>1995</v>
      </c>
      <c r="E790" s="54">
        <v>2016029763</v>
      </c>
      <c r="F790" s="54">
        <v>1636478483</v>
      </c>
      <c r="G790" s="54">
        <v>1402023700</v>
      </c>
      <c r="H790" s="54">
        <v>0</v>
      </c>
      <c r="I790" s="55">
        <f t="shared" si="35"/>
        <v>5054531946</v>
      </c>
      <c r="J790" s="54">
        <v>-360530352</v>
      </c>
      <c r="K790" s="56">
        <f t="shared" si="37"/>
        <v>4694001594</v>
      </c>
      <c r="L790" s="37">
        <v>0</v>
      </c>
      <c r="M790" s="69"/>
      <c r="O790" s="38" t="str">
        <f>IF([1]totrevprm!O791="","",[1]totrevprm!O791)</f>
        <v/>
      </c>
    </row>
    <row r="791" spans="1:26">
      <c r="A791" s="50" t="s">
        <v>47</v>
      </c>
      <c r="B791" s="51" t="s">
        <v>192</v>
      </c>
      <c r="C791" s="52" t="s">
        <v>731</v>
      </c>
      <c r="D791" s="53">
        <v>1996</v>
      </c>
      <c r="E791" s="54">
        <v>2126058141</v>
      </c>
      <c r="F791" s="54">
        <v>1685437475</v>
      </c>
      <c r="G791" s="54">
        <v>1421531435</v>
      </c>
      <c r="H791" s="54">
        <v>0</v>
      </c>
      <c r="I791" s="55">
        <f t="shared" si="35"/>
        <v>5233027051</v>
      </c>
      <c r="J791" s="54">
        <v>-142319</v>
      </c>
      <c r="K791" s="56">
        <f t="shared" si="37"/>
        <v>5232884732</v>
      </c>
      <c r="L791" s="37">
        <v>0</v>
      </c>
      <c r="M791" s="69"/>
      <c r="O791" s="38" t="str">
        <f>IF([1]totrevprm!O792="","",[1]totrevprm!O792)</f>
        <v/>
      </c>
    </row>
    <row r="792" spans="1:26">
      <c r="A792" s="50" t="s">
        <v>47</v>
      </c>
      <c r="B792" s="51" t="s">
        <v>192</v>
      </c>
      <c r="C792" s="52" t="s">
        <v>731</v>
      </c>
      <c r="D792" s="53">
        <v>1997</v>
      </c>
      <c r="E792" s="54">
        <v>2015196332</v>
      </c>
      <c r="F792" s="54">
        <v>2237016754</v>
      </c>
      <c r="G792" s="54">
        <v>1447797964</v>
      </c>
      <c r="H792" s="54">
        <v>0</v>
      </c>
      <c r="I792" s="55">
        <f t="shared" si="35"/>
        <v>5700011050</v>
      </c>
      <c r="J792" s="54">
        <v>-59030</v>
      </c>
      <c r="K792" s="56">
        <f t="shared" si="37"/>
        <v>5699952020</v>
      </c>
      <c r="L792" s="37">
        <v>0</v>
      </c>
      <c r="M792" s="69"/>
      <c r="O792" s="38" t="str">
        <f>IF([1]totrevprm!O793="","",[1]totrevprm!O793)</f>
        <v/>
      </c>
    </row>
    <row r="793" spans="1:26">
      <c r="A793" s="50" t="s">
        <v>47</v>
      </c>
      <c r="B793" s="51" t="s">
        <v>192</v>
      </c>
      <c r="C793" s="52" t="s">
        <v>731</v>
      </c>
      <c r="D793" s="53">
        <v>1998</v>
      </c>
      <c r="E793" s="54">
        <v>2178082597</v>
      </c>
      <c r="F793" s="54">
        <v>2045636611</v>
      </c>
      <c r="G793" s="54">
        <v>1461570316</v>
      </c>
      <c r="H793" s="54">
        <v>0</v>
      </c>
      <c r="I793" s="55">
        <f t="shared" si="35"/>
        <v>5685289524</v>
      </c>
      <c r="J793" s="54">
        <v>-68060085</v>
      </c>
      <c r="K793" s="56">
        <f t="shared" si="37"/>
        <v>5617229439</v>
      </c>
      <c r="L793" s="37">
        <v>0</v>
      </c>
      <c r="M793" s="69"/>
      <c r="O793" s="38" t="str">
        <f>IF([1]totrevprm!O794="","",[1]totrevprm!O794)</f>
        <v/>
      </c>
    </row>
    <row r="794" spans="1:26">
      <c r="A794" s="50" t="s">
        <v>47</v>
      </c>
      <c r="B794" s="51" t="s">
        <v>192</v>
      </c>
      <c r="C794" s="52" t="s">
        <v>731</v>
      </c>
      <c r="D794" s="53">
        <v>1999</v>
      </c>
      <c r="E794" s="54">
        <v>2251025613</v>
      </c>
      <c r="F794" s="54">
        <v>1973735739</v>
      </c>
      <c r="G794" s="54">
        <v>1517335968</v>
      </c>
      <c r="H794" s="54">
        <v>0</v>
      </c>
      <c r="I794" s="55">
        <f t="shared" si="35"/>
        <v>5742097320</v>
      </c>
      <c r="J794" s="54">
        <v>-40151266</v>
      </c>
      <c r="K794" s="56">
        <f t="shared" si="37"/>
        <v>5701946054</v>
      </c>
      <c r="L794" s="37">
        <v>0</v>
      </c>
      <c r="M794" s="69"/>
      <c r="O794" s="38" t="str">
        <f>IF([1]totrevprm!O795="","",[1]totrevprm!O795)</f>
        <v/>
      </c>
    </row>
    <row r="795" spans="1:26">
      <c r="A795" s="50" t="s">
        <v>47</v>
      </c>
      <c r="B795" s="51" t="s">
        <v>192</v>
      </c>
      <c r="C795" s="52" t="s">
        <v>731</v>
      </c>
      <c r="D795" s="53">
        <v>2000</v>
      </c>
      <c r="E795" s="54">
        <v>2317918323</v>
      </c>
      <c r="F795" s="54">
        <v>2356065929</v>
      </c>
      <c r="G795" s="54">
        <v>1564452794</v>
      </c>
      <c r="H795" s="54">
        <v>0</v>
      </c>
      <c r="I795" s="55">
        <f t="shared" si="35"/>
        <v>6238437046</v>
      </c>
      <c r="J795" s="54">
        <v>-18862816</v>
      </c>
      <c r="K795" s="56">
        <f t="shared" si="37"/>
        <v>6219574230</v>
      </c>
      <c r="L795" s="37">
        <v>0</v>
      </c>
      <c r="M795" s="69"/>
      <c r="O795" s="38" t="str">
        <f>IF([1]totrevprm!O796="","",[1]totrevprm!O796)</f>
        <v/>
      </c>
      <c r="V795" s="38" t="s">
        <v>192</v>
      </c>
      <c r="W795" s="58">
        <v>955238</v>
      </c>
      <c r="X795" s="58">
        <v>48804592</v>
      </c>
      <c r="Y795" s="58">
        <v>17968267</v>
      </c>
      <c r="Z795" s="58">
        <v>0</v>
      </c>
    </row>
    <row r="796" spans="1:26">
      <c r="A796" s="50" t="s">
        <v>47</v>
      </c>
      <c r="B796" s="51" t="s">
        <v>192</v>
      </c>
      <c r="C796" s="52" t="s">
        <v>731</v>
      </c>
      <c r="D796" s="53">
        <v>2001</v>
      </c>
      <c r="E796" s="54">
        <v>2465063164</v>
      </c>
      <c r="F796" s="54">
        <v>4309396314</v>
      </c>
      <c r="G796" s="54">
        <v>1549668704</v>
      </c>
      <c r="H796" s="54">
        <v>0</v>
      </c>
      <c r="I796" s="55">
        <f t="shared" si="35"/>
        <v>8324128182</v>
      </c>
      <c r="J796" s="54">
        <v>-19635961</v>
      </c>
      <c r="K796" s="56">
        <f t="shared" si="37"/>
        <v>8304492221</v>
      </c>
      <c r="L796" s="37">
        <v>0</v>
      </c>
      <c r="M796" s="69"/>
      <c r="O796" s="38" t="str">
        <f>IF([1]totrevprm!O797="","",[1]totrevprm!O797)</f>
        <v/>
      </c>
      <c r="V796" s="38"/>
      <c r="W796" s="58"/>
      <c r="X796" s="58"/>
      <c r="Y796" s="58"/>
      <c r="Z796" s="58"/>
    </row>
    <row r="797" spans="1:26">
      <c r="A797" s="50" t="s">
        <v>47</v>
      </c>
      <c r="B797" s="51" t="s">
        <v>192</v>
      </c>
      <c r="C797" s="52" t="s">
        <v>731</v>
      </c>
      <c r="D797" s="53">
        <v>2002</v>
      </c>
      <c r="E797" s="54">
        <v>2394220913</v>
      </c>
      <c r="F797" s="54">
        <v>5838753349</v>
      </c>
      <c r="G797" s="54">
        <v>1572629131</v>
      </c>
      <c r="H797" s="54">
        <v>0</v>
      </c>
      <c r="I797" s="55">
        <f t="shared" si="35"/>
        <v>9805603393</v>
      </c>
      <c r="J797" s="54">
        <v>-258052</v>
      </c>
      <c r="K797" s="56">
        <f t="shared" si="37"/>
        <v>9805345341</v>
      </c>
      <c r="L797" s="37">
        <v>0</v>
      </c>
      <c r="M797" s="69"/>
      <c r="O797" s="38" t="str">
        <f>IF([1]totrevprm!O798="","",[1]totrevprm!O798)</f>
        <v/>
      </c>
      <c r="V797" s="38"/>
      <c r="W797" s="58"/>
      <c r="X797" s="58"/>
      <c r="Y797" s="58"/>
      <c r="Z797" s="58"/>
    </row>
    <row r="798" spans="1:26">
      <c r="A798" s="50" t="s">
        <v>47</v>
      </c>
      <c r="B798" s="51" t="s">
        <v>192</v>
      </c>
      <c r="C798" s="52" t="s">
        <v>731</v>
      </c>
      <c r="D798" s="53">
        <v>2003</v>
      </c>
      <c r="E798" s="59">
        <v>2497037709</v>
      </c>
      <c r="F798" s="59">
        <v>4533721741</v>
      </c>
      <c r="G798" s="59">
        <v>1623672778</v>
      </c>
      <c r="H798" s="54">
        <v>0</v>
      </c>
      <c r="I798" s="55">
        <f t="shared" si="35"/>
        <v>8654432228</v>
      </c>
      <c r="J798" s="54">
        <v>-33374</v>
      </c>
      <c r="K798" s="56">
        <f t="shared" si="37"/>
        <v>8654398854</v>
      </c>
      <c r="L798" s="37">
        <v>0</v>
      </c>
      <c r="M798" s="69"/>
      <c r="O798" s="38" t="str">
        <f>IF([1]totrevprm!O799="","",[1]totrevprm!O799)</f>
        <v/>
      </c>
      <c r="V798" s="38"/>
      <c r="W798" s="58"/>
      <c r="X798" s="58"/>
      <c r="Y798" s="58"/>
      <c r="Z798" s="58"/>
    </row>
    <row r="799" spans="1:26">
      <c r="A799" s="50" t="s">
        <v>47</v>
      </c>
      <c r="B799" s="51" t="s">
        <v>192</v>
      </c>
      <c r="C799" s="52" t="s">
        <v>731</v>
      </c>
      <c r="D799" s="53">
        <v>2004</v>
      </c>
      <c r="E799" s="59">
        <v>2609697872</v>
      </c>
      <c r="F799" s="59">
        <v>3606044777</v>
      </c>
      <c r="G799" s="59">
        <v>1721880477</v>
      </c>
      <c r="H799" s="54">
        <v>0</v>
      </c>
      <c r="I799" s="55">
        <f t="shared" si="35"/>
        <v>7937623126</v>
      </c>
      <c r="J799" s="54">
        <v>-3573637</v>
      </c>
      <c r="K799" s="56">
        <f t="shared" si="37"/>
        <v>7934049489</v>
      </c>
      <c r="L799" s="37">
        <v>0</v>
      </c>
      <c r="M799" s="69"/>
      <c r="O799" s="38" t="str">
        <f>IF([1]totrevprm!O800="","",[1]totrevprm!O800)</f>
        <v/>
      </c>
      <c r="V799" s="38"/>
      <c r="W799" s="58"/>
      <c r="X799" s="58"/>
      <c r="Y799" s="58"/>
      <c r="Z799" s="58"/>
    </row>
    <row r="800" spans="1:26">
      <c r="A800" s="50" t="s">
        <v>47</v>
      </c>
      <c r="B800" s="51" t="s">
        <v>192</v>
      </c>
      <c r="C800" s="52"/>
      <c r="D800" s="53">
        <v>2005</v>
      </c>
      <c r="E800" s="59">
        <v>2531002994</v>
      </c>
      <c r="F800" s="59">
        <v>2729911928</v>
      </c>
      <c r="G800" s="59">
        <v>1857261232.1099999</v>
      </c>
      <c r="H800" s="54">
        <v>0</v>
      </c>
      <c r="I800" s="55">
        <f t="shared" ref="I800:I863" si="38">SUM(E800:H800)</f>
        <v>7118176154.1099997</v>
      </c>
      <c r="J800" s="54">
        <v>-453811</v>
      </c>
      <c r="K800" s="56">
        <f t="shared" si="37"/>
        <v>7117722343.1099997</v>
      </c>
      <c r="L800" s="37">
        <v>0</v>
      </c>
      <c r="M800" s="69"/>
      <c r="O800" s="38" t="str">
        <f>IF([1]totrevprm!O801="","",[1]totrevprm!O801)</f>
        <v/>
      </c>
      <c r="V800" s="38"/>
      <c r="W800" s="58"/>
      <c r="X800" s="58"/>
      <c r="Y800" s="58"/>
      <c r="Z800" s="58"/>
    </row>
    <row r="801" spans="1:26">
      <c r="A801" s="50" t="s">
        <v>47</v>
      </c>
      <c r="B801" s="51" t="s">
        <v>192</v>
      </c>
      <c r="C801" s="52"/>
      <c r="D801" s="53">
        <v>2006</v>
      </c>
      <c r="E801" s="37">
        <v>2741722639</v>
      </c>
      <c r="F801" s="37">
        <v>3119107409</v>
      </c>
      <c r="G801" s="37">
        <v>2222285352</v>
      </c>
      <c r="H801" s="37">
        <v>0</v>
      </c>
      <c r="I801" s="55">
        <f t="shared" si="38"/>
        <v>8083115400</v>
      </c>
      <c r="J801" s="54">
        <v>-249368262</v>
      </c>
      <c r="K801" s="56">
        <f t="shared" si="37"/>
        <v>7833747138</v>
      </c>
      <c r="L801" s="37">
        <v>0</v>
      </c>
      <c r="M801" s="69"/>
      <c r="O801" s="38" t="str">
        <f>IF([1]totrevprm!O802="","",[1]totrevprm!O802)</f>
        <v/>
      </c>
      <c r="V801" s="38"/>
      <c r="W801" s="58"/>
      <c r="X801" s="58"/>
      <c r="Y801" s="58"/>
      <c r="Z801" s="58"/>
    </row>
    <row r="802" spans="1:26">
      <c r="A802" s="50" t="s">
        <v>47</v>
      </c>
      <c r="B802" s="51" t="s">
        <v>192</v>
      </c>
      <c r="C802" s="52"/>
      <c r="D802" s="53">
        <v>2007</v>
      </c>
      <c r="E802" s="37">
        <v>2866121147</v>
      </c>
      <c r="F802" s="37">
        <v>3878282223</v>
      </c>
      <c r="G802" s="37">
        <v>2561300175</v>
      </c>
      <c r="H802" s="37">
        <v>0</v>
      </c>
      <c r="I802" s="55">
        <f t="shared" si="38"/>
        <v>9305703545</v>
      </c>
      <c r="J802" s="54">
        <v>-27309125</v>
      </c>
      <c r="K802" s="56">
        <f t="shared" si="37"/>
        <v>9278394420</v>
      </c>
      <c r="L802" s="37">
        <v>0</v>
      </c>
      <c r="M802" s="69"/>
      <c r="O802" s="38" t="str">
        <f>IF([1]totrevprm!O803="","",[1]totrevprm!O803)</f>
        <v/>
      </c>
      <c r="V802" s="38"/>
      <c r="W802" s="58"/>
      <c r="X802" s="58"/>
      <c r="Y802" s="58"/>
      <c r="Z802" s="58"/>
    </row>
    <row r="803" spans="1:26">
      <c r="A803" s="50" t="s">
        <v>47</v>
      </c>
      <c r="B803" s="51" t="s">
        <v>192</v>
      </c>
      <c r="C803" s="52"/>
      <c r="D803" s="53">
        <v>2008</v>
      </c>
      <c r="E803" s="37">
        <v>2862374744</v>
      </c>
      <c r="F803" s="37">
        <v>4933584934</v>
      </c>
      <c r="G803" s="37">
        <v>2813788101</v>
      </c>
      <c r="H803" s="37">
        <v>0</v>
      </c>
      <c r="I803" s="55">
        <f t="shared" si="38"/>
        <v>10609747779</v>
      </c>
      <c r="J803" s="54">
        <v>-503495</v>
      </c>
      <c r="K803" s="56">
        <f t="shared" si="37"/>
        <v>10609244284</v>
      </c>
      <c r="L803" s="37">
        <v>0</v>
      </c>
      <c r="M803" s="69"/>
      <c r="O803" s="38" t="str">
        <f>IF([1]totrevprm!O804="","",[1]totrevprm!O804)</f>
        <v/>
      </c>
      <c r="V803" s="38"/>
      <c r="W803" s="58"/>
      <c r="X803" s="58"/>
      <c r="Y803" s="58"/>
      <c r="Z803" s="58"/>
    </row>
    <row r="804" spans="1:26">
      <c r="A804" s="50" t="s">
        <v>47</v>
      </c>
      <c r="B804" s="51" t="s">
        <v>192</v>
      </c>
      <c r="C804" s="52"/>
      <c r="D804" s="53">
        <v>2009</v>
      </c>
      <c r="E804" s="37">
        <v>2934503382</v>
      </c>
      <c r="F804" s="37">
        <v>4606503746</v>
      </c>
      <c r="G804" s="37">
        <v>2946206681</v>
      </c>
      <c r="H804" s="37">
        <v>0</v>
      </c>
      <c r="I804" s="55">
        <f t="shared" si="38"/>
        <v>10487213809</v>
      </c>
      <c r="J804" s="54">
        <v>-158349</v>
      </c>
      <c r="K804" s="56">
        <f t="shared" si="37"/>
        <v>10487055460</v>
      </c>
      <c r="L804" s="37">
        <v>0</v>
      </c>
      <c r="M804" s="69"/>
      <c r="O804" s="38" t="str">
        <f>IF([1]totrevprm!O805="","",[1]totrevprm!O805)</f>
        <v/>
      </c>
      <c r="V804" s="38"/>
      <c r="W804" s="58"/>
      <c r="X804" s="58"/>
      <c r="Y804" s="58"/>
      <c r="Z804" s="58"/>
    </row>
    <row r="805" spans="1:26">
      <c r="A805" s="50" t="s">
        <v>47</v>
      </c>
      <c r="B805" s="51" t="s">
        <v>192</v>
      </c>
      <c r="C805" s="52"/>
      <c r="D805" s="53">
        <v>2010</v>
      </c>
      <c r="E805" s="37">
        <v>3064249995</v>
      </c>
      <c r="F805" s="37">
        <v>3761822132</v>
      </c>
      <c r="G805" s="37">
        <v>3075005043</v>
      </c>
      <c r="H805" s="37">
        <v>0</v>
      </c>
      <c r="I805" s="55">
        <f t="shared" si="38"/>
        <v>9901077170</v>
      </c>
      <c r="J805" s="54">
        <v>-263659</v>
      </c>
      <c r="K805" s="56">
        <f t="shared" si="37"/>
        <v>9900813511</v>
      </c>
      <c r="L805" s="37">
        <v>0</v>
      </c>
      <c r="M805" s="69"/>
      <c r="O805" s="38" t="str">
        <f>IF([1]totrevprm!O806="","",[1]totrevprm!O806)</f>
        <v/>
      </c>
      <c r="V805" s="38"/>
      <c r="W805" s="58"/>
      <c r="X805" s="58"/>
      <c r="Y805" s="58"/>
      <c r="Z805" s="58"/>
    </row>
    <row r="806" spans="1:26">
      <c r="A806" s="50" t="s">
        <v>47</v>
      </c>
      <c r="B806" s="51" t="s">
        <v>192</v>
      </c>
      <c r="C806" s="52"/>
      <c r="D806" s="53">
        <v>2011</v>
      </c>
      <c r="E806" s="37">
        <v>3199273283</v>
      </c>
      <c r="F806" s="37">
        <v>3379995532</v>
      </c>
      <c r="G806" s="37">
        <v>3247956300.2200003</v>
      </c>
      <c r="H806" s="37">
        <v>0</v>
      </c>
      <c r="I806" s="55">
        <f t="shared" si="38"/>
        <v>9827225115.2200012</v>
      </c>
      <c r="J806" s="54">
        <v>-7192189</v>
      </c>
      <c r="K806" s="56">
        <f t="shared" si="37"/>
        <v>9820032926.2200012</v>
      </c>
      <c r="L806" s="37">
        <v>0</v>
      </c>
      <c r="M806" s="69"/>
      <c r="O806" s="38" t="str">
        <f>IF([1]totrevprm!O807="","",[1]totrevprm!O807)</f>
        <v/>
      </c>
      <c r="V806" s="38"/>
      <c r="W806" s="58"/>
      <c r="X806" s="58"/>
      <c r="Y806" s="58"/>
      <c r="Z806" s="58"/>
    </row>
    <row r="807" spans="1:26">
      <c r="A807" s="50" t="s">
        <v>47</v>
      </c>
      <c r="B807" s="51" t="s">
        <v>192</v>
      </c>
      <c r="C807" s="52"/>
      <c r="D807" s="53">
        <v>2012</v>
      </c>
      <c r="E807" s="37">
        <v>3279323453</v>
      </c>
      <c r="F807" s="37">
        <v>4835724938</v>
      </c>
      <c r="G807" s="37">
        <v>3510145409</v>
      </c>
      <c r="H807" s="37">
        <v>0</v>
      </c>
      <c r="I807" s="55">
        <f t="shared" si="38"/>
        <v>11625193800</v>
      </c>
      <c r="J807" s="54">
        <v>-41</v>
      </c>
      <c r="K807" s="56">
        <f t="shared" si="37"/>
        <v>11625193759</v>
      </c>
      <c r="L807" s="37">
        <v>0</v>
      </c>
      <c r="M807" s="69"/>
      <c r="O807" s="38" t="str">
        <f>IF([1]totrevprm!O808="","",[1]totrevprm!O808)</f>
        <v/>
      </c>
      <c r="V807" s="38"/>
      <c r="W807" s="58"/>
      <c r="X807" s="58"/>
      <c r="Y807" s="58"/>
      <c r="Z807" s="58"/>
    </row>
    <row r="808" spans="1:26">
      <c r="A808" s="50" t="s">
        <v>47</v>
      </c>
      <c r="B808" s="51" t="s">
        <v>192</v>
      </c>
      <c r="C808" s="52"/>
      <c r="D808" s="53">
        <v>2013</v>
      </c>
      <c r="E808" s="37">
        <v>3620831372</v>
      </c>
      <c r="F808" s="37">
        <v>4379749719</v>
      </c>
      <c r="G808" s="37">
        <v>3725971919</v>
      </c>
      <c r="H808" s="37">
        <v>0</v>
      </c>
      <c r="I808" s="55">
        <f t="shared" si="38"/>
        <v>11726553010</v>
      </c>
      <c r="J808" s="54">
        <v>-43688841</v>
      </c>
      <c r="K808" s="56">
        <f t="shared" si="37"/>
        <v>11682864169</v>
      </c>
      <c r="L808" s="37">
        <v>0</v>
      </c>
      <c r="M808" s="69"/>
      <c r="O808" s="38" t="str">
        <f>IF([1]totrevprm!O809="","",[1]totrevprm!O809)</f>
        <v/>
      </c>
      <c r="V808" s="38"/>
      <c r="W808" s="58"/>
      <c r="X808" s="58"/>
      <c r="Y808" s="58"/>
      <c r="Z808" s="58"/>
    </row>
    <row r="809" spans="1:26">
      <c r="A809" s="50" t="s">
        <v>47</v>
      </c>
      <c r="B809" s="51" t="s">
        <v>192</v>
      </c>
      <c r="C809" s="52"/>
      <c r="D809" s="53">
        <v>2014</v>
      </c>
      <c r="E809" s="37">
        <v>3387253143</v>
      </c>
      <c r="F809" s="37">
        <v>4671860252</v>
      </c>
      <c r="G809" s="37">
        <v>3831889599.73</v>
      </c>
      <c r="H809" s="37">
        <v>0</v>
      </c>
      <c r="I809" s="55">
        <f t="shared" si="38"/>
        <v>11891002994.73</v>
      </c>
      <c r="J809" s="54">
        <v>-179999</v>
      </c>
      <c r="K809" s="56">
        <f t="shared" si="37"/>
        <v>11890822995.73</v>
      </c>
      <c r="L809" s="37">
        <v>0</v>
      </c>
      <c r="M809" s="69"/>
      <c r="O809" s="38" t="str">
        <f>IF([1]totrevprm!O810="","",[1]totrevprm!O810)</f>
        <v/>
      </c>
      <c r="V809" s="38"/>
      <c r="W809" s="58"/>
      <c r="X809" s="58"/>
      <c r="Y809" s="58"/>
      <c r="Z809" s="58"/>
    </row>
    <row r="810" spans="1:26">
      <c r="A810" s="50" t="s">
        <v>47</v>
      </c>
      <c r="B810" s="51" t="s">
        <v>192</v>
      </c>
      <c r="C810" s="52"/>
      <c r="D810" s="53">
        <v>2015</v>
      </c>
      <c r="E810" s="37">
        <v>3475484404</v>
      </c>
      <c r="F810" s="37">
        <v>4812704772</v>
      </c>
      <c r="G810" s="37">
        <v>3429949951</v>
      </c>
      <c r="H810" s="37">
        <v>0</v>
      </c>
      <c r="I810" s="55">
        <f t="shared" si="38"/>
        <v>11718139127</v>
      </c>
      <c r="J810" s="54">
        <v>-207716</v>
      </c>
      <c r="K810" s="56">
        <f t="shared" si="37"/>
        <v>11717931411</v>
      </c>
      <c r="L810" s="37">
        <v>0</v>
      </c>
      <c r="M810" s="69"/>
      <c r="O810" s="38" t="str">
        <f>IF([1]totrevprm!O811="","",[1]totrevprm!O811)</f>
        <v/>
      </c>
      <c r="P810" s="35">
        <v>745957295.9890281</v>
      </c>
      <c r="Q810" s="35">
        <v>311214128.10686564</v>
      </c>
      <c r="V810" s="38"/>
      <c r="W810" s="58"/>
      <c r="X810" s="58"/>
      <c r="Y810" s="58"/>
      <c r="Z810" s="58"/>
    </row>
    <row r="811" spans="1:26">
      <c r="A811" s="50" t="s">
        <v>47</v>
      </c>
      <c r="B811" s="51" t="s">
        <v>192</v>
      </c>
      <c r="C811" s="52"/>
      <c r="D811" s="53">
        <v>2016</v>
      </c>
      <c r="E811" s="37">
        <v>3540577331</v>
      </c>
      <c r="F811" s="37">
        <v>5692813011</v>
      </c>
      <c r="G811" s="37">
        <v>3497093574</v>
      </c>
      <c r="H811" s="37">
        <v>0</v>
      </c>
      <c r="I811" s="55">
        <f t="shared" si="38"/>
        <v>12730483916</v>
      </c>
      <c r="J811" s="54">
        <v>-400630</v>
      </c>
      <c r="K811" s="56">
        <f t="shared" si="37"/>
        <v>12730083286</v>
      </c>
      <c r="L811" s="37">
        <v>0</v>
      </c>
      <c r="M811" s="69"/>
      <c r="O811" s="38" t="str">
        <f>IF([1]totrevprm!O812="","",[1]totrevprm!O812)</f>
        <v/>
      </c>
      <c r="P811" s="35">
        <v>795066128.90182161</v>
      </c>
      <c r="Q811" s="35">
        <v>307914832.23609024</v>
      </c>
      <c r="V811" s="38"/>
      <c r="W811" s="58"/>
      <c r="X811" s="58"/>
      <c r="Y811" s="58"/>
      <c r="Z811" s="58"/>
    </row>
    <row r="812" spans="1:26">
      <c r="A812" s="50" t="s">
        <v>47</v>
      </c>
      <c r="B812" s="51" t="s">
        <v>192</v>
      </c>
      <c r="C812" s="52"/>
      <c r="D812" s="53">
        <v>2017</v>
      </c>
      <c r="E812" s="37">
        <v>3679188258</v>
      </c>
      <c r="F812" s="37">
        <v>5495401723</v>
      </c>
      <c r="G812" s="37">
        <v>3749654886.2799997</v>
      </c>
      <c r="H812" s="37">
        <v>0</v>
      </c>
      <c r="I812" s="55">
        <f t="shared" si="38"/>
        <v>12924244867.279999</v>
      </c>
      <c r="J812" s="54">
        <v>-654029</v>
      </c>
      <c r="K812" s="56">
        <f t="shared" si="37"/>
        <v>12923590838.279999</v>
      </c>
      <c r="L812" s="37">
        <v>0</v>
      </c>
      <c r="M812" s="69"/>
      <c r="O812" s="38" t="str">
        <f>IF([1]totrevprm!O813="","",[1]totrevprm!O813)</f>
        <v/>
      </c>
      <c r="P812" s="35">
        <v>828002052.40101182</v>
      </c>
      <c r="Q812" s="35">
        <v>307199620.83692914</v>
      </c>
      <c r="V812" s="38"/>
      <c r="W812" s="58"/>
      <c r="X812" s="58"/>
      <c r="Y812" s="58"/>
      <c r="Z812" s="58"/>
    </row>
    <row r="813" spans="1:26">
      <c r="A813" s="50" t="s">
        <v>47</v>
      </c>
      <c r="B813" s="51" t="s">
        <v>192</v>
      </c>
      <c r="C813" s="52"/>
      <c r="D813" s="53">
        <v>2018</v>
      </c>
      <c r="E813" s="37">
        <v>3688771108</v>
      </c>
      <c r="F813" s="37">
        <v>6664576940</v>
      </c>
      <c r="G813" s="37">
        <v>3863195096.6800003</v>
      </c>
      <c r="H813" s="37">
        <v>0</v>
      </c>
      <c r="I813" s="55">
        <f t="shared" si="38"/>
        <v>14216543144.68</v>
      </c>
      <c r="J813" s="54">
        <v>-552659</v>
      </c>
      <c r="K813" s="56">
        <f t="shared" si="37"/>
        <v>14215990485.68</v>
      </c>
      <c r="L813" s="60">
        <v>0</v>
      </c>
      <c r="M813" s="69"/>
      <c r="O813" s="38" t="str">
        <f>IF([1]totrevprm!O814="","",[1]totrevprm!O814)</f>
        <v/>
      </c>
      <c r="P813" s="35">
        <v>837763684.3530072</v>
      </c>
      <c r="Q813" s="35">
        <v>294825169.85000002</v>
      </c>
      <c r="V813" s="38"/>
      <c r="W813" s="58"/>
      <c r="X813" s="58"/>
      <c r="Y813" s="58"/>
      <c r="Z813" s="58"/>
    </row>
    <row r="814" spans="1:26">
      <c r="A814" s="50" t="s">
        <v>47</v>
      </c>
      <c r="B814" s="51" t="s">
        <v>192</v>
      </c>
      <c r="C814" s="52"/>
      <c r="D814" s="53">
        <v>2019</v>
      </c>
      <c r="E814" s="37">
        <v>4012490300</v>
      </c>
      <c r="F814" s="37">
        <v>6281641121</v>
      </c>
      <c r="G814" s="37">
        <v>4098550585.7911997</v>
      </c>
      <c r="H814" s="37">
        <v>0</v>
      </c>
      <c r="I814" s="55">
        <f t="shared" si="38"/>
        <v>14392682006.791199</v>
      </c>
      <c r="J814" s="54">
        <v>-10424997</v>
      </c>
      <c r="K814" s="56">
        <f t="shared" si="37"/>
        <v>14382257009.791199</v>
      </c>
      <c r="L814" s="60">
        <v>0</v>
      </c>
      <c r="M814" s="69"/>
      <c r="O814" s="38" t="str">
        <f>IF([1]totrevprm!O815="","",[1]totrevprm!O815)</f>
        <v/>
      </c>
      <c r="P814" s="35">
        <v>889056588.90046644</v>
      </c>
      <c r="Q814" s="35">
        <v>303560043.9355821</v>
      </c>
      <c r="V814" s="38"/>
      <c r="W814" s="58"/>
      <c r="X814" s="58"/>
      <c r="Y814" s="58"/>
      <c r="Z814" s="58"/>
    </row>
    <row r="815" spans="1:26">
      <c r="A815" s="50" t="s">
        <v>47</v>
      </c>
      <c r="B815" s="51" t="s">
        <v>192</v>
      </c>
      <c r="C815" s="52"/>
      <c r="D815" s="53">
        <v>2020</v>
      </c>
      <c r="E815" s="37">
        <v>3762212398</v>
      </c>
      <c r="F815" s="37">
        <v>6360388132</v>
      </c>
      <c r="G815" s="37">
        <v>3889894003</v>
      </c>
      <c r="H815" s="37">
        <v>0</v>
      </c>
      <c r="I815" s="55">
        <f t="shared" si="38"/>
        <v>14012494533</v>
      </c>
      <c r="J815" s="54">
        <v>-248591</v>
      </c>
      <c r="K815" s="56">
        <f t="shared" si="37"/>
        <v>14012245942</v>
      </c>
      <c r="L815" s="60">
        <v>0</v>
      </c>
      <c r="M815" s="69"/>
      <c r="O815" s="38" t="str">
        <f>IF([1]totrevprm!O816="","",[1]totrevprm!O816)</f>
        <v/>
      </c>
      <c r="P815" s="35">
        <v>870152223</v>
      </c>
      <c r="Q815" s="35">
        <v>288227540</v>
      </c>
      <c r="V815" s="38"/>
      <c r="W815" s="58"/>
      <c r="X815" s="58"/>
      <c r="Y815" s="58"/>
      <c r="Z815" s="58"/>
    </row>
    <row r="816" spans="1:26">
      <c r="A816" s="50" t="s">
        <v>47</v>
      </c>
      <c r="B816" s="51" t="s">
        <v>192</v>
      </c>
      <c r="C816" s="52"/>
      <c r="D816" s="53">
        <v>2021</v>
      </c>
      <c r="E816" s="37">
        <v>4155260900</v>
      </c>
      <c r="F816" s="37">
        <v>6587843262</v>
      </c>
      <c r="G816" s="37">
        <v>4295978576.1999998</v>
      </c>
      <c r="H816" s="37">
        <v>0</v>
      </c>
      <c r="I816" s="55">
        <f t="shared" si="38"/>
        <v>15039082738.200001</v>
      </c>
      <c r="J816" s="60">
        <v>-1604</v>
      </c>
      <c r="K816" s="56">
        <f t="shared" si="37"/>
        <v>15039081134.200001</v>
      </c>
      <c r="L816" s="60">
        <v>0</v>
      </c>
      <c r="M816" s="69"/>
      <c r="O816" s="38"/>
      <c r="P816" s="35">
        <v>958275756.45000005</v>
      </c>
      <c r="Q816" s="35">
        <v>308549395</v>
      </c>
      <c r="V816" s="38"/>
      <c r="W816" s="58"/>
      <c r="X816" s="58"/>
      <c r="Y816" s="58"/>
      <c r="Z816" s="58"/>
    </row>
    <row r="817" spans="1:26">
      <c r="A817" s="50" t="s">
        <v>47</v>
      </c>
      <c r="B817" s="51" t="s">
        <v>192</v>
      </c>
      <c r="C817" s="52"/>
      <c r="D817" s="53">
        <v>2022</v>
      </c>
      <c r="E817" s="37">
        <v>4057327044</v>
      </c>
      <c r="F817" s="37">
        <v>10089076473</v>
      </c>
      <c r="G817" s="37">
        <v>4722865893</v>
      </c>
      <c r="H817" s="37">
        <v>0</v>
      </c>
      <c r="I817" s="55">
        <f t="shared" si="38"/>
        <v>18869269410</v>
      </c>
      <c r="J817" s="60">
        <v>-76203</v>
      </c>
      <c r="K817" s="56">
        <f t="shared" si="37"/>
        <v>18869193207</v>
      </c>
      <c r="L817" s="60">
        <v>0</v>
      </c>
      <c r="M817" s="69"/>
      <c r="O817" s="38" t="str">
        <f>IF([1]totrevprm!O820="","",[1]totrevprm!O820)</f>
        <v/>
      </c>
      <c r="P817" s="60">
        <v>1015288566</v>
      </c>
      <c r="Q817" s="60">
        <v>310609411</v>
      </c>
    </row>
    <row r="818" spans="1:26">
      <c r="A818" s="50" t="s">
        <v>47</v>
      </c>
      <c r="B818" s="51" t="s">
        <v>192</v>
      </c>
      <c r="C818" s="52"/>
      <c r="D818" s="53">
        <v>2023</v>
      </c>
      <c r="E818" s="37">
        <v>4134897948</v>
      </c>
      <c r="F818" s="37">
        <v>11076641670.312</v>
      </c>
      <c r="G818" s="37">
        <v>4947617051.0846004</v>
      </c>
      <c r="H818" s="37">
        <v>0</v>
      </c>
      <c r="I818" s="55">
        <f t="shared" si="38"/>
        <v>20159156669.396599</v>
      </c>
      <c r="J818" s="60">
        <v>-242580</v>
      </c>
      <c r="K818" s="56">
        <f t="shared" si="37"/>
        <v>20158914089.396599</v>
      </c>
      <c r="L818" s="37">
        <v>0</v>
      </c>
      <c r="M818" s="69"/>
      <c r="O818" s="38"/>
      <c r="P818" s="60">
        <v>1145044002.5599999</v>
      </c>
      <c r="Q818" s="60">
        <v>307953568</v>
      </c>
    </row>
    <row r="819" spans="1:26">
      <c r="D819" s="64"/>
      <c r="E819" s="54"/>
      <c r="F819" s="54"/>
      <c r="G819" s="54"/>
      <c r="H819" s="54"/>
      <c r="I819" s="55"/>
      <c r="K819" s="65"/>
      <c r="L819" s="37"/>
      <c r="M819" s="69"/>
      <c r="O819" s="38"/>
    </row>
    <row r="820" spans="1:26">
      <c r="A820" s="50" t="s">
        <v>49</v>
      </c>
      <c r="B820" s="51" t="s">
        <v>424</v>
      </c>
      <c r="C820" s="52" t="s">
        <v>759</v>
      </c>
      <c r="D820" s="53">
        <v>1988</v>
      </c>
      <c r="E820" s="54">
        <v>1855610143</v>
      </c>
      <c r="F820" s="54">
        <v>1553938792</v>
      </c>
      <c r="G820" s="54">
        <v>1453410515</v>
      </c>
      <c r="H820" s="54">
        <v>1109329044</v>
      </c>
      <c r="I820" s="55">
        <f t="shared" si="38"/>
        <v>5972288494</v>
      </c>
      <c r="J820" s="54">
        <v>0</v>
      </c>
      <c r="K820" s="56">
        <f>SUM(I820:J820)</f>
        <v>5972288494</v>
      </c>
      <c r="L820" s="37">
        <v>0</v>
      </c>
      <c r="M820" s="69"/>
      <c r="O820" s="38" t="str">
        <f>IF([1]totrevprm!O821="","",[1]totrevprm!O821)</f>
        <v/>
      </c>
    </row>
    <row r="821" spans="1:26">
      <c r="A821" s="50" t="s">
        <v>49</v>
      </c>
      <c r="B821" s="51" t="s">
        <v>424</v>
      </c>
      <c r="C821" s="52" t="s">
        <v>731</v>
      </c>
      <c r="D821" s="53">
        <v>1989</v>
      </c>
      <c r="E821" s="54">
        <v>1857049022</v>
      </c>
      <c r="F821" s="54">
        <v>1735316639</v>
      </c>
      <c r="G821" s="54">
        <v>1545578978</v>
      </c>
      <c r="H821" s="54">
        <v>1163623048</v>
      </c>
      <c r="I821" s="55">
        <f t="shared" si="38"/>
        <v>6301567687</v>
      </c>
      <c r="J821" s="54">
        <v>0</v>
      </c>
      <c r="K821" s="56">
        <f t="shared" ref="K821:K855" si="39">SUM(I821:J821)</f>
        <v>6301567687</v>
      </c>
      <c r="L821" s="37">
        <v>0</v>
      </c>
      <c r="M821" s="69"/>
      <c r="O821" s="38" t="str">
        <f>IF([1]totrevprm!O822="","",[1]totrevprm!O822)</f>
        <v/>
      </c>
    </row>
    <row r="822" spans="1:26">
      <c r="A822" s="50" t="s">
        <v>49</v>
      </c>
      <c r="B822" s="51" t="s">
        <v>424</v>
      </c>
      <c r="C822" s="52" t="s">
        <v>731</v>
      </c>
      <c r="D822" s="53">
        <v>1990</v>
      </c>
      <c r="E822" s="54">
        <v>2000769568</v>
      </c>
      <c r="F822" s="54">
        <v>1777661273.8399999</v>
      </c>
      <c r="G822" s="54">
        <v>1589421636</v>
      </c>
      <c r="H822" s="54">
        <v>1362796754</v>
      </c>
      <c r="I822" s="55">
        <f t="shared" si="38"/>
        <v>6730649231.8400002</v>
      </c>
      <c r="J822" s="54">
        <v>0</v>
      </c>
      <c r="K822" s="56">
        <f t="shared" si="39"/>
        <v>6730649231.8400002</v>
      </c>
      <c r="L822" s="37">
        <v>0</v>
      </c>
      <c r="M822" s="69"/>
      <c r="O822" s="38" t="str">
        <f>IF([1]totrevprm!O823="","",[1]totrevprm!O823)</f>
        <v/>
      </c>
    </row>
    <row r="823" spans="1:26">
      <c r="A823" s="50" t="s">
        <v>49</v>
      </c>
      <c r="B823" s="51" t="s">
        <v>424</v>
      </c>
      <c r="C823" s="52" t="s">
        <v>731</v>
      </c>
      <c r="D823" s="53">
        <v>1991</v>
      </c>
      <c r="E823" s="54">
        <v>2210053550</v>
      </c>
      <c r="F823" s="54">
        <v>1668950527</v>
      </c>
      <c r="G823" s="54">
        <v>1581154698</v>
      </c>
      <c r="H823" s="54">
        <v>1384626158</v>
      </c>
      <c r="I823" s="55">
        <f t="shared" si="38"/>
        <v>6844784933</v>
      </c>
      <c r="J823" s="54">
        <v>0</v>
      </c>
      <c r="K823" s="56">
        <f t="shared" si="39"/>
        <v>6844784933</v>
      </c>
      <c r="L823" s="37">
        <v>0</v>
      </c>
      <c r="M823" s="69"/>
      <c r="O823" s="38" t="str">
        <f>IF([1]totrevprm!O824="","",[1]totrevprm!O824)</f>
        <v/>
      </c>
    </row>
    <row r="824" spans="1:26">
      <c r="A824" s="50" t="s">
        <v>49</v>
      </c>
      <c r="B824" s="51" t="s">
        <v>424</v>
      </c>
      <c r="C824" s="52" t="s">
        <v>731</v>
      </c>
      <c r="D824" s="53">
        <v>1992</v>
      </c>
      <c r="E824" s="54">
        <v>2248287675</v>
      </c>
      <c r="F824" s="54">
        <v>1792416490.0799999</v>
      </c>
      <c r="G824" s="54">
        <v>1601874646</v>
      </c>
      <c r="H824" s="54">
        <v>1070650293</v>
      </c>
      <c r="I824" s="55">
        <f t="shared" si="38"/>
        <v>6713229104.0799999</v>
      </c>
      <c r="J824" s="54">
        <v>0</v>
      </c>
      <c r="K824" s="56">
        <f t="shared" si="39"/>
        <v>6713229104.0799999</v>
      </c>
      <c r="L824" s="37">
        <v>0</v>
      </c>
      <c r="M824" s="69"/>
      <c r="O824" s="38" t="str">
        <f>IF([1]totrevprm!O825="","",[1]totrevprm!O825)</f>
        <v/>
      </c>
    </row>
    <row r="825" spans="1:26">
      <c r="A825" s="50" t="s">
        <v>49</v>
      </c>
      <c r="B825" s="51" t="s">
        <v>424</v>
      </c>
      <c r="C825" s="52" t="s">
        <v>731</v>
      </c>
      <c r="D825" s="53">
        <v>1993</v>
      </c>
      <c r="E825" s="54">
        <v>2485353453</v>
      </c>
      <c r="F825" s="54">
        <v>1736664084</v>
      </c>
      <c r="G825" s="54">
        <v>1604167301</v>
      </c>
      <c r="H825" s="54">
        <v>867041942</v>
      </c>
      <c r="I825" s="55">
        <f t="shared" si="38"/>
        <v>6693226780</v>
      </c>
      <c r="J825" s="54">
        <v>0</v>
      </c>
      <c r="K825" s="56">
        <f t="shared" si="39"/>
        <v>6693226780</v>
      </c>
      <c r="L825" s="37">
        <v>0</v>
      </c>
      <c r="M825" s="69"/>
      <c r="O825" s="38" t="str">
        <f>IF([1]totrevprm!O826="","",[1]totrevprm!O826)</f>
        <v/>
      </c>
    </row>
    <row r="826" spans="1:26">
      <c r="A826" s="50" t="s">
        <v>49</v>
      </c>
      <c r="B826" s="51" t="s">
        <v>424</v>
      </c>
      <c r="C826" s="52" t="s">
        <v>731</v>
      </c>
      <c r="D826" s="53">
        <v>1994</v>
      </c>
      <c r="E826" s="54">
        <v>2978805847</v>
      </c>
      <c r="F826" s="54">
        <v>2297267431</v>
      </c>
      <c r="G826" s="54">
        <v>1706897004</v>
      </c>
      <c r="H826" s="54">
        <v>1011661921</v>
      </c>
      <c r="I826" s="55">
        <f t="shared" si="38"/>
        <v>7994632203</v>
      </c>
      <c r="J826" s="54">
        <v>0</v>
      </c>
      <c r="K826" s="56">
        <f t="shared" si="39"/>
        <v>7994632203</v>
      </c>
      <c r="L826" s="37">
        <v>0</v>
      </c>
      <c r="M826" s="69"/>
      <c r="O826" s="38" t="str">
        <f>IF([1]totrevprm!O827="","",[1]totrevprm!O827)</f>
        <v/>
      </c>
    </row>
    <row r="827" spans="1:26">
      <c r="A827" s="50" t="s">
        <v>49</v>
      </c>
      <c r="B827" s="51" t="s">
        <v>424</v>
      </c>
      <c r="C827" s="52" t="s">
        <v>731</v>
      </c>
      <c r="D827" s="53">
        <v>1995</v>
      </c>
      <c r="E827" s="54">
        <v>2918346470</v>
      </c>
      <c r="F827" s="54">
        <v>2171776437</v>
      </c>
      <c r="G827" s="54">
        <v>1859132636</v>
      </c>
      <c r="H827" s="54">
        <v>1022581380</v>
      </c>
      <c r="I827" s="55">
        <f t="shared" si="38"/>
        <v>7971836923</v>
      </c>
      <c r="J827" s="54">
        <v>0</v>
      </c>
      <c r="K827" s="56">
        <f t="shared" si="39"/>
        <v>7971836923</v>
      </c>
      <c r="L827" s="37">
        <v>0</v>
      </c>
      <c r="M827" s="69"/>
      <c r="O827" s="38" t="str">
        <f>IF([1]totrevprm!O828="","",[1]totrevprm!O828)</f>
        <v/>
      </c>
    </row>
    <row r="828" spans="1:26">
      <c r="A828" s="50" t="s">
        <v>49</v>
      </c>
      <c r="B828" s="51" t="s">
        <v>424</v>
      </c>
      <c r="C828" s="52" t="s">
        <v>731</v>
      </c>
      <c r="D828" s="53">
        <v>1996</v>
      </c>
      <c r="E828" s="54">
        <v>3063404886</v>
      </c>
      <c r="F828" s="54">
        <v>1979040338</v>
      </c>
      <c r="G828" s="54">
        <v>1985247343</v>
      </c>
      <c r="H828" s="54">
        <v>820203637</v>
      </c>
      <c r="I828" s="55">
        <f t="shared" si="38"/>
        <v>7847896204</v>
      </c>
      <c r="J828" s="54">
        <v>0</v>
      </c>
      <c r="K828" s="56">
        <f t="shared" si="39"/>
        <v>7847896204</v>
      </c>
      <c r="L828" s="37">
        <v>0</v>
      </c>
      <c r="M828" s="69"/>
      <c r="O828" s="38" t="str">
        <f>IF([1]totrevprm!O829="","",[1]totrevprm!O829)</f>
        <v/>
      </c>
    </row>
    <row r="829" spans="1:26">
      <c r="A829" s="50" t="s">
        <v>49</v>
      </c>
      <c r="B829" s="51" t="s">
        <v>424</v>
      </c>
      <c r="C829" s="52" t="s">
        <v>731</v>
      </c>
      <c r="D829" s="53">
        <v>1997</v>
      </c>
      <c r="E829" s="54">
        <v>3007994700</v>
      </c>
      <c r="F829" s="54">
        <v>1957958270</v>
      </c>
      <c r="G829" s="54">
        <v>2034634179</v>
      </c>
      <c r="H829" s="54">
        <v>627329550</v>
      </c>
      <c r="I829" s="55">
        <f t="shared" si="38"/>
        <v>7627916699</v>
      </c>
      <c r="J829" s="54">
        <v>0</v>
      </c>
      <c r="K829" s="56">
        <f t="shared" si="39"/>
        <v>7627916699</v>
      </c>
      <c r="L829" s="37">
        <v>0</v>
      </c>
      <c r="M829" s="69"/>
      <c r="O829" s="38" t="str">
        <f>IF([1]totrevprm!O830="","",[1]totrevprm!O830)</f>
        <v/>
      </c>
    </row>
    <row r="830" spans="1:26">
      <c r="A830" s="50" t="s">
        <v>49</v>
      </c>
      <c r="B830" s="51" t="s">
        <v>424</v>
      </c>
      <c r="C830" s="52" t="s">
        <v>731</v>
      </c>
      <c r="D830" s="53">
        <v>1998</v>
      </c>
      <c r="E830" s="54">
        <v>2705992023</v>
      </c>
      <c r="F830" s="54">
        <v>1898792707</v>
      </c>
      <c r="G830" s="54">
        <v>2066435426</v>
      </c>
      <c r="H830" s="54">
        <v>713488177</v>
      </c>
      <c r="I830" s="55">
        <f t="shared" si="38"/>
        <v>7384708333</v>
      </c>
      <c r="J830" s="54">
        <v>0</v>
      </c>
      <c r="K830" s="56">
        <f t="shared" si="39"/>
        <v>7384708333</v>
      </c>
      <c r="L830" s="37">
        <v>0</v>
      </c>
      <c r="M830" s="69"/>
      <c r="O830" s="38" t="str">
        <f>IF([1]totrevprm!O831="","",[1]totrevprm!O831)</f>
        <v/>
      </c>
    </row>
    <row r="831" spans="1:26">
      <c r="A831" s="50" t="s">
        <v>49</v>
      </c>
      <c r="B831" s="51" t="s">
        <v>424</v>
      </c>
      <c r="C831" s="52" t="s">
        <v>731</v>
      </c>
      <c r="D831" s="53">
        <v>1999</v>
      </c>
      <c r="E831" s="54">
        <v>2763504926</v>
      </c>
      <c r="F831" s="54">
        <v>2594015398</v>
      </c>
      <c r="G831" s="54">
        <v>2216388274</v>
      </c>
      <c r="H831" s="54">
        <v>966991661</v>
      </c>
      <c r="I831" s="55">
        <f t="shared" si="38"/>
        <v>8540900259</v>
      </c>
      <c r="J831" s="54">
        <v>0</v>
      </c>
      <c r="K831" s="56">
        <f t="shared" si="39"/>
        <v>8540900259</v>
      </c>
      <c r="L831" s="37">
        <v>0</v>
      </c>
      <c r="M831" s="69"/>
      <c r="O831" s="38" t="str">
        <f>IF([1]totrevprm!O832="","",[1]totrevprm!O832)</f>
        <v/>
      </c>
    </row>
    <row r="832" spans="1:26">
      <c r="A832" s="50" t="s">
        <v>49</v>
      </c>
      <c r="B832" s="51" t="s">
        <v>424</v>
      </c>
      <c r="C832" s="52" t="s">
        <v>731</v>
      </c>
      <c r="D832" s="53">
        <v>2000</v>
      </c>
      <c r="E832" s="54">
        <v>2744918659</v>
      </c>
      <c r="F832" s="54">
        <v>2813655418</v>
      </c>
      <c r="G832" s="54">
        <v>2350271075</v>
      </c>
      <c r="H832" s="54">
        <v>589261451</v>
      </c>
      <c r="I832" s="55">
        <f t="shared" si="38"/>
        <v>8498106603</v>
      </c>
      <c r="J832" s="54">
        <v>0</v>
      </c>
      <c r="K832" s="56">
        <f t="shared" si="39"/>
        <v>8498106603</v>
      </c>
      <c r="L832" s="37">
        <v>0</v>
      </c>
      <c r="M832" s="69"/>
      <c r="O832" s="38" t="str">
        <f>IF([1]totrevprm!O833="","",[1]totrevprm!O833)</f>
        <v/>
      </c>
      <c r="V832" s="38" t="s">
        <v>424</v>
      </c>
      <c r="W832" s="58">
        <v>1236655</v>
      </c>
      <c r="X832" s="58">
        <v>147625173</v>
      </c>
      <c r="Y832" s="58">
        <v>26309494</v>
      </c>
      <c r="Z832" s="58">
        <v>0</v>
      </c>
    </row>
    <row r="833" spans="1:26">
      <c r="A833" s="50" t="s">
        <v>49</v>
      </c>
      <c r="B833" s="51" t="s">
        <v>424</v>
      </c>
      <c r="C833" s="52" t="s">
        <v>731</v>
      </c>
      <c r="D833" s="53">
        <v>2001</v>
      </c>
      <c r="E833" s="54">
        <v>2887372556</v>
      </c>
      <c r="F833" s="54">
        <v>3677775868</v>
      </c>
      <c r="G833" s="54">
        <v>2519311845</v>
      </c>
      <c r="H833" s="54">
        <v>610006815</v>
      </c>
      <c r="I833" s="55">
        <f t="shared" si="38"/>
        <v>9694467084</v>
      </c>
      <c r="J833" s="54">
        <v>0</v>
      </c>
      <c r="K833" s="56">
        <f t="shared" si="39"/>
        <v>9694467084</v>
      </c>
      <c r="L833" s="37">
        <v>0</v>
      </c>
      <c r="M833" s="69"/>
      <c r="O833" s="38" t="str">
        <f>IF([1]totrevprm!O834="","",[1]totrevprm!O834)</f>
        <v/>
      </c>
      <c r="V833" s="38"/>
      <c r="W833" s="58"/>
      <c r="X833" s="58"/>
      <c r="Y833" s="58"/>
      <c r="Z833" s="58"/>
    </row>
    <row r="834" spans="1:26">
      <c r="A834" s="50" t="s">
        <v>49</v>
      </c>
      <c r="B834" s="51" t="s">
        <v>424</v>
      </c>
      <c r="C834" s="52" t="s">
        <v>731</v>
      </c>
      <c r="D834" s="53">
        <v>2002</v>
      </c>
      <c r="E834" s="54">
        <v>2850227855</v>
      </c>
      <c r="F834" s="54">
        <v>5533889969</v>
      </c>
      <c r="G834" s="54">
        <v>2596503507</v>
      </c>
      <c r="H834" s="54">
        <v>870994054</v>
      </c>
      <c r="I834" s="55">
        <f t="shared" si="38"/>
        <v>11851615385</v>
      </c>
      <c r="J834" s="54">
        <v>0</v>
      </c>
      <c r="K834" s="56">
        <f t="shared" si="39"/>
        <v>11851615385</v>
      </c>
      <c r="L834" s="37">
        <v>0</v>
      </c>
      <c r="M834" s="69"/>
      <c r="O834" s="38" t="str">
        <f>IF([1]totrevprm!O835="","",[1]totrevprm!O835)</f>
        <v/>
      </c>
      <c r="V834" s="38"/>
      <c r="W834" s="58"/>
      <c r="X834" s="58"/>
      <c r="Y834" s="58"/>
      <c r="Z834" s="58"/>
    </row>
    <row r="835" spans="1:26">
      <c r="A835" s="50" t="s">
        <v>49</v>
      </c>
      <c r="B835" s="51" t="s">
        <v>424</v>
      </c>
      <c r="C835" s="52" t="s">
        <v>731</v>
      </c>
      <c r="D835" s="53">
        <v>2003</v>
      </c>
      <c r="E835" s="59">
        <v>2963186613</v>
      </c>
      <c r="F835" s="59">
        <v>5222886535</v>
      </c>
      <c r="G835" s="59">
        <v>2869234562</v>
      </c>
      <c r="H835" s="59">
        <v>673768879</v>
      </c>
      <c r="I835" s="55">
        <f t="shared" si="38"/>
        <v>11729076589</v>
      </c>
      <c r="J835" s="54">
        <v>0</v>
      </c>
      <c r="K835" s="56">
        <f t="shared" si="39"/>
        <v>11729076589</v>
      </c>
      <c r="L835" s="37">
        <v>0</v>
      </c>
      <c r="M835" s="69"/>
      <c r="O835" s="38" t="str">
        <f>IF([1]totrevprm!O836="","",[1]totrevprm!O836)</f>
        <v/>
      </c>
      <c r="V835" s="38"/>
      <c r="W835" s="58"/>
      <c r="X835" s="58"/>
      <c r="Y835" s="58"/>
      <c r="Z835" s="58"/>
    </row>
    <row r="836" spans="1:26">
      <c r="A836" s="50" t="s">
        <v>49</v>
      </c>
      <c r="B836" s="51" t="s">
        <v>424</v>
      </c>
      <c r="C836" s="52" t="s">
        <v>731</v>
      </c>
      <c r="D836" s="53">
        <v>2004</v>
      </c>
      <c r="E836" s="59">
        <v>2979157174</v>
      </c>
      <c r="F836" s="59">
        <v>5118497631</v>
      </c>
      <c r="G836" s="59">
        <v>3072445243</v>
      </c>
      <c r="H836" s="59">
        <v>831153682</v>
      </c>
      <c r="I836" s="55">
        <f t="shared" si="38"/>
        <v>12001253730</v>
      </c>
      <c r="J836" s="54">
        <v>0</v>
      </c>
      <c r="K836" s="56">
        <f t="shared" si="39"/>
        <v>12001253730</v>
      </c>
      <c r="L836" s="37">
        <v>0</v>
      </c>
      <c r="M836" s="69"/>
      <c r="O836" s="38" t="str">
        <f>IF([1]totrevprm!O837="","",[1]totrevprm!O837)</f>
        <v/>
      </c>
      <c r="V836" s="38"/>
      <c r="W836" s="58"/>
      <c r="X836" s="58"/>
      <c r="Y836" s="58"/>
      <c r="Z836" s="58"/>
    </row>
    <row r="837" spans="1:26">
      <c r="A837" s="50" t="s">
        <v>49</v>
      </c>
      <c r="B837" s="51" t="s">
        <v>424</v>
      </c>
      <c r="C837" s="52"/>
      <c r="D837" s="53">
        <v>2005</v>
      </c>
      <c r="E837" s="59">
        <v>3108986092</v>
      </c>
      <c r="F837" s="59">
        <v>3484001258</v>
      </c>
      <c r="G837" s="59">
        <v>3247417326.4699998</v>
      </c>
      <c r="H837" s="59">
        <v>863608289</v>
      </c>
      <c r="I837" s="55">
        <f t="shared" si="38"/>
        <v>10704012965.469999</v>
      </c>
      <c r="J837" s="54">
        <v>0</v>
      </c>
      <c r="K837" s="56">
        <f t="shared" si="39"/>
        <v>10704012965.469999</v>
      </c>
      <c r="L837" s="37">
        <v>0</v>
      </c>
      <c r="M837" s="69"/>
      <c r="O837" s="38" t="str">
        <f>IF([1]totrevprm!O838="","",[1]totrevprm!O838)</f>
        <v/>
      </c>
      <c r="V837" s="38"/>
      <c r="W837" s="58"/>
      <c r="X837" s="58"/>
      <c r="Y837" s="58"/>
      <c r="Z837" s="58"/>
    </row>
    <row r="838" spans="1:26">
      <c r="A838" s="50" t="s">
        <v>49</v>
      </c>
      <c r="B838" s="51" t="s">
        <v>424</v>
      </c>
      <c r="C838" s="52"/>
      <c r="D838" s="53">
        <v>2006</v>
      </c>
      <c r="E838" s="37">
        <v>3240263338</v>
      </c>
      <c r="F838" s="37">
        <v>3346004387</v>
      </c>
      <c r="G838" s="37">
        <v>3513831752</v>
      </c>
      <c r="H838" s="37">
        <v>1000164584</v>
      </c>
      <c r="I838" s="55">
        <f t="shared" si="38"/>
        <v>11100264061</v>
      </c>
      <c r="J838" s="54">
        <v>0</v>
      </c>
      <c r="K838" s="56">
        <f t="shared" si="39"/>
        <v>11100264061</v>
      </c>
      <c r="L838" s="37">
        <v>0</v>
      </c>
      <c r="M838" s="69"/>
      <c r="O838" s="38" t="str">
        <f>IF([1]totrevprm!O839="","",[1]totrevprm!O839)</f>
        <v/>
      </c>
      <c r="V838" s="38"/>
      <c r="W838" s="58"/>
      <c r="X838" s="58"/>
      <c r="Y838" s="58"/>
      <c r="Z838" s="58"/>
    </row>
    <row r="839" spans="1:26">
      <c r="A839" s="50" t="s">
        <v>49</v>
      </c>
      <c r="B839" s="51" t="s">
        <v>424</v>
      </c>
      <c r="C839" s="52"/>
      <c r="D839" s="53">
        <v>2007</v>
      </c>
      <c r="E839" s="37">
        <v>3378928574</v>
      </c>
      <c r="F839" s="37">
        <v>5199853673</v>
      </c>
      <c r="G839" s="37">
        <v>3625761777</v>
      </c>
      <c r="H839" s="37">
        <v>204765259</v>
      </c>
      <c r="I839" s="55">
        <f t="shared" si="38"/>
        <v>12409309283</v>
      </c>
      <c r="J839" s="54">
        <v>0</v>
      </c>
      <c r="K839" s="56">
        <f t="shared" si="39"/>
        <v>12409309283</v>
      </c>
      <c r="L839" s="35">
        <v>32267065</v>
      </c>
      <c r="M839" s="69" t="s">
        <v>735</v>
      </c>
      <c r="N839" t="s">
        <v>708</v>
      </c>
      <c r="O839" s="38" t="str">
        <f>IF([1]totrevprm!O840="","",[1]totrevprm!O840)</f>
        <v/>
      </c>
      <c r="T839" s="68"/>
      <c r="V839" s="38"/>
      <c r="W839" s="58"/>
      <c r="X839" s="58"/>
      <c r="Y839" s="58"/>
      <c r="Z839" s="58"/>
    </row>
    <row r="840" spans="1:26">
      <c r="A840" s="50" t="s">
        <v>49</v>
      </c>
      <c r="B840" s="51" t="s">
        <v>424</v>
      </c>
      <c r="C840" s="52"/>
      <c r="D840" s="53">
        <v>2008</v>
      </c>
      <c r="E840" s="37">
        <v>3398242792</v>
      </c>
      <c r="F840" s="37">
        <v>6971365843</v>
      </c>
      <c r="G840" s="37">
        <v>3735958190</v>
      </c>
      <c r="H840" s="37">
        <v>181782106</v>
      </c>
      <c r="I840" s="55">
        <f t="shared" si="38"/>
        <v>14287348931</v>
      </c>
      <c r="J840" s="54">
        <v>0</v>
      </c>
      <c r="K840" s="56">
        <f t="shared" si="39"/>
        <v>14287348931</v>
      </c>
      <c r="L840" s="35">
        <v>74124946</v>
      </c>
      <c r="M840" s="69" t="s">
        <v>735</v>
      </c>
      <c r="N840" t="s">
        <v>708</v>
      </c>
      <c r="O840" s="38" t="str">
        <f>IF([1]totrevprm!O841="","",[1]totrevprm!O841)</f>
        <v/>
      </c>
      <c r="T840" s="68"/>
      <c r="V840" s="38"/>
      <c r="W840" s="58"/>
      <c r="X840" s="58"/>
      <c r="Y840" s="58"/>
      <c r="Z840" s="58"/>
    </row>
    <row r="841" spans="1:26">
      <c r="A841" s="50" t="s">
        <v>49</v>
      </c>
      <c r="B841" s="51" t="s">
        <v>424</v>
      </c>
      <c r="C841" s="52"/>
      <c r="D841" s="53">
        <v>2009</v>
      </c>
      <c r="E841" s="37">
        <v>3496112436</v>
      </c>
      <c r="F841" s="37">
        <v>6774875329</v>
      </c>
      <c r="G841" s="37">
        <v>3862073413</v>
      </c>
      <c r="H841" s="37">
        <v>239954343</v>
      </c>
      <c r="I841" s="55">
        <f t="shared" si="38"/>
        <v>14373015521</v>
      </c>
      <c r="J841" s="54">
        <v>0</v>
      </c>
      <c r="K841" s="56">
        <f t="shared" si="39"/>
        <v>14373015521</v>
      </c>
      <c r="L841" s="35">
        <v>52294332</v>
      </c>
      <c r="M841" s="69" t="s">
        <v>735</v>
      </c>
      <c r="N841" t="s">
        <v>708</v>
      </c>
      <c r="O841" s="38" t="str">
        <f>IF([1]totrevprm!O842="","",[1]totrevprm!O842)</f>
        <v/>
      </c>
      <c r="T841" s="68"/>
      <c r="V841" s="38"/>
      <c r="W841" s="58"/>
      <c r="X841" s="58"/>
      <c r="Y841" s="58"/>
      <c r="Z841" s="58"/>
    </row>
    <row r="842" spans="1:26">
      <c r="A842" s="50" t="s">
        <v>49</v>
      </c>
      <c r="B842" s="51" t="s">
        <v>424</v>
      </c>
      <c r="C842" s="52"/>
      <c r="D842" s="53">
        <v>2010</v>
      </c>
      <c r="E842" s="37">
        <v>3367282320</v>
      </c>
      <c r="F842" s="37">
        <v>5752143799</v>
      </c>
      <c r="G842" s="37">
        <v>3872365308</v>
      </c>
      <c r="H842" s="37">
        <v>448725475</v>
      </c>
      <c r="I842" s="55">
        <f t="shared" si="38"/>
        <v>13440516902</v>
      </c>
      <c r="J842" s="54">
        <v>0</v>
      </c>
      <c r="K842" s="56">
        <f t="shared" si="39"/>
        <v>13440516902</v>
      </c>
      <c r="L842" s="35">
        <v>55951011</v>
      </c>
      <c r="M842" s="69" t="s">
        <v>735</v>
      </c>
      <c r="N842" t="s">
        <v>708</v>
      </c>
      <c r="O842" s="38" t="str">
        <f>IF([1]totrevprm!O843="","",[1]totrevprm!O843)</f>
        <v/>
      </c>
      <c r="T842" s="68"/>
      <c r="V842" s="38"/>
      <c r="W842" s="58"/>
      <c r="X842" s="58"/>
      <c r="Y842" s="58"/>
      <c r="Z842" s="58"/>
    </row>
    <row r="843" spans="1:26">
      <c r="A843" s="50" t="s">
        <v>49</v>
      </c>
      <c r="B843" s="51" t="s">
        <v>424</v>
      </c>
      <c r="C843" s="52"/>
      <c r="D843" s="53">
        <v>2011</v>
      </c>
      <c r="E843" s="37">
        <v>3587277632</v>
      </c>
      <c r="F843" s="37">
        <v>5302074085</v>
      </c>
      <c r="G843" s="37">
        <v>3850455944</v>
      </c>
      <c r="H843" s="37">
        <v>220526904</v>
      </c>
      <c r="I843" s="55">
        <f t="shared" si="38"/>
        <v>12960334565</v>
      </c>
      <c r="J843" s="54">
        <v>0</v>
      </c>
      <c r="K843" s="56">
        <f t="shared" si="39"/>
        <v>12960334565</v>
      </c>
      <c r="L843" s="35">
        <v>50897064</v>
      </c>
      <c r="M843" s="69" t="s">
        <v>735</v>
      </c>
      <c r="N843" t="s">
        <v>708</v>
      </c>
      <c r="O843" s="38" t="str">
        <f>IF([1]totrevprm!O844="","",[1]totrevprm!O844)</f>
        <v/>
      </c>
      <c r="T843" s="68"/>
      <c r="V843" s="38"/>
      <c r="W843" s="58"/>
      <c r="X843" s="58"/>
      <c r="Y843" s="58"/>
      <c r="Z843" s="58"/>
    </row>
    <row r="844" spans="1:26">
      <c r="A844" s="50" t="s">
        <v>49</v>
      </c>
      <c r="B844" s="51" t="s">
        <v>424</v>
      </c>
      <c r="C844" s="52"/>
      <c r="D844" s="53">
        <v>2012</v>
      </c>
      <c r="E844" s="37">
        <v>3785248974</v>
      </c>
      <c r="F844" s="37">
        <v>16699152333</v>
      </c>
      <c r="G844" s="37">
        <v>3919552247</v>
      </c>
      <c r="H844" s="37">
        <v>133108327</v>
      </c>
      <c r="I844" s="55">
        <f t="shared" si="38"/>
        <v>24537061881</v>
      </c>
      <c r="J844" s="54">
        <v>0</v>
      </c>
      <c r="K844" s="56">
        <f t="shared" si="39"/>
        <v>24537061881</v>
      </c>
      <c r="L844" s="35">
        <v>51358217</v>
      </c>
      <c r="M844" s="69" t="s">
        <v>735</v>
      </c>
      <c r="N844" t="s">
        <v>708</v>
      </c>
      <c r="O844" s="38" t="str">
        <f>IF([1]totrevprm!O845="","",[1]totrevprm!O845)</f>
        <v/>
      </c>
      <c r="T844" s="68"/>
      <c r="V844" s="38"/>
      <c r="W844" s="58"/>
      <c r="X844" s="58"/>
      <c r="Y844" s="58"/>
      <c r="Z844" s="58"/>
    </row>
    <row r="845" spans="1:26">
      <c r="A845" s="50" t="s">
        <v>49</v>
      </c>
      <c r="B845" s="51" t="s">
        <v>424</v>
      </c>
      <c r="C845" s="52"/>
      <c r="D845" s="53">
        <v>2013</v>
      </c>
      <c r="E845" s="37">
        <v>3790056019</v>
      </c>
      <c r="F845" s="37">
        <v>6239406900</v>
      </c>
      <c r="G845" s="37">
        <v>3847629926</v>
      </c>
      <c r="H845" s="37">
        <v>118106896</v>
      </c>
      <c r="I845" s="55">
        <f t="shared" si="38"/>
        <v>13995199741</v>
      </c>
      <c r="J845" s="54">
        <v>0</v>
      </c>
      <c r="K845" s="56">
        <f t="shared" si="39"/>
        <v>13995199741</v>
      </c>
      <c r="L845" s="35">
        <v>52841229</v>
      </c>
      <c r="M845" s="69" t="s">
        <v>735</v>
      </c>
      <c r="N845" t="s">
        <v>708</v>
      </c>
      <c r="O845" s="38" t="str">
        <f>IF([1]totrevprm!O846="","",[1]totrevprm!O846)</f>
        <v/>
      </c>
      <c r="T845" s="68"/>
      <c r="V845" s="38"/>
      <c r="W845" s="58"/>
      <c r="X845" s="58"/>
      <c r="Y845" s="58"/>
      <c r="Z845" s="58"/>
    </row>
    <row r="846" spans="1:26">
      <c r="A846" s="50" t="s">
        <v>49</v>
      </c>
      <c r="B846" s="51" t="s">
        <v>424</v>
      </c>
      <c r="C846" s="52"/>
      <c r="D846" s="53">
        <v>2014</v>
      </c>
      <c r="E846" s="37">
        <v>3965582164</v>
      </c>
      <c r="F846" s="37">
        <v>8010524609</v>
      </c>
      <c r="G846" s="37">
        <v>9436172712</v>
      </c>
      <c r="H846" s="37">
        <v>126587043</v>
      </c>
      <c r="I846" s="55">
        <f t="shared" si="38"/>
        <v>21538866528</v>
      </c>
      <c r="J846" s="54">
        <v>0</v>
      </c>
      <c r="K846" s="56">
        <f t="shared" si="39"/>
        <v>21538866528</v>
      </c>
      <c r="L846" s="37">
        <v>67468573</v>
      </c>
      <c r="M846" s="69" t="s">
        <v>735</v>
      </c>
      <c r="N846" t="s">
        <v>708</v>
      </c>
      <c r="O846" s="38" t="str">
        <f>IF([1]totrevprm!O847="","",[1]totrevprm!O847)</f>
        <v/>
      </c>
      <c r="T846" s="68"/>
      <c r="V846" s="38"/>
      <c r="W846" s="58"/>
      <c r="X846" s="58"/>
      <c r="Y846" s="58"/>
      <c r="Z846" s="58"/>
    </row>
    <row r="847" spans="1:26">
      <c r="A847" s="50" t="s">
        <v>49</v>
      </c>
      <c r="B847" s="51" t="s">
        <v>424</v>
      </c>
      <c r="C847" s="52"/>
      <c r="D847" s="53">
        <v>2015</v>
      </c>
      <c r="E847" s="37">
        <v>4215382978</v>
      </c>
      <c r="F847" s="37">
        <v>6576078638</v>
      </c>
      <c r="G847" s="37">
        <v>9030456530</v>
      </c>
      <c r="H847" s="37">
        <v>285603574</v>
      </c>
      <c r="I847" s="55">
        <f t="shared" si="38"/>
        <v>20107521720</v>
      </c>
      <c r="J847" s="54">
        <v>0</v>
      </c>
      <c r="K847" s="56">
        <f t="shared" si="39"/>
        <v>20107521720</v>
      </c>
      <c r="L847" s="37">
        <v>66193155</v>
      </c>
      <c r="M847" s="69" t="s">
        <v>735</v>
      </c>
      <c r="N847" t="s">
        <v>708</v>
      </c>
      <c r="O847" s="38" t="str">
        <f>IF([1]totrevprm!O848="","",[1]totrevprm!O848)</f>
        <v/>
      </c>
      <c r="P847" s="35">
        <v>668894443.78512442</v>
      </c>
      <c r="Q847" s="35">
        <v>259800009.04671642</v>
      </c>
      <c r="T847" s="68"/>
      <c r="V847" s="38"/>
      <c r="W847" s="58"/>
      <c r="X847" s="58"/>
      <c r="Y847" s="58"/>
      <c r="Z847" s="58"/>
    </row>
    <row r="848" spans="1:26">
      <c r="A848" s="50" t="s">
        <v>49</v>
      </c>
      <c r="B848" s="51" t="s">
        <v>424</v>
      </c>
      <c r="C848" s="52"/>
      <c r="D848" s="53">
        <v>2016</v>
      </c>
      <c r="E848" s="37">
        <v>4355023563</v>
      </c>
      <c r="F848" s="37">
        <v>7704579141</v>
      </c>
      <c r="G848" s="37">
        <v>9196305834</v>
      </c>
      <c r="H848" s="54">
        <v>-44728692</v>
      </c>
      <c r="I848" s="55">
        <f t="shared" si="38"/>
        <v>21211179846</v>
      </c>
      <c r="J848" s="54">
        <v>0</v>
      </c>
      <c r="K848" s="56">
        <f t="shared" si="39"/>
        <v>21211179846</v>
      </c>
      <c r="L848" s="37">
        <v>146593924</v>
      </c>
      <c r="M848" s="69" t="s">
        <v>735</v>
      </c>
      <c r="N848" t="s">
        <v>708</v>
      </c>
      <c r="O848" s="38" t="str">
        <f>IF([1]totrevprm!O849="","",[1]totrevprm!O849)</f>
        <v/>
      </c>
      <c r="P848" s="35">
        <v>702303958.94719017</v>
      </c>
      <c r="Q848" s="35">
        <v>256830778.03045112</v>
      </c>
      <c r="T848" s="68"/>
      <c r="V848" s="38"/>
      <c r="W848" s="58"/>
      <c r="X848" s="58"/>
      <c r="Y848" s="58"/>
      <c r="Z848" s="58"/>
    </row>
    <row r="849" spans="1:26">
      <c r="A849" s="50" t="s">
        <v>49</v>
      </c>
      <c r="B849" s="51" t="s">
        <v>424</v>
      </c>
      <c r="C849" s="52"/>
      <c r="D849" s="53">
        <v>2017</v>
      </c>
      <c r="E849" s="37">
        <v>4477076744</v>
      </c>
      <c r="F849" s="37">
        <v>7877477596</v>
      </c>
      <c r="G849" s="37">
        <v>9254706503</v>
      </c>
      <c r="H849" s="37">
        <v>162285916</v>
      </c>
      <c r="I849" s="55">
        <f t="shared" si="38"/>
        <v>21771546759</v>
      </c>
      <c r="J849" s="54">
        <v>0</v>
      </c>
      <c r="K849" s="56">
        <f t="shared" si="39"/>
        <v>21771546759</v>
      </c>
      <c r="L849" s="60">
        <v>71587545</v>
      </c>
      <c r="M849" s="69" t="s">
        <v>735</v>
      </c>
      <c r="N849" t="s">
        <v>708</v>
      </c>
      <c r="O849" s="38" t="str">
        <f>IF([1]totrevprm!O850="","",[1]totrevprm!O850)</f>
        <v/>
      </c>
      <c r="P849" s="35">
        <v>718701950.78079391</v>
      </c>
      <c r="Q849" s="35">
        <v>252963372.00937012</v>
      </c>
      <c r="T849" s="68"/>
      <c r="V849" s="38"/>
      <c r="W849" s="58"/>
      <c r="X849" s="58"/>
      <c r="Y849" s="58"/>
      <c r="Z849" s="58"/>
    </row>
    <row r="850" spans="1:26">
      <c r="A850" s="50" t="s">
        <v>49</v>
      </c>
      <c r="B850" s="51" t="s">
        <v>424</v>
      </c>
      <c r="C850" s="52"/>
      <c r="D850" s="53">
        <v>2018</v>
      </c>
      <c r="E850" s="37">
        <v>4467037550</v>
      </c>
      <c r="F850" s="37">
        <v>9119518396</v>
      </c>
      <c r="G850" s="37">
        <v>9462296645</v>
      </c>
      <c r="H850" s="37">
        <v>227047283</v>
      </c>
      <c r="I850" s="55">
        <f t="shared" si="38"/>
        <v>23275899874</v>
      </c>
      <c r="J850" s="54">
        <v>0</v>
      </c>
      <c r="K850" s="56">
        <f t="shared" si="39"/>
        <v>23275899874</v>
      </c>
      <c r="L850" s="60">
        <v>230027973</v>
      </c>
      <c r="M850" s="69" t="s">
        <v>735</v>
      </c>
      <c r="N850" t="s">
        <v>708</v>
      </c>
      <c r="O850" s="38" t="str">
        <f>IF([1]totrevprm!O851="","",[1]totrevprm!O851)</f>
        <v/>
      </c>
      <c r="P850" s="35">
        <v>723245474.13460791</v>
      </c>
      <c r="Q850" s="35">
        <v>250569723.87765566</v>
      </c>
      <c r="T850" s="68"/>
      <c r="V850" s="38"/>
      <c r="W850" s="58"/>
      <c r="X850" s="58"/>
      <c r="Y850" s="58"/>
      <c r="Z850" s="58"/>
    </row>
    <row r="851" spans="1:26">
      <c r="A851" s="50" t="s">
        <v>49</v>
      </c>
      <c r="B851" s="51" t="s">
        <v>424</v>
      </c>
      <c r="C851" s="52"/>
      <c r="D851" s="53">
        <v>2019</v>
      </c>
      <c r="E851" s="37">
        <v>4555090603</v>
      </c>
      <c r="F851" s="37">
        <v>8836725438</v>
      </c>
      <c r="G851" s="37">
        <v>9603630594</v>
      </c>
      <c r="H851" s="37">
        <v>148298458</v>
      </c>
      <c r="I851" s="55">
        <f t="shared" si="38"/>
        <v>23143745093</v>
      </c>
      <c r="J851" s="54">
        <v>0</v>
      </c>
      <c r="K851" s="56">
        <f t="shared" si="39"/>
        <v>23143745093</v>
      </c>
      <c r="L851" s="60">
        <v>155386036</v>
      </c>
      <c r="M851" s="69" t="s">
        <v>735</v>
      </c>
      <c r="N851" t="s">
        <v>708</v>
      </c>
      <c r="O851" s="38" t="str">
        <f>IF([1]totrevprm!O852="","",[1]totrevprm!O852)</f>
        <v/>
      </c>
      <c r="P851" s="35">
        <v>785212685.35313022</v>
      </c>
      <c r="Q851" s="35">
        <v>247247482.93360445</v>
      </c>
      <c r="T851" s="68"/>
      <c r="V851" s="38"/>
      <c r="W851" s="58"/>
      <c r="X851" s="58"/>
      <c r="Y851" s="58"/>
      <c r="Z851" s="58"/>
    </row>
    <row r="852" spans="1:26">
      <c r="A852" s="50" t="s">
        <v>49</v>
      </c>
      <c r="B852" s="51" t="s">
        <v>424</v>
      </c>
      <c r="C852" s="52"/>
      <c r="D852" s="53">
        <v>2020</v>
      </c>
      <c r="E852" s="37">
        <v>4665676710</v>
      </c>
      <c r="F852" s="37">
        <v>10038894722</v>
      </c>
      <c r="G852" s="37">
        <v>9521557405</v>
      </c>
      <c r="H852" s="37">
        <v>257796271</v>
      </c>
      <c r="I852" s="55">
        <f t="shared" si="38"/>
        <v>24483925108</v>
      </c>
      <c r="J852" s="54">
        <v>0</v>
      </c>
      <c r="K852" s="56">
        <f t="shared" si="39"/>
        <v>24483925108</v>
      </c>
      <c r="L852" s="60">
        <v>123593299</v>
      </c>
      <c r="M852" s="69" t="s">
        <v>735</v>
      </c>
      <c r="N852" t="s">
        <v>708</v>
      </c>
      <c r="O852" s="38" t="str">
        <f>IF([1]totrevprm!O853="","",[1]totrevprm!O853)</f>
        <v/>
      </c>
      <c r="P852" s="35">
        <v>779391738</v>
      </c>
      <c r="Q852" s="35">
        <v>237109756</v>
      </c>
      <c r="T852" s="68"/>
      <c r="V852" s="38"/>
      <c r="W852" s="58"/>
      <c r="X852" s="58"/>
      <c r="Y852" s="58"/>
      <c r="Z852" s="58"/>
    </row>
    <row r="853" spans="1:26">
      <c r="A853" s="50" t="s">
        <v>49</v>
      </c>
      <c r="B853" s="51" t="s">
        <v>424</v>
      </c>
      <c r="C853" s="52"/>
      <c r="D853" s="53">
        <v>2021</v>
      </c>
      <c r="E853" s="37">
        <v>4864164404</v>
      </c>
      <c r="F853" s="37">
        <v>10896766078</v>
      </c>
      <c r="G853" s="37">
        <v>9741553372</v>
      </c>
      <c r="H853" s="37">
        <v>162303083</v>
      </c>
      <c r="I853" s="55">
        <f t="shared" si="38"/>
        <v>25664786937</v>
      </c>
      <c r="J853" s="54">
        <v>0</v>
      </c>
      <c r="K853" s="56">
        <f t="shared" si="39"/>
        <v>25664786937</v>
      </c>
      <c r="L853" s="54">
        <v>0</v>
      </c>
      <c r="M853" s="69"/>
      <c r="N853" t="s">
        <v>708</v>
      </c>
      <c r="O853" s="38"/>
      <c r="P853" s="35">
        <v>753176499.81999993</v>
      </c>
      <c r="Q853" s="35">
        <v>256091313</v>
      </c>
      <c r="T853" s="68"/>
      <c r="V853" s="38"/>
      <c r="W853" s="58"/>
      <c r="X853" s="58"/>
      <c r="Y853" s="58"/>
      <c r="Z853" s="58"/>
    </row>
    <row r="854" spans="1:26">
      <c r="A854" s="50" t="s">
        <v>49</v>
      </c>
      <c r="B854" s="51" t="s">
        <v>424</v>
      </c>
      <c r="C854" s="52"/>
      <c r="D854" s="53">
        <v>2022</v>
      </c>
      <c r="E854" s="37">
        <v>5010798310</v>
      </c>
      <c r="F854" s="37">
        <v>12516056446</v>
      </c>
      <c r="G854" s="37">
        <v>10165217252</v>
      </c>
      <c r="H854" s="37">
        <v>267324049</v>
      </c>
      <c r="I854" s="55">
        <f t="shared" si="38"/>
        <v>27959396057</v>
      </c>
      <c r="J854" s="54">
        <v>0</v>
      </c>
      <c r="K854" s="56">
        <f t="shared" si="39"/>
        <v>27959396057</v>
      </c>
      <c r="L854" s="54">
        <v>0</v>
      </c>
      <c r="M854" s="69"/>
      <c r="O854" s="38" t="str">
        <f>IF([1]totrevprm!O857="","",[1]totrevprm!O857)</f>
        <v/>
      </c>
      <c r="P854" s="60">
        <v>782718467</v>
      </c>
      <c r="Q854" s="60">
        <v>248180801</v>
      </c>
    </row>
    <row r="855" spans="1:26">
      <c r="A855" s="50" t="s">
        <v>49</v>
      </c>
      <c r="B855" s="51" t="s">
        <v>424</v>
      </c>
      <c r="C855" s="52"/>
      <c r="D855" s="53">
        <v>2023</v>
      </c>
      <c r="E855" s="37">
        <v>5026068161</v>
      </c>
      <c r="F855" s="37">
        <v>18002680028.471298</v>
      </c>
      <c r="G855" s="37">
        <v>10795591334.794399</v>
      </c>
      <c r="H855" s="37">
        <v>128015446</v>
      </c>
      <c r="I855" s="55">
        <f t="shared" si="38"/>
        <v>33952354970.265697</v>
      </c>
      <c r="J855" s="54">
        <v>0</v>
      </c>
      <c r="K855" s="56">
        <f t="shared" si="39"/>
        <v>33952354970.265697</v>
      </c>
      <c r="L855" s="37">
        <v>0</v>
      </c>
      <c r="M855" s="69"/>
      <c r="O855" s="38"/>
      <c r="P855" s="60">
        <v>844034239.26999998</v>
      </c>
      <c r="Q855" s="60">
        <v>242124291</v>
      </c>
    </row>
    <row r="856" spans="1:26">
      <c r="A856" s="50"/>
      <c r="B856" s="52"/>
      <c r="C856" s="52"/>
      <c r="E856" s="54"/>
      <c r="F856" s="54"/>
      <c r="G856" s="54"/>
      <c r="H856" s="54"/>
      <c r="I856" s="55"/>
      <c r="K856" s="65"/>
      <c r="L856" s="37"/>
      <c r="M856" s="69"/>
      <c r="O856" s="38"/>
    </row>
    <row r="857" spans="1:26">
      <c r="A857" s="50" t="s">
        <v>50</v>
      </c>
      <c r="B857" s="51" t="s">
        <v>776</v>
      </c>
      <c r="C857" s="52" t="s">
        <v>766</v>
      </c>
      <c r="D857" s="53">
        <v>1988</v>
      </c>
      <c r="E857" s="54">
        <v>991844422</v>
      </c>
      <c r="F857" s="54">
        <v>1418175077</v>
      </c>
      <c r="G857" s="54">
        <v>1233459613</v>
      </c>
      <c r="H857" s="54">
        <v>983453342</v>
      </c>
      <c r="I857" s="55">
        <f t="shared" si="38"/>
        <v>4626932454</v>
      </c>
      <c r="J857" s="54">
        <v>0</v>
      </c>
      <c r="K857" s="56">
        <f>SUM(I857:J857)</f>
        <v>4626932454</v>
      </c>
      <c r="L857" s="37">
        <v>0</v>
      </c>
      <c r="M857" s="69"/>
      <c r="O857" s="38" t="str">
        <f>IF([1]totrevprm!O858="","",[1]totrevprm!O858)</f>
        <v/>
      </c>
    </row>
    <row r="858" spans="1:26">
      <c r="A858" s="50" t="s">
        <v>50</v>
      </c>
      <c r="B858" s="51" t="s">
        <v>776</v>
      </c>
      <c r="C858" s="52" t="s">
        <v>742</v>
      </c>
      <c r="D858" s="53">
        <v>1989</v>
      </c>
      <c r="E858" s="54">
        <v>968227631</v>
      </c>
      <c r="F858" s="54">
        <v>1294142928</v>
      </c>
      <c r="G858" s="54">
        <v>1350007713</v>
      </c>
      <c r="H858" s="54">
        <v>1215429982</v>
      </c>
      <c r="I858" s="55">
        <f t="shared" si="38"/>
        <v>4827808254</v>
      </c>
      <c r="J858" s="54">
        <v>0</v>
      </c>
      <c r="K858" s="56">
        <f t="shared" ref="K858:K892" si="40">SUM(I858:J858)</f>
        <v>4827808254</v>
      </c>
      <c r="L858" s="37">
        <v>0</v>
      </c>
      <c r="M858" s="69"/>
      <c r="O858" s="38" t="str">
        <f>IF([1]totrevprm!O859="","",[1]totrevprm!O859)</f>
        <v/>
      </c>
    </row>
    <row r="859" spans="1:26">
      <c r="A859" s="50" t="s">
        <v>50</v>
      </c>
      <c r="B859" s="51" t="s">
        <v>776</v>
      </c>
      <c r="C859" s="52" t="s">
        <v>731</v>
      </c>
      <c r="D859" s="53">
        <v>1990</v>
      </c>
      <c r="E859" s="54">
        <v>994401925</v>
      </c>
      <c r="F859" s="54">
        <v>1569795249.96</v>
      </c>
      <c r="G859" s="54">
        <v>1448296965</v>
      </c>
      <c r="H859" s="54">
        <v>1216892120</v>
      </c>
      <c r="I859" s="55">
        <f t="shared" si="38"/>
        <v>5229386259.96</v>
      </c>
      <c r="J859" s="54">
        <v>0</v>
      </c>
      <c r="K859" s="56">
        <f t="shared" si="40"/>
        <v>5229386259.96</v>
      </c>
      <c r="L859" s="37">
        <v>0</v>
      </c>
      <c r="M859" s="69"/>
      <c r="O859" s="38" t="str">
        <f>IF([1]totrevprm!O860="","",[1]totrevprm!O860)</f>
        <v/>
      </c>
    </row>
    <row r="860" spans="1:26">
      <c r="A860" s="50" t="s">
        <v>50</v>
      </c>
      <c r="B860" s="51" t="s">
        <v>776</v>
      </c>
      <c r="C860" s="52" t="s">
        <v>731</v>
      </c>
      <c r="D860" s="53">
        <v>1991</v>
      </c>
      <c r="E860" s="54">
        <v>1064724119</v>
      </c>
      <c r="F860" s="54">
        <v>1424229703</v>
      </c>
      <c r="G860" s="54">
        <v>1519551252</v>
      </c>
      <c r="H860" s="54">
        <v>1338071746</v>
      </c>
      <c r="I860" s="55">
        <f t="shared" si="38"/>
        <v>5346576820</v>
      </c>
      <c r="J860" s="54">
        <v>0</v>
      </c>
      <c r="K860" s="56">
        <f t="shared" si="40"/>
        <v>5346576820</v>
      </c>
      <c r="L860" s="37">
        <v>0</v>
      </c>
      <c r="M860" s="69"/>
      <c r="O860" s="38" t="str">
        <f>IF([1]totrevprm!O861="","",[1]totrevprm!O861)</f>
        <v/>
      </c>
    </row>
    <row r="861" spans="1:26">
      <c r="A861" s="50" t="s">
        <v>50</v>
      </c>
      <c r="B861" s="51" t="s">
        <v>776</v>
      </c>
      <c r="C861" s="52" t="s">
        <v>731</v>
      </c>
      <c r="D861" s="53">
        <v>1992</v>
      </c>
      <c r="E861" s="54">
        <v>1158658257</v>
      </c>
      <c r="F861" s="54">
        <v>1448974791.52</v>
      </c>
      <c r="G861" s="54">
        <v>1555354126</v>
      </c>
      <c r="H861" s="54">
        <v>888891302</v>
      </c>
      <c r="I861" s="55">
        <f t="shared" si="38"/>
        <v>5051878476.5200005</v>
      </c>
      <c r="J861" s="54">
        <v>0</v>
      </c>
      <c r="K861" s="56">
        <f t="shared" si="40"/>
        <v>5051878476.5200005</v>
      </c>
      <c r="L861" s="37">
        <v>0</v>
      </c>
      <c r="M861" s="69"/>
      <c r="O861" s="38" t="str">
        <f>IF([1]totrevprm!O862="","",[1]totrevprm!O862)</f>
        <v/>
      </c>
    </row>
    <row r="862" spans="1:26">
      <c r="A862" s="50" t="s">
        <v>50</v>
      </c>
      <c r="B862" s="51" t="s">
        <v>776</v>
      </c>
      <c r="C862" s="52" t="s">
        <v>731</v>
      </c>
      <c r="D862" s="53">
        <v>1993</v>
      </c>
      <c r="E862" s="54">
        <v>1284114347</v>
      </c>
      <c r="F862" s="54">
        <v>1140639810</v>
      </c>
      <c r="G862" s="54">
        <v>1559418881</v>
      </c>
      <c r="H862" s="54">
        <v>834483520</v>
      </c>
      <c r="I862" s="55">
        <f t="shared" si="38"/>
        <v>4818656558</v>
      </c>
      <c r="J862" s="54">
        <v>0</v>
      </c>
      <c r="K862" s="56">
        <f t="shared" si="40"/>
        <v>4818656558</v>
      </c>
      <c r="L862" s="37">
        <v>0</v>
      </c>
      <c r="M862" s="69"/>
      <c r="O862" s="38" t="str">
        <f>IF([1]totrevprm!O863="","",[1]totrevprm!O863)</f>
        <v/>
      </c>
    </row>
    <row r="863" spans="1:26">
      <c r="A863" s="50" t="s">
        <v>50</v>
      </c>
      <c r="B863" s="51" t="s">
        <v>776</v>
      </c>
      <c r="C863" s="52" t="s">
        <v>777</v>
      </c>
      <c r="D863" s="53">
        <v>1994</v>
      </c>
      <c r="E863" s="54">
        <v>1364401005</v>
      </c>
      <c r="F863" s="54">
        <v>1584920701</v>
      </c>
      <c r="G863" s="54">
        <v>1678238765</v>
      </c>
      <c r="H863" s="54">
        <v>448280320</v>
      </c>
      <c r="I863" s="55">
        <f t="shared" si="38"/>
        <v>5075840791</v>
      </c>
      <c r="J863" s="54">
        <v>0</v>
      </c>
      <c r="K863" s="56">
        <f t="shared" si="40"/>
        <v>5075840791</v>
      </c>
      <c r="L863" s="37">
        <v>0</v>
      </c>
      <c r="M863" s="69"/>
      <c r="O863" s="38" t="str">
        <f>IF([1]totrevprm!O864="","",[1]totrevprm!O864)</f>
        <v/>
      </c>
    </row>
    <row r="864" spans="1:26">
      <c r="A864" s="50" t="s">
        <v>50</v>
      </c>
      <c r="B864" s="51" t="s">
        <v>776</v>
      </c>
      <c r="C864" s="52" t="s">
        <v>778</v>
      </c>
      <c r="D864" s="53">
        <v>1995</v>
      </c>
      <c r="E864" s="54">
        <v>1382653488</v>
      </c>
      <c r="F864" s="54">
        <v>1654876679</v>
      </c>
      <c r="G864" s="54">
        <v>1694532847</v>
      </c>
      <c r="H864" s="54">
        <v>433050125</v>
      </c>
      <c r="I864" s="55">
        <f t="shared" ref="I864:I927" si="41">SUM(E864:H864)</f>
        <v>5165113139</v>
      </c>
      <c r="J864" s="54">
        <v>0</v>
      </c>
      <c r="K864" s="56">
        <f t="shared" si="40"/>
        <v>5165113139</v>
      </c>
      <c r="L864" s="37">
        <v>0</v>
      </c>
      <c r="M864" s="69"/>
      <c r="O864" s="38" t="str">
        <f>IF([1]totrevprm!O865="","",[1]totrevprm!O865)</f>
        <v/>
      </c>
    </row>
    <row r="865" spans="1:26">
      <c r="A865" s="50" t="s">
        <v>50</v>
      </c>
      <c r="B865" s="51" t="s">
        <v>776</v>
      </c>
      <c r="C865" s="52" t="s">
        <v>779</v>
      </c>
      <c r="D865" s="53">
        <v>1996</v>
      </c>
      <c r="E865" s="54">
        <v>1409650986</v>
      </c>
      <c r="F865" s="54">
        <v>1216614999</v>
      </c>
      <c r="G865" s="54">
        <v>1767595582</v>
      </c>
      <c r="H865" s="54">
        <v>297909322</v>
      </c>
      <c r="I865" s="55">
        <f t="shared" si="41"/>
        <v>4691770889</v>
      </c>
      <c r="J865" s="54">
        <v>0</v>
      </c>
      <c r="K865" s="56">
        <f t="shared" si="40"/>
        <v>4691770889</v>
      </c>
      <c r="L865" s="37">
        <v>0</v>
      </c>
      <c r="M865" s="69"/>
      <c r="O865" s="38" t="str">
        <f>IF([1]totrevprm!O866="","",[1]totrevprm!O866)</f>
        <v/>
      </c>
    </row>
    <row r="866" spans="1:26">
      <c r="A866" s="50" t="s">
        <v>50</v>
      </c>
      <c r="B866" s="51" t="s">
        <v>776</v>
      </c>
      <c r="C866" s="52" t="s">
        <v>731</v>
      </c>
      <c r="D866" s="53">
        <v>1997</v>
      </c>
      <c r="E866" s="54">
        <v>1391785466</v>
      </c>
      <c r="F866" s="54">
        <v>1345345297</v>
      </c>
      <c r="G866" s="54">
        <v>1835812601</v>
      </c>
      <c r="H866" s="54">
        <v>268445977</v>
      </c>
      <c r="I866" s="55">
        <f t="shared" si="41"/>
        <v>4841389341</v>
      </c>
      <c r="J866" s="54">
        <v>0</v>
      </c>
      <c r="K866" s="56">
        <f t="shared" si="40"/>
        <v>4841389341</v>
      </c>
      <c r="L866" s="37">
        <v>0</v>
      </c>
      <c r="M866" s="69"/>
      <c r="O866" s="38" t="str">
        <f>IF([1]totrevprm!O867="","",[1]totrevprm!O867)</f>
        <v/>
      </c>
    </row>
    <row r="867" spans="1:26">
      <c r="A867" s="50" t="s">
        <v>50</v>
      </c>
      <c r="B867" s="51" t="s">
        <v>776</v>
      </c>
      <c r="C867" s="52" t="s">
        <v>731</v>
      </c>
      <c r="D867" s="53">
        <v>1998</v>
      </c>
      <c r="E867" s="54">
        <v>1435675392</v>
      </c>
      <c r="F867" s="54">
        <v>1225045708</v>
      </c>
      <c r="G867" s="54">
        <v>2055019175</v>
      </c>
      <c r="H867" s="54">
        <v>65945886</v>
      </c>
      <c r="I867" s="55">
        <f t="shared" si="41"/>
        <v>4781686161</v>
      </c>
      <c r="J867" s="54">
        <v>0</v>
      </c>
      <c r="K867" s="56">
        <f t="shared" si="40"/>
        <v>4781686161</v>
      </c>
      <c r="L867" s="37">
        <v>0</v>
      </c>
      <c r="M867" s="69"/>
      <c r="O867" s="38" t="str">
        <f>IF([1]totrevprm!O868="","",[1]totrevprm!O868)</f>
        <v/>
      </c>
    </row>
    <row r="868" spans="1:26">
      <c r="A868" s="50" t="s">
        <v>50</v>
      </c>
      <c r="B868" s="51" t="s">
        <v>776</v>
      </c>
      <c r="C868" s="52" t="s">
        <v>780</v>
      </c>
      <c r="D868" s="53">
        <v>1999</v>
      </c>
      <c r="E868" s="54">
        <v>1446767351</v>
      </c>
      <c r="F868" s="54">
        <v>1594298274</v>
      </c>
      <c r="G868" s="54">
        <v>2349723395</v>
      </c>
      <c r="H868" s="54">
        <v>336956565</v>
      </c>
      <c r="I868" s="55">
        <f t="shared" si="41"/>
        <v>5727745585</v>
      </c>
      <c r="J868" s="54">
        <v>0</v>
      </c>
      <c r="K868" s="56">
        <f t="shared" si="40"/>
        <v>5727745585</v>
      </c>
      <c r="L868" s="37">
        <v>0</v>
      </c>
      <c r="M868" s="69"/>
      <c r="O868" s="38" t="str">
        <f>IF([1]totrevprm!O869="","",[1]totrevprm!O869)</f>
        <v/>
      </c>
    </row>
    <row r="869" spans="1:26">
      <c r="A869" s="50" t="s">
        <v>50</v>
      </c>
      <c r="B869" s="51" t="s">
        <v>776</v>
      </c>
      <c r="C869" s="52" t="s">
        <v>731</v>
      </c>
      <c r="D869" s="53">
        <v>2000</v>
      </c>
      <c r="E869" s="54">
        <v>1468443440</v>
      </c>
      <c r="F869" s="54">
        <v>1685016555</v>
      </c>
      <c r="G869" s="54">
        <v>2650474393</v>
      </c>
      <c r="H869" s="54">
        <v>476722944</v>
      </c>
      <c r="I869" s="55">
        <f t="shared" si="41"/>
        <v>6280657332</v>
      </c>
      <c r="J869" s="54">
        <v>0</v>
      </c>
      <c r="K869" s="56">
        <f t="shared" si="40"/>
        <v>6280657332</v>
      </c>
      <c r="L869" s="37">
        <v>0</v>
      </c>
      <c r="M869" s="69"/>
      <c r="O869" s="38" t="str">
        <f>IF([1]totrevprm!O870="","",[1]totrevprm!O870)</f>
        <v/>
      </c>
      <c r="V869" s="38" t="s">
        <v>776</v>
      </c>
      <c r="W869" s="58">
        <v>3388321</v>
      </c>
      <c r="X869" s="58">
        <v>10209814</v>
      </c>
      <c r="Y869" s="58">
        <v>5161472</v>
      </c>
      <c r="Z869" s="58">
        <v>0</v>
      </c>
    </row>
    <row r="870" spans="1:26">
      <c r="A870" s="50" t="s">
        <v>50</v>
      </c>
      <c r="B870" s="51" t="s">
        <v>776</v>
      </c>
      <c r="C870" s="52" t="s">
        <v>781</v>
      </c>
      <c r="D870" s="53">
        <v>2001</v>
      </c>
      <c r="E870" s="54">
        <v>1489895293</v>
      </c>
      <c r="F870" s="54">
        <v>2312407536</v>
      </c>
      <c r="G870" s="54">
        <v>2644246213</v>
      </c>
      <c r="H870" s="37">
        <v>-141523048</v>
      </c>
      <c r="I870" s="55">
        <f t="shared" si="41"/>
        <v>6305025994</v>
      </c>
      <c r="J870" s="54">
        <v>0</v>
      </c>
      <c r="K870" s="56">
        <f t="shared" si="40"/>
        <v>6305025994</v>
      </c>
      <c r="L870" s="37">
        <v>0</v>
      </c>
      <c r="M870" s="69"/>
      <c r="O870" s="38" t="str">
        <f>IF([1]totrevprm!O871="","",[1]totrevprm!O871)</f>
        <v/>
      </c>
      <c r="V870" s="38"/>
      <c r="W870" s="58"/>
      <c r="X870" s="58"/>
      <c r="Y870" s="58"/>
      <c r="Z870" s="58"/>
    </row>
    <row r="871" spans="1:26">
      <c r="A871" s="50" t="s">
        <v>50</v>
      </c>
      <c r="B871" s="51" t="s">
        <v>776</v>
      </c>
      <c r="C871" s="52" t="s">
        <v>731</v>
      </c>
      <c r="D871" s="53">
        <v>2002</v>
      </c>
      <c r="E871" s="54">
        <v>1558159332</v>
      </c>
      <c r="F871" s="54">
        <v>3145136369</v>
      </c>
      <c r="G871" s="54">
        <v>2812149147</v>
      </c>
      <c r="H871" s="37">
        <v>293849038</v>
      </c>
      <c r="I871" s="55">
        <f t="shared" si="41"/>
        <v>7809293886</v>
      </c>
      <c r="J871" s="54">
        <v>0</v>
      </c>
      <c r="K871" s="56">
        <f t="shared" si="40"/>
        <v>7809293886</v>
      </c>
      <c r="L871" s="37">
        <v>0</v>
      </c>
      <c r="M871" s="69"/>
      <c r="O871" s="38" t="str">
        <f>IF([1]totrevprm!O872="","",[1]totrevprm!O872)</f>
        <v/>
      </c>
      <c r="V871" s="38"/>
      <c r="W871" s="58"/>
      <c r="X871" s="58"/>
      <c r="Y871" s="58"/>
      <c r="Z871" s="58"/>
    </row>
    <row r="872" spans="1:26">
      <c r="A872" s="50" t="s">
        <v>50</v>
      </c>
      <c r="B872" s="51" t="s">
        <v>776</v>
      </c>
      <c r="C872" s="52" t="s">
        <v>731</v>
      </c>
      <c r="D872" s="53">
        <v>2003</v>
      </c>
      <c r="E872" s="59">
        <v>1733966356</v>
      </c>
      <c r="F872" s="59">
        <v>2587566336</v>
      </c>
      <c r="G872" s="59">
        <v>2776652838</v>
      </c>
      <c r="H872" s="59">
        <v>379280123</v>
      </c>
      <c r="I872" s="55">
        <f t="shared" si="41"/>
        <v>7477465653</v>
      </c>
      <c r="J872" s="54">
        <v>0</v>
      </c>
      <c r="K872" s="56">
        <f t="shared" si="40"/>
        <v>7477465653</v>
      </c>
      <c r="L872" s="37">
        <v>0</v>
      </c>
      <c r="M872" s="69"/>
      <c r="O872" s="38" t="str">
        <f>IF([1]totrevprm!O873="","",[1]totrevprm!O873)</f>
        <v/>
      </c>
      <c r="V872" s="38"/>
      <c r="W872" s="58"/>
      <c r="X872" s="58"/>
      <c r="Y872" s="58"/>
      <c r="Z872" s="58"/>
    </row>
    <row r="873" spans="1:26">
      <c r="A873" s="50" t="s">
        <v>50</v>
      </c>
      <c r="B873" s="51" t="s">
        <v>776</v>
      </c>
      <c r="C873" s="52" t="s">
        <v>731</v>
      </c>
      <c r="D873" s="53">
        <v>2004</v>
      </c>
      <c r="E873" s="59">
        <v>1778181090</v>
      </c>
      <c r="F873" s="59">
        <v>2145415855</v>
      </c>
      <c r="G873" s="59">
        <v>3058272941</v>
      </c>
      <c r="H873" s="59">
        <v>352756324</v>
      </c>
      <c r="I873" s="55">
        <f t="shared" si="41"/>
        <v>7334626210</v>
      </c>
      <c r="J873" s="54">
        <v>0</v>
      </c>
      <c r="K873" s="56">
        <f t="shared" si="40"/>
        <v>7334626210</v>
      </c>
      <c r="L873" s="37">
        <v>0</v>
      </c>
      <c r="M873" s="69"/>
      <c r="O873" s="38" t="str">
        <f>IF([1]totrevprm!O874="","",[1]totrevprm!O874)</f>
        <v/>
      </c>
      <c r="V873" s="38"/>
      <c r="W873" s="58"/>
      <c r="X873" s="58"/>
      <c r="Y873" s="58"/>
      <c r="Z873" s="58"/>
    </row>
    <row r="874" spans="1:26">
      <c r="A874" s="50" t="s">
        <v>50</v>
      </c>
      <c r="B874" s="51" t="s">
        <v>776</v>
      </c>
      <c r="C874" s="52"/>
      <c r="D874" s="53">
        <v>2005</v>
      </c>
      <c r="E874" s="59">
        <v>1868080318</v>
      </c>
      <c r="F874" s="59">
        <v>1774289630</v>
      </c>
      <c r="G874" s="59">
        <v>3379656672.29</v>
      </c>
      <c r="H874" s="59">
        <v>735902246</v>
      </c>
      <c r="I874" s="55">
        <f t="shared" si="41"/>
        <v>7757928866.29</v>
      </c>
      <c r="J874" s="54">
        <v>0</v>
      </c>
      <c r="K874" s="56">
        <f t="shared" si="40"/>
        <v>7757928866.29</v>
      </c>
      <c r="L874" s="37">
        <v>0</v>
      </c>
      <c r="M874" s="69"/>
      <c r="O874" s="38" t="str">
        <f>IF([1]totrevprm!O875="","",[1]totrevprm!O875)</f>
        <v/>
      </c>
      <c r="V874" s="38"/>
      <c r="W874" s="58"/>
      <c r="X874" s="58"/>
      <c r="Y874" s="58"/>
      <c r="Z874" s="58"/>
    </row>
    <row r="875" spans="1:26">
      <c r="A875" s="50" t="s">
        <v>50</v>
      </c>
      <c r="B875" s="51" t="s">
        <v>776</v>
      </c>
      <c r="C875" s="52"/>
      <c r="D875" s="53">
        <v>2006</v>
      </c>
      <c r="E875" s="37">
        <v>2014372636</v>
      </c>
      <c r="F875" s="37">
        <v>1937282341</v>
      </c>
      <c r="G875" s="37">
        <v>3772395104</v>
      </c>
      <c r="H875" s="37">
        <v>682474923</v>
      </c>
      <c r="I875" s="55">
        <f t="shared" si="41"/>
        <v>8406525004</v>
      </c>
      <c r="J875" s="54">
        <v>0</v>
      </c>
      <c r="K875" s="56">
        <f t="shared" si="40"/>
        <v>8406525004</v>
      </c>
      <c r="L875" s="37">
        <v>0</v>
      </c>
      <c r="M875" s="69"/>
      <c r="O875" s="38" t="str">
        <f>IF([1]totrevprm!O876="","",[1]totrevprm!O876)</f>
        <v/>
      </c>
      <c r="V875" s="38"/>
      <c r="W875" s="58"/>
      <c r="X875" s="58"/>
      <c r="Y875" s="58"/>
      <c r="Z875" s="58"/>
    </row>
    <row r="876" spans="1:26">
      <c r="A876" s="50" t="s">
        <v>50</v>
      </c>
      <c r="B876" s="51" t="s">
        <v>776</v>
      </c>
      <c r="C876" s="52"/>
      <c r="D876" s="53">
        <v>2007</v>
      </c>
      <c r="E876" s="37">
        <v>2342853339</v>
      </c>
      <c r="F876" s="37">
        <v>2183826216</v>
      </c>
      <c r="G876" s="37">
        <v>5381282507</v>
      </c>
      <c r="H876" s="37">
        <v>516033798</v>
      </c>
      <c r="I876" s="55">
        <f t="shared" si="41"/>
        <v>10423995860</v>
      </c>
      <c r="J876" s="54">
        <v>0</v>
      </c>
      <c r="K876" s="56">
        <f t="shared" si="40"/>
        <v>10423995860</v>
      </c>
      <c r="L876" s="37">
        <v>0</v>
      </c>
      <c r="M876" s="69"/>
      <c r="O876" s="38" t="str">
        <f>IF([1]totrevprm!O877="","",[1]totrevprm!O877)</f>
        <v/>
      </c>
      <c r="V876" s="38"/>
      <c r="W876" s="58"/>
      <c r="X876" s="58"/>
      <c r="Y876" s="58"/>
      <c r="Z876" s="58"/>
    </row>
    <row r="877" spans="1:26">
      <c r="A877" s="50" t="s">
        <v>50</v>
      </c>
      <c r="B877" s="51" t="s">
        <v>776</v>
      </c>
      <c r="C877" s="52"/>
      <c r="D877" s="53">
        <v>2008</v>
      </c>
      <c r="E877" s="37">
        <v>2535397174</v>
      </c>
      <c r="F877" s="37">
        <v>2931594740</v>
      </c>
      <c r="G877" s="37">
        <v>5813000116</v>
      </c>
      <c r="H877" s="37">
        <v>642987124</v>
      </c>
      <c r="I877" s="55">
        <f t="shared" si="41"/>
        <v>11922979154</v>
      </c>
      <c r="J877" s="54">
        <v>0</v>
      </c>
      <c r="K877" s="56">
        <f t="shared" si="40"/>
        <v>11922979154</v>
      </c>
      <c r="L877" s="37">
        <v>0</v>
      </c>
      <c r="M877" s="69"/>
      <c r="O877" s="38" t="str">
        <f>IF([1]totrevprm!O878="","",[1]totrevprm!O878)</f>
        <v/>
      </c>
      <c r="V877" s="38"/>
      <c r="W877" s="58"/>
      <c r="X877" s="58"/>
      <c r="Y877" s="58"/>
      <c r="Z877" s="58"/>
    </row>
    <row r="878" spans="1:26">
      <c r="A878" s="50" t="s">
        <v>50</v>
      </c>
      <c r="B878" s="51" t="s">
        <v>776</v>
      </c>
      <c r="C878" s="52"/>
      <c r="D878" s="53">
        <v>2009</v>
      </c>
      <c r="E878" s="37">
        <v>2709225893</v>
      </c>
      <c r="F878" s="37">
        <v>2776868677</v>
      </c>
      <c r="G878" s="37">
        <v>5931961888</v>
      </c>
      <c r="H878" s="37">
        <v>414008153</v>
      </c>
      <c r="I878" s="55">
        <f t="shared" si="41"/>
        <v>11832064611</v>
      </c>
      <c r="J878" s="54">
        <v>0</v>
      </c>
      <c r="K878" s="56">
        <f t="shared" si="40"/>
        <v>11832064611</v>
      </c>
      <c r="L878" s="37">
        <v>0</v>
      </c>
      <c r="M878" s="69"/>
      <c r="O878" s="38" t="str">
        <f>IF([1]totrevprm!O879="","",[1]totrevprm!O879)</f>
        <v/>
      </c>
      <c r="V878" s="38"/>
      <c r="W878" s="58"/>
      <c r="X878" s="58"/>
      <c r="Y878" s="58"/>
      <c r="Z878" s="58"/>
    </row>
    <row r="879" spans="1:26">
      <c r="A879" s="50" t="s">
        <v>50</v>
      </c>
      <c r="B879" s="51" t="s">
        <v>776</v>
      </c>
      <c r="C879" s="52"/>
      <c r="D879" s="53">
        <v>2010</v>
      </c>
      <c r="E879" s="37">
        <v>2754984565</v>
      </c>
      <c r="F879" s="37">
        <v>2402283581</v>
      </c>
      <c r="G879" s="37">
        <v>6058044159</v>
      </c>
      <c r="H879" s="37">
        <v>527791143</v>
      </c>
      <c r="I879" s="55">
        <f t="shared" si="41"/>
        <v>11743103448</v>
      </c>
      <c r="J879" s="54">
        <v>0</v>
      </c>
      <c r="K879" s="56">
        <f t="shared" si="40"/>
        <v>11743103448</v>
      </c>
      <c r="L879" s="37">
        <v>0</v>
      </c>
      <c r="M879" s="69"/>
      <c r="O879" s="38" t="str">
        <f>IF([1]totrevprm!O880="","",[1]totrevprm!O880)</f>
        <v/>
      </c>
      <c r="V879" s="38"/>
      <c r="W879" s="58"/>
      <c r="X879" s="58"/>
      <c r="Y879" s="58"/>
      <c r="Z879" s="58"/>
    </row>
    <row r="880" spans="1:26">
      <c r="A880" s="50" t="s">
        <v>50</v>
      </c>
      <c r="B880" s="51" t="s">
        <v>776</v>
      </c>
      <c r="C880" s="52"/>
      <c r="D880" s="53">
        <v>2011</v>
      </c>
      <c r="E880" s="37">
        <v>2873422036</v>
      </c>
      <c r="F880" s="37">
        <v>2300498589</v>
      </c>
      <c r="G880" s="37">
        <v>6506864484.5100002</v>
      </c>
      <c r="H880" s="37">
        <v>520992918</v>
      </c>
      <c r="I880" s="55">
        <f t="shared" si="41"/>
        <v>12201778027.51</v>
      </c>
      <c r="J880" s="54">
        <v>0</v>
      </c>
      <c r="K880" s="56">
        <f t="shared" si="40"/>
        <v>12201778027.51</v>
      </c>
      <c r="L880" s="37">
        <v>0</v>
      </c>
      <c r="M880" s="69"/>
      <c r="O880" s="38" t="str">
        <f>IF([1]totrevprm!O881="","",[1]totrevprm!O881)</f>
        <v/>
      </c>
      <c r="V880" s="38"/>
      <c r="W880" s="58"/>
      <c r="X880" s="58"/>
      <c r="Y880" s="58"/>
      <c r="Z880" s="58"/>
    </row>
    <row r="881" spans="1:26">
      <c r="A881" s="50" t="s">
        <v>50</v>
      </c>
      <c r="B881" s="51" t="s">
        <v>776</v>
      </c>
      <c r="C881" s="52"/>
      <c r="D881" s="53">
        <v>2012</v>
      </c>
      <c r="E881" s="37">
        <v>3558872999</v>
      </c>
      <c r="F881" s="37">
        <v>2600062114</v>
      </c>
      <c r="G881" s="37">
        <v>6428098461</v>
      </c>
      <c r="H881" s="37">
        <v>397346397</v>
      </c>
      <c r="I881" s="55">
        <f t="shared" si="41"/>
        <v>12984379971</v>
      </c>
      <c r="J881" s="54">
        <v>0</v>
      </c>
      <c r="K881" s="56">
        <f t="shared" si="40"/>
        <v>12984379971</v>
      </c>
      <c r="L881" s="37">
        <v>0</v>
      </c>
      <c r="M881" s="69"/>
      <c r="O881" s="38" t="str">
        <f>IF([1]totrevprm!O882="","",[1]totrevprm!O882)</f>
        <v/>
      </c>
      <c r="V881" s="38"/>
      <c r="W881" s="58"/>
      <c r="X881" s="58"/>
      <c r="Y881" s="58"/>
      <c r="Z881" s="58"/>
    </row>
    <row r="882" spans="1:26">
      <c r="A882" s="50" t="s">
        <v>50</v>
      </c>
      <c r="B882" s="51" t="s">
        <v>776</v>
      </c>
      <c r="C882" s="52"/>
      <c r="D882" s="53">
        <v>2013</v>
      </c>
      <c r="E882" s="37">
        <v>3711468826</v>
      </c>
      <c r="F882" s="37">
        <v>2820828786</v>
      </c>
      <c r="G882" s="37">
        <v>5666908680</v>
      </c>
      <c r="H882" s="37">
        <v>290966434</v>
      </c>
      <c r="I882" s="55">
        <f t="shared" si="41"/>
        <v>12490172726</v>
      </c>
      <c r="J882" s="54">
        <v>0</v>
      </c>
      <c r="K882" s="56">
        <f t="shared" si="40"/>
        <v>12490172726</v>
      </c>
      <c r="L882" s="37">
        <v>0</v>
      </c>
      <c r="M882" s="69"/>
      <c r="O882" s="38" t="str">
        <f>IF([1]totrevprm!O883="","",[1]totrevprm!O883)</f>
        <v/>
      </c>
      <c r="V882" s="38"/>
      <c r="W882" s="58"/>
      <c r="X882" s="58"/>
      <c r="Y882" s="58"/>
      <c r="Z882" s="58"/>
    </row>
    <row r="883" spans="1:26">
      <c r="A883" s="50" t="s">
        <v>50</v>
      </c>
      <c r="B883" s="51" t="s">
        <v>776</v>
      </c>
      <c r="C883" s="52"/>
      <c r="D883" s="53">
        <v>2014</v>
      </c>
      <c r="E883" s="37">
        <v>3797848198</v>
      </c>
      <c r="F883" s="37">
        <v>2841210929</v>
      </c>
      <c r="G883" s="37">
        <v>5912388458.6499996</v>
      </c>
      <c r="H883" s="37">
        <v>223305268</v>
      </c>
      <c r="I883" s="55">
        <f t="shared" si="41"/>
        <v>12774752853.65</v>
      </c>
      <c r="J883" s="54">
        <v>0</v>
      </c>
      <c r="K883" s="56">
        <f t="shared" si="40"/>
        <v>12774752853.65</v>
      </c>
      <c r="L883" s="37">
        <v>0</v>
      </c>
      <c r="M883" s="69"/>
      <c r="O883" s="38" t="str">
        <f>IF([1]totrevprm!O884="","",[1]totrevprm!O884)</f>
        <v/>
      </c>
      <c r="V883" s="38"/>
      <c r="W883" s="58"/>
      <c r="X883" s="58"/>
      <c r="Y883" s="58"/>
      <c r="Z883" s="58"/>
    </row>
    <row r="884" spans="1:26">
      <c r="A884" s="50" t="s">
        <v>50</v>
      </c>
      <c r="B884" s="51" t="s">
        <v>776</v>
      </c>
      <c r="C884" s="52"/>
      <c r="D884" s="53">
        <v>2015</v>
      </c>
      <c r="E884" s="37">
        <v>3995755823</v>
      </c>
      <c r="F884" s="37">
        <v>3145534769</v>
      </c>
      <c r="G884" s="37">
        <v>6176865567</v>
      </c>
      <c r="H884" s="37">
        <v>251398291</v>
      </c>
      <c r="I884" s="55">
        <f t="shared" si="41"/>
        <v>13569554450</v>
      </c>
      <c r="J884" s="54">
        <v>0</v>
      </c>
      <c r="K884" s="56">
        <f t="shared" si="40"/>
        <v>13569554450</v>
      </c>
      <c r="L884" s="37">
        <v>0</v>
      </c>
      <c r="M884" s="69"/>
      <c r="O884" s="38" t="str">
        <f>IF([1]totrevprm!O885="","",[1]totrevprm!O885)</f>
        <v/>
      </c>
      <c r="P884" s="35">
        <v>515459974.48636079</v>
      </c>
      <c r="Q884" s="35">
        <v>284990713.92119402</v>
      </c>
      <c r="V884" s="38"/>
      <c r="W884" s="58"/>
      <c r="X884" s="58"/>
      <c r="Y884" s="58"/>
      <c r="Z884" s="58"/>
    </row>
    <row r="885" spans="1:26">
      <c r="A885" s="50" t="s">
        <v>50</v>
      </c>
      <c r="B885" s="51" t="s">
        <v>776</v>
      </c>
      <c r="C885" s="52"/>
      <c r="D885" s="53">
        <v>2016</v>
      </c>
      <c r="E885" s="37">
        <v>4381411573</v>
      </c>
      <c r="F885" s="37">
        <v>3788658325</v>
      </c>
      <c r="G885" s="37">
        <v>6290892708</v>
      </c>
      <c r="H885" s="37">
        <v>278250584</v>
      </c>
      <c r="I885" s="55">
        <f t="shared" si="41"/>
        <v>14739213190</v>
      </c>
      <c r="J885" s="54">
        <v>0</v>
      </c>
      <c r="K885" s="56">
        <f t="shared" si="40"/>
        <v>14739213190</v>
      </c>
      <c r="L885" s="37">
        <v>0</v>
      </c>
      <c r="M885" s="69"/>
      <c r="O885" s="38" t="str">
        <f>IF([1]totrevprm!O886="","",[1]totrevprm!O886)</f>
        <v/>
      </c>
      <c r="P885" s="35">
        <v>545510475.9136529</v>
      </c>
      <c r="Q885" s="35">
        <v>304680599.30834591</v>
      </c>
      <c r="V885" s="38"/>
      <c r="W885" s="58"/>
      <c r="X885" s="58"/>
      <c r="Y885" s="58"/>
      <c r="Z885" s="58"/>
    </row>
    <row r="886" spans="1:26">
      <c r="A886" s="50" t="s">
        <v>50</v>
      </c>
      <c r="B886" s="51" t="s">
        <v>776</v>
      </c>
      <c r="C886" s="52"/>
      <c r="D886" s="53">
        <v>2017</v>
      </c>
      <c r="E886" s="37">
        <v>4495024401</v>
      </c>
      <c r="F886" s="37">
        <v>3588322662</v>
      </c>
      <c r="G886" s="37">
        <v>5873299874.8099995</v>
      </c>
      <c r="H886" s="37">
        <v>346438453</v>
      </c>
      <c r="I886" s="55">
        <f t="shared" si="41"/>
        <v>14303085390.809999</v>
      </c>
      <c r="J886" s="54">
        <v>0</v>
      </c>
      <c r="K886" s="56">
        <f t="shared" si="40"/>
        <v>14303085390.809999</v>
      </c>
      <c r="L886" s="37">
        <v>0</v>
      </c>
      <c r="M886" s="69"/>
      <c r="O886" s="38" t="str">
        <f>IF([1]totrevprm!O887="","",[1]totrevprm!O887)</f>
        <v/>
      </c>
      <c r="P886" s="35">
        <v>578310745.43021274</v>
      </c>
      <c r="Q886" s="35">
        <v>294000758.6396063</v>
      </c>
      <c r="V886" s="38"/>
      <c r="W886" s="58"/>
      <c r="X886" s="58"/>
      <c r="Y886" s="58"/>
      <c r="Z886" s="58"/>
    </row>
    <row r="887" spans="1:26">
      <c r="A887" s="50" t="s">
        <v>50</v>
      </c>
      <c r="B887" s="51" t="s">
        <v>776</v>
      </c>
      <c r="C887" s="52"/>
      <c r="D887" s="53">
        <v>2018</v>
      </c>
      <c r="E887" s="37">
        <v>4546520313</v>
      </c>
      <c r="F887" s="37">
        <v>4298044147</v>
      </c>
      <c r="G887" s="37">
        <v>6246186136.6900005</v>
      </c>
      <c r="H887" s="37">
        <v>452859183</v>
      </c>
      <c r="I887" s="55">
        <f t="shared" si="41"/>
        <v>15543609779.690001</v>
      </c>
      <c r="J887" s="54">
        <v>0</v>
      </c>
      <c r="K887" s="56">
        <f t="shared" si="40"/>
        <v>15543609779.690001</v>
      </c>
      <c r="L887" s="60">
        <v>0</v>
      </c>
      <c r="M887" s="69"/>
      <c r="O887" s="38" t="str">
        <f>IF([1]totrevprm!O888="","",[1]totrevprm!O888)</f>
        <v/>
      </c>
      <c r="P887" s="35">
        <v>584246404.35331106</v>
      </c>
      <c r="Q887" s="35">
        <v>268550313.33889842</v>
      </c>
      <c r="V887" s="38"/>
      <c r="W887" s="58"/>
      <c r="X887" s="58"/>
      <c r="Y887" s="58"/>
      <c r="Z887" s="58"/>
    </row>
    <row r="888" spans="1:26">
      <c r="A888" s="50" t="s">
        <v>50</v>
      </c>
      <c r="B888" s="51" t="s">
        <v>776</v>
      </c>
      <c r="C888" s="52"/>
      <c r="D888" s="53">
        <v>2019</v>
      </c>
      <c r="E888" s="37">
        <v>4660655395</v>
      </c>
      <c r="F888" s="37">
        <v>4339648390</v>
      </c>
      <c r="G888" s="37">
        <v>6414016915.2448006</v>
      </c>
      <c r="H888" s="37">
        <v>807277258</v>
      </c>
      <c r="I888" s="55">
        <f t="shared" si="41"/>
        <v>16221597958.244801</v>
      </c>
      <c r="J888" s="54">
        <v>0</v>
      </c>
      <c r="K888" s="56">
        <f t="shared" si="40"/>
        <v>16221597958.244801</v>
      </c>
      <c r="L888" s="60">
        <v>0</v>
      </c>
      <c r="M888" s="69"/>
      <c r="O888" s="38" t="str">
        <f>IF([1]totrevprm!O889="","",[1]totrevprm!O889)</f>
        <v/>
      </c>
      <c r="P888" s="35">
        <v>608229331.55804074</v>
      </c>
      <c r="Q888" s="35">
        <v>303334008.42397112</v>
      </c>
      <c r="V888" s="38"/>
      <c r="W888" s="58"/>
      <c r="X888" s="58"/>
      <c r="Y888" s="58"/>
      <c r="Z888" s="58"/>
    </row>
    <row r="889" spans="1:26">
      <c r="A889" s="50" t="s">
        <v>50</v>
      </c>
      <c r="B889" s="51" t="s">
        <v>776</v>
      </c>
      <c r="C889" s="52"/>
      <c r="D889" s="53">
        <v>2020</v>
      </c>
      <c r="E889" s="37">
        <v>4723069163</v>
      </c>
      <c r="F889" s="37">
        <v>4167676045</v>
      </c>
      <c r="G889" s="37">
        <v>7722049186</v>
      </c>
      <c r="H889" s="37">
        <v>814216654</v>
      </c>
      <c r="I889" s="55">
        <f t="shared" si="41"/>
        <v>17427011048</v>
      </c>
      <c r="J889" s="54">
        <v>0</v>
      </c>
      <c r="K889" s="56">
        <f t="shared" si="40"/>
        <v>17427011048</v>
      </c>
      <c r="L889" s="60">
        <v>0</v>
      </c>
      <c r="M889" s="69" t="s">
        <v>760</v>
      </c>
      <c r="N889" t="s">
        <v>708</v>
      </c>
      <c r="O889" s="38" t="str">
        <f>IF([1]totrevprm!O890="","",[1]totrevprm!O890)</f>
        <v>Yes</v>
      </c>
      <c r="P889" s="35">
        <v>605342539</v>
      </c>
      <c r="Q889" s="35">
        <v>304149670</v>
      </c>
      <c r="V889" s="38"/>
      <c r="W889" s="58"/>
      <c r="X889" s="58"/>
      <c r="Y889" s="58"/>
      <c r="Z889" s="58"/>
    </row>
    <row r="890" spans="1:26">
      <c r="A890" s="50" t="s">
        <v>50</v>
      </c>
      <c r="B890" s="51" t="s">
        <v>776</v>
      </c>
      <c r="C890" s="52"/>
      <c r="D890" s="53">
        <v>2021</v>
      </c>
      <c r="E890" s="37">
        <v>4886855701</v>
      </c>
      <c r="F890" s="37">
        <v>4937502047</v>
      </c>
      <c r="G890" s="37">
        <v>7696854177.0200005</v>
      </c>
      <c r="H890" s="37">
        <v>732957054</v>
      </c>
      <c r="I890" s="55">
        <f t="shared" si="41"/>
        <v>18254168979.02</v>
      </c>
      <c r="J890" s="54">
        <v>0</v>
      </c>
      <c r="K890" s="56">
        <f t="shared" si="40"/>
        <v>18254168979.02</v>
      </c>
      <c r="L890" s="60">
        <v>0</v>
      </c>
      <c r="M890" s="69" t="s">
        <v>739</v>
      </c>
      <c r="N890" t="s">
        <v>708</v>
      </c>
      <c r="O890" s="38"/>
      <c r="P890" s="35">
        <v>585002664.77999997</v>
      </c>
      <c r="Q890" s="35">
        <v>316786620</v>
      </c>
      <c r="V890" s="38"/>
      <c r="W890" s="58"/>
      <c r="X890" s="58"/>
      <c r="Y890" s="58"/>
      <c r="Z890" s="58"/>
    </row>
    <row r="891" spans="1:26">
      <c r="A891" s="50" t="s">
        <v>50</v>
      </c>
      <c r="B891" s="51" t="s">
        <v>776</v>
      </c>
      <c r="C891" s="52"/>
      <c r="D891" s="53">
        <v>2022</v>
      </c>
      <c r="E891" s="37">
        <v>5249587328</v>
      </c>
      <c r="F891" s="37">
        <v>5846353778</v>
      </c>
      <c r="G891" s="37">
        <v>7950316105</v>
      </c>
      <c r="H891" s="37">
        <v>776232808</v>
      </c>
      <c r="I891" s="55">
        <f t="shared" si="41"/>
        <v>19822490019</v>
      </c>
      <c r="J891" s="54">
        <v>0</v>
      </c>
      <c r="K891" s="56">
        <f t="shared" si="40"/>
        <v>19822490019</v>
      </c>
      <c r="L891" s="60">
        <v>0</v>
      </c>
      <c r="M891" s="69" t="s">
        <v>739</v>
      </c>
      <c r="O891" s="38" t="str">
        <f>IF([1]totrevprm!O894="","",[1]totrevprm!O894)</f>
        <v/>
      </c>
      <c r="P891" s="60">
        <v>609570556</v>
      </c>
      <c r="Q891" s="60">
        <v>321748746</v>
      </c>
    </row>
    <row r="892" spans="1:26">
      <c r="A892" s="50" t="s">
        <v>50</v>
      </c>
      <c r="B892" s="51" t="s">
        <v>776</v>
      </c>
      <c r="C892" s="52"/>
      <c r="D892" s="53">
        <v>2023</v>
      </c>
      <c r="E892" s="37">
        <v>4817867932</v>
      </c>
      <c r="F892" s="37">
        <v>7050322692.6174002</v>
      </c>
      <c r="G892" s="37">
        <v>8416312275.9499998</v>
      </c>
      <c r="H892" s="37">
        <v>674208631</v>
      </c>
      <c r="I892" s="55">
        <f t="shared" si="41"/>
        <v>20958711531.567402</v>
      </c>
      <c r="J892" s="54">
        <v>0</v>
      </c>
      <c r="K892" s="56">
        <f t="shared" si="40"/>
        <v>20958711531.567402</v>
      </c>
      <c r="L892" s="37">
        <v>0</v>
      </c>
      <c r="M892" s="69" t="s">
        <v>739</v>
      </c>
      <c r="O892" s="38"/>
      <c r="P892" s="60">
        <v>651126604.54229999</v>
      </c>
      <c r="Q892" s="60">
        <v>329941983</v>
      </c>
    </row>
    <row r="893" spans="1:26">
      <c r="A893" s="50"/>
      <c r="B893" s="52"/>
      <c r="C893" s="52"/>
      <c r="E893" s="54"/>
      <c r="F893" s="54"/>
      <c r="G893" s="54"/>
      <c r="H893" s="54"/>
      <c r="I893" s="55"/>
      <c r="K893" s="65"/>
      <c r="L893" s="37"/>
      <c r="M893" s="69"/>
      <c r="O893" s="38"/>
    </row>
    <row r="894" spans="1:26" ht="12.75" customHeight="1">
      <c r="A894" s="76" t="s">
        <v>51</v>
      </c>
      <c r="B894" s="51" t="s">
        <v>295</v>
      </c>
      <c r="C894" s="52" t="s">
        <v>750</v>
      </c>
      <c r="D894" s="53">
        <v>1988</v>
      </c>
      <c r="E894" s="54">
        <v>494160311</v>
      </c>
      <c r="F894" s="54">
        <v>139246409</v>
      </c>
      <c r="G894" s="54">
        <v>537561838</v>
      </c>
      <c r="H894" s="54">
        <v>59908525</v>
      </c>
      <c r="I894" s="55">
        <f t="shared" si="41"/>
        <v>1230877083</v>
      </c>
      <c r="J894" s="54">
        <v>0</v>
      </c>
      <c r="K894" s="56">
        <f>SUM(I894:J894)</f>
        <v>1230877083</v>
      </c>
      <c r="L894" s="37">
        <v>0</v>
      </c>
      <c r="M894" s="69"/>
      <c r="O894" s="38" t="str">
        <f>IF([1]totrevprm!O895="","",[1]totrevprm!O895)</f>
        <v/>
      </c>
    </row>
    <row r="895" spans="1:26">
      <c r="A895" s="76" t="s">
        <v>51</v>
      </c>
      <c r="B895" s="51" t="s">
        <v>295</v>
      </c>
      <c r="C895" s="52" t="s">
        <v>731</v>
      </c>
      <c r="D895" s="53">
        <v>1989</v>
      </c>
      <c r="E895" s="54">
        <v>507841813</v>
      </c>
      <c r="F895" s="54">
        <v>169895828</v>
      </c>
      <c r="G895" s="54">
        <v>576016570</v>
      </c>
      <c r="H895" s="54">
        <v>78357618</v>
      </c>
      <c r="I895" s="55">
        <f t="shared" si="41"/>
        <v>1332111829</v>
      </c>
      <c r="J895" s="54">
        <v>0</v>
      </c>
      <c r="K895" s="56">
        <f t="shared" ref="K895:K929" si="42">SUM(I895:J895)</f>
        <v>1332111829</v>
      </c>
      <c r="L895" s="37">
        <v>0</v>
      </c>
      <c r="M895" s="69"/>
      <c r="O895" s="38" t="str">
        <f>IF([1]totrevprm!O896="","",[1]totrevprm!O896)</f>
        <v/>
      </c>
    </row>
    <row r="896" spans="1:26">
      <c r="A896" s="76" t="s">
        <v>51</v>
      </c>
      <c r="B896" s="51" t="s">
        <v>295</v>
      </c>
      <c r="C896" s="52" t="s">
        <v>731</v>
      </c>
      <c r="D896" s="53">
        <v>1990</v>
      </c>
      <c r="E896" s="54">
        <v>540232035</v>
      </c>
      <c r="F896" s="54">
        <v>210283690.24000001</v>
      </c>
      <c r="G896" s="54">
        <v>603593291</v>
      </c>
      <c r="H896" s="54">
        <v>84560616</v>
      </c>
      <c r="I896" s="55">
        <f t="shared" si="41"/>
        <v>1438669632.24</v>
      </c>
      <c r="J896" s="54">
        <v>0</v>
      </c>
      <c r="K896" s="56">
        <f t="shared" si="42"/>
        <v>1438669632.24</v>
      </c>
      <c r="L896" s="37">
        <v>0</v>
      </c>
      <c r="M896" s="69"/>
      <c r="O896" s="38" t="str">
        <f>IF([1]totrevprm!O897="","",[1]totrevprm!O897)</f>
        <v/>
      </c>
    </row>
    <row r="897" spans="1:26">
      <c r="A897" s="76" t="s">
        <v>51</v>
      </c>
      <c r="B897" s="51" t="s">
        <v>295</v>
      </c>
      <c r="C897" s="52" t="s">
        <v>731</v>
      </c>
      <c r="D897" s="53">
        <v>1991</v>
      </c>
      <c r="E897" s="54">
        <v>553617397</v>
      </c>
      <c r="F897" s="54">
        <v>194700963</v>
      </c>
      <c r="G897" s="54">
        <v>617080734</v>
      </c>
      <c r="H897" s="54">
        <v>72413418</v>
      </c>
      <c r="I897" s="55">
        <f t="shared" si="41"/>
        <v>1437812512</v>
      </c>
      <c r="J897" s="54">
        <v>0</v>
      </c>
      <c r="K897" s="56">
        <f t="shared" si="42"/>
        <v>1437812512</v>
      </c>
      <c r="L897" s="37">
        <v>0</v>
      </c>
      <c r="M897" s="69"/>
      <c r="O897" s="38" t="str">
        <f>IF([1]totrevprm!O898="","",[1]totrevprm!O898)</f>
        <v/>
      </c>
    </row>
    <row r="898" spans="1:26">
      <c r="A898" s="76" t="s">
        <v>51</v>
      </c>
      <c r="B898" s="51" t="s">
        <v>295</v>
      </c>
      <c r="C898" s="52" t="s">
        <v>731</v>
      </c>
      <c r="D898" s="53">
        <v>1992</v>
      </c>
      <c r="E898" s="54">
        <v>590668261</v>
      </c>
      <c r="F898" s="54">
        <v>228391753.16</v>
      </c>
      <c r="G898" s="54">
        <v>658147869</v>
      </c>
      <c r="H898" s="54">
        <v>57756871</v>
      </c>
      <c r="I898" s="55">
        <f t="shared" si="41"/>
        <v>1534964754.1599998</v>
      </c>
      <c r="J898" s="54">
        <v>0</v>
      </c>
      <c r="K898" s="56">
        <f t="shared" si="42"/>
        <v>1534964754.1599998</v>
      </c>
      <c r="L898" s="37">
        <v>0</v>
      </c>
      <c r="M898" s="69"/>
      <c r="O898" s="38" t="str">
        <f>IF([1]totrevprm!O899="","",[1]totrevprm!O899)</f>
        <v/>
      </c>
    </row>
    <row r="899" spans="1:26">
      <c r="A899" s="76" t="s">
        <v>51</v>
      </c>
      <c r="B899" s="51" t="s">
        <v>295</v>
      </c>
      <c r="C899" s="52" t="s">
        <v>731</v>
      </c>
      <c r="D899" s="53">
        <v>1993</v>
      </c>
      <c r="E899" s="54">
        <v>624675929</v>
      </c>
      <c r="F899" s="54">
        <v>201796629</v>
      </c>
      <c r="G899" s="54">
        <v>720034011</v>
      </c>
      <c r="H899" s="54">
        <v>82419318</v>
      </c>
      <c r="I899" s="55">
        <f t="shared" si="41"/>
        <v>1628925887</v>
      </c>
      <c r="J899" s="54">
        <v>0</v>
      </c>
      <c r="K899" s="56">
        <f t="shared" si="42"/>
        <v>1628925887</v>
      </c>
      <c r="L899" s="37">
        <v>0</v>
      </c>
      <c r="M899" s="69"/>
      <c r="O899" s="38" t="str">
        <f>IF([1]totrevprm!O900="","",[1]totrevprm!O900)</f>
        <v/>
      </c>
    </row>
    <row r="900" spans="1:26">
      <c r="A900" s="76" t="s">
        <v>51</v>
      </c>
      <c r="B900" s="51" t="s">
        <v>295</v>
      </c>
      <c r="C900" s="52" t="s">
        <v>731</v>
      </c>
      <c r="D900" s="53">
        <v>1994</v>
      </c>
      <c r="E900" s="54">
        <v>684193956</v>
      </c>
      <c r="F900" s="54">
        <v>259009264</v>
      </c>
      <c r="G900" s="54">
        <v>691777042</v>
      </c>
      <c r="H900" s="54">
        <v>72732935</v>
      </c>
      <c r="I900" s="55">
        <f t="shared" si="41"/>
        <v>1707713197</v>
      </c>
      <c r="J900" s="54">
        <v>0</v>
      </c>
      <c r="K900" s="56">
        <f t="shared" si="42"/>
        <v>1707713197</v>
      </c>
      <c r="L900" s="37">
        <v>0</v>
      </c>
      <c r="M900" s="69"/>
      <c r="O900" s="38" t="str">
        <f>IF([1]totrevprm!O901="","",[1]totrevprm!O901)</f>
        <v/>
      </c>
    </row>
    <row r="901" spans="1:26">
      <c r="A901" s="76" t="s">
        <v>51</v>
      </c>
      <c r="B901" s="51" t="s">
        <v>295</v>
      </c>
      <c r="C901" s="52" t="s">
        <v>731</v>
      </c>
      <c r="D901" s="53">
        <v>1995</v>
      </c>
      <c r="E901" s="54">
        <v>709493426</v>
      </c>
      <c r="F901" s="54">
        <v>243301024</v>
      </c>
      <c r="G901" s="54">
        <v>704786886</v>
      </c>
      <c r="H901" s="54">
        <v>75550966</v>
      </c>
      <c r="I901" s="55">
        <f t="shared" si="41"/>
        <v>1733132302</v>
      </c>
      <c r="J901" s="54">
        <v>0</v>
      </c>
      <c r="K901" s="56">
        <f t="shared" si="42"/>
        <v>1733132302</v>
      </c>
      <c r="L901" s="37">
        <v>0</v>
      </c>
      <c r="M901" s="69"/>
      <c r="O901" s="38" t="str">
        <f>IF([1]totrevprm!O902="","",[1]totrevprm!O902)</f>
        <v/>
      </c>
    </row>
    <row r="902" spans="1:26">
      <c r="A902" s="76" t="s">
        <v>51</v>
      </c>
      <c r="B902" s="51" t="s">
        <v>295</v>
      </c>
      <c r="C902" s="52" t="s">
        <v>731</v>
      </c>
      <c r="D902" s="53">
        <v>1996</v>
      </c>
      <c r="E902" s="54">
        <v>679253235</v>
      </c>
      <c r="F902" s="54">
        <v>238600553</v>
      </c>
      <c r="G902" s="54">
        <v>1146866345</v>
      </c>
      <c r="H902" s="54">
        <v>70332244</v>
      </c>
      <c r="I902" s="55">
        <f t="shared" si="41"/>
        <v>2135052377</v>
      </c>
      <c r="J902" s="54">
        <v>0</v>
      </c>
      <c r="K902" s="56">
        <f t="shared" si="42"/>
        <v>2135052377</v>
      </c>
      <c r="L902" s="37">
        <v>0</v>
      </c>
      <c r="M902" s="69"/>
      <c r="O902" s="38" t="str">
        <f>IF([1]totrevprm!O903="","",[1]totrevprm!O903)</f>
        <v/>
      </c>
    </row>
    <row r="903" spans="1:26">
      <c r="A903" s="76" t="s">
        <v>51</v>
      </c>
      <c r="B903" s="51" t="s">
        <v>295</v>
      </c>
      <c r="C903" s="52" t="s">
        <v>731</v>
      </c>
      <c r="D903" s="53">
        <v>1997</v>
      </c>
      <c r="E903" s="54">
        <v>685764267</v>
      </c>
      <c r="F903" s="54">
        <v>227148652</v>
      </c>
      <c r="G903" s="54">
        <v>1197733300</v>
      </c>
      <c r="H903" s="54">
        <v>80780006</v>
      </c>
      <c r="I903" s="55">
        <f t="shared" si="41"/>
        <v>2191426225</v>
      </c>
      <c r="J903" s="54">
        <v>0</v>
      </c>
      <c r="K903" s="56">
        <f t="shared" si="42"/>
        <v>2191426225</v>
      </c>
      <c r="L903" s="37">
        <v>0</v>
      </c>
      <c r="M903" s="69"/>
      <c r="O903" s="38" t="str">
        <f>IF([1]totrevprm!O904="","",[1]totrevprm!O904)</f>
        <v/>
      </c>
    </row>
    <row r="904" spans="1:26">
      <c r="A904" s="76" t="s">
        <v>51</v>
      </c>
      <c r="B904" s="51" t="s">
        <v>295</v>
      </c>
      <c r="C904" s="52" t="s">
        <v>731</v>
      </c>
      <c r="D904" s="53">
        <v>1998</v>
      </c>
      <c r="E904" s="54">
        <v>717084967</v>
      </c>
      <c r="F904" s="54">
        <v>276999929</v>
      </c>
      <c r="G904" s="54">
        <v>1308400017</v>
      </c>
      <c r="H904" s="54">
        <v>75177676</v>
      </c>
      <c r="I904" s="55">
        <f t="shared" si="41"/>
        <v>2377662589</v>
      </c>
      <c r="J904" s="54">
        <v>0</v>
      </c>
      <c r="K904" s="56">
        <f t="shared" si="42"/>
        <v>2377662589</v>
      </c>
      <c r="L904" s="37">
        <v>0</v>
      </c>
      <c r="M904" s="69"/>
      <c r="O904" s="38" t="str">
        <f>IF([1]totrevprm!O905="","",[1]totrevprm!O905)</f>
        <v/>
      </c>
    </row>
    <row r="905" spans="1:26">
      <c r="A905" s="76" t="s">
        <v>51</v>
      </c>
      <c r="B905" s="51" t="s">
        <v>295</v>
      </c>
      <c r="C905" s="52" t="s">
        <v>782</v>
      </c>
      <c r="D905" s="53">
        <v>1999</v>
      </c>
      <c r="E905" s="54">
        <v>700222456</v>
      </c>
      <c r="F905" s="54">
        <v>467201248</v>
      </c>
      <c r="G905" s="54">
        <v>1491243860</v>
      </c>
      <c r="H905" s="54">
        <v>22795978</v>
      </c>
      <c r="I905" s="55">
        <f t="shared" si="41"/>
        <v>2681463542</v>
      </c>
      <c r="J905" s="54">
        <v>0</v>
      </c>
      <c r="K905" s="56">
        <f t="shared" si="42"/>
        <v>2681463542</v>
      </c>
      <c r="L905" s="37">
        <v>9174563</v>
      </c>
      <c r="M905" s="69" t="s">
        <v>735</v>
      </c>
      <c r="N905" t="s">
        <v>708</v>
      </c>
      <c r="O905" s="38" t="str">
        <f>IF([1]totrevprm!O906="","",[1]totrevprm!O906)</f>
        <v/>
      </c>
    </row>
    <row r="906" spans="1:26">
      <c r="A906" s="76" t="s">
        <v>51</v>
      </c>
      <c r="B906" s="51" t="s">
        <v>295</v>
      </c>
      <c r="C906" s="52" t="s">
        <v>731</v>
      </c>
      <c r="D906" s="53">
        <v>2000</v>
      </c>
      <c r="E906" s="54">
        <v>728558722</v>
      </c>
      <c r="F906" s="54">
        <v>551858802</v>
      </c>
      <c r="G906" s="54">
        <v>1689058813</v>
      </c>
      <c r="H906" s="54">
        <v>32855534</v>
      </c>
      <c r="I906" s="55">
        <f t="shared" si="41"/>
        <v>3002331871</v>
      </c>
      <c r="J906" s="54">
        <v>0</v>
      </c>
      <c r="K906" s="56">
        <f t="shared" si="42"/>
        <v>3002331871</v>
      </c>
      <c r="L906" s="37">
        <v>14578021</v>
      </c>
      <c r="M906" s="69" t="s">
        <v>735</v>
      </c>
      <c r="N906" t="s">
        <v>708</v>
      </c>
      <c r="O906" s="38" t="str">
        <f>IF([1]totrevprm!O907="","",[1]totrevprm!O907)</f>
        <v/>
      </c>
      <c r="V906" s="38" t="s">
        <v>295</v>
      </c>
      <c r="W906" s="58">
        <v>3286659</v>
      </c>
      <c r="X906" s="58">
        <v>12535013</v>
      </c>
      <c r="Y906" s="58">
        <v>6889790</v>
      </c>
      <c r="Z906" s="58">
        <v>0</v>
      </c>
    </row>
    <row r="907" spans="1:26">
      <c r="A907" s="76" t="s">
        <v>51</v>
      </c>
      <c r="B907" s="51" t="s">
        <v>295</v>
      </c>
      <c r="C907" s="52" t="s">
        <v>731</v>
      </c>
      <c r="D907" s="53">
        <v>2001</v>
      </c>
      <c r="E907" s="54">
        <v>766056989</v>
      </c>
      <c r="F907" s="54">
        <v>711026830</v>
      </c>
      <c r="G907" s="54">
        <v>1551481021</v>
      </c>
      <c r="H907" s="54">
        <v>19580221</v>
      </c>
      <c r="I907" s="55">
        <f t="shared" si="41"/>
        <v>3048145061</v>
      </c>
      <c r="J907" s="54">
        <v>0</v>
      </c>
      <c r="K907" s="56">
        <f t="shared" si="42"/>
        <v>3048145061</v>
      </c>
      <c r="L907" s="35">
        <v>9883950</v>
      </c>
      <c r="M907" s="69" t="s">
        <v>735</v>
      </c>
      <c r="N907" t="s">
        <v>708</v>
      </c>
      <c r="O907" s="38" t="str">
        <f>IF([1]totrevprm!O908="","",[1]totrevprm!O908)</f>
        <v/>
      </c>
      <c r="V907" s="38"/>
      <c r="W907" s="58"/>
      <c r="X907" s="58"/>
      <c r="Y907" s="58"/>
      <c r="Z907" s="58"/>
    </row>
    <row r="908" spans="1:26">
      <c r="A908" s="76" t="s">
        <v>51</v>
      </c>
      <c r="B908" s="51" t="s">
        <v>295</v>
      </c>
      <c r="C908" s="52" t="s">
        <v>731</v>
      </c>
      <c r="D908" s="53">
        <v>2002</v>
      </c>
      <c r="E908" s="54">
        <v>821627437</v>
      </c>
      <c r="F908" s="54">
        <v>935221183</v>
      </c>
      <c r="G908" s="54">
        <v>1642284308</v>
      </c>
      <c r="H908" s="54">
        <v>12123739</v>
      </c>
      <c r="I908" s="55">
        <f t="shared" si="41"/>
        <v>3411256667</v>
      </c>
      <c r="J908" s="54">
        <v>0</v>
      </c>
      <c r="K908" s="56">
        <f t="shared" si="42"/>
        <v>3411256667</v>
      </c>
      <c r="L908" s="35">
        <v>10346312</v>
      </c>
      <c r="M908" s="69" t="s">
        <v>735</v>
      </c>
      <c r="N908" t="s">
        <v>708</v>
      </c>
      <c r="O908" s="38" t="str">
        <f>IF([1]totrevprm!O909="","",[1]totrevprm!O909)</f>
        <v/>
      </c>
      <c r="V908" s="38"/>
      <c r="W908" s="58"/>
      <c r="X908" s="58"/>
      <c r="Y908" s="58"/>
      <c r="Z908" s="58"/>
    </row>
    <row r="909" spans="1:26">
      <c r="A909" s="76" t="s">
        <v>51</v>
      </c>
      <c r="B909" s="51" t="s">
        <v>295</v>
      </c>
      <c r="C909" s="52" t="s">
        <v>731</v>
      </c>
      <c r="D909" s="53">
        <v>2003</v>
      </c>
      <c r="E909" s="59">
        <v>832258477</v>
      </c>
      <c r="F909" s="59">
        <v>848668057</v>
      </c>
      <c r="G909" s="59">
        <v>1798892605</v>
      </c>
      <c r="H909" s="59">
        <v>30461039</v>
      </c>
      <c r="I909" s="55">
        <f t="shared" si="41"/>
        <v>3510280178</v>
      </c>
      <c r="J909" s="54">
        <v>0</v>
      </c>
      <c r="K909" s="56">
        <f t="shared" si="42"/>
        <v>3510280178</v>
      </c>
      <c r="L909" s="35">
        <v>17292726</v>
      </c>
      <c r="M909" s="69" t="s">
        <v>735</v>
      </c>
      <c r="N909" t="s">
        <v>708</v>
      </c>
      <c r="O909" s="38" t="str">
        <f>IF([1]totrevprm!O910="","",[1]totrevprm!O910)</f>
        <v/>
      </c>
      <c r="V909" s="38"/>
      <c r="W909" s="58"/>
      <c r="X909" s="58"/>
      <c r="Y909" s="58"/>
      <c r="Z909" s="58"/>
    </row>
    <row r="910" spans="1:26">
      <c r="A910" s="76" t="s">
        <v>51</v>
      </c>
      <c r="B910" s="51" t="s">
        <v>295</v>
      </c>
      <c r="C910" s="52" t="s">
        <v>731</v>
      </c>
      <c r="D910" s="53">
        <v>2004</v>
      </c>
      <c r="E910" s="59">
        <v>878895716</v>
      </c>
      <c r="F910" s="59">
        <v>783998043</v>
      </c>
      <c r="G910" s="59">
        <v>1954734991</v>
      </c>
      <c r="H910" s="59">
        <v>29695704</v>
      </c>
      <c r="I910" s="55">
        <f t="shared" si="41"/>
        <v>3647324454</v>
      </c>
      <c r="J910" s="54">
        <v>0</v>
      </c>
      <c r="K910" s="56">
        <f t="shared" si="42"/>
        <v>3647324454</v>
      </c>
      <c r="L910" s="35">
        <v>27409883</v>
      </c>
      <c r="M910" s="69" t="s">
        <v>735</v>
      </c>
      <c r="N910" t="s">
        <v>708</v>
      </c>
      <c r="O910" s="38" t="str">
        <f>IF([1]totrevprm!O911="","",[1]totrevprm!O911)</f>
        <v/>
      </c>
      <c r="V910" s="38"/>
      <c r="W910" s="58"/>
      <c r="X910" s="58"/>
      <c r="Y910" s="58"/>
      <c r="Z910" s="58"/>
    </row>
    <row r="911" spans="1:26">
      <c r="A911" s="76" t="s">
        <v>51</v>
      </c>
      <c r="B911" s="51" t="s">
        <v>295</v>
      </c>
      <c r="C911" s="52"/>
      <c r="D911" s="53">
        <v>2005</v>
      </c>
      <c r="E911" s="59">
        <v>843105341</v>
      </c>
      <c r="F911" s="59">
        <v>720107437</v>
      </c>
      <c r="G911" s="59">
        <v>2055542218</v>
      </c>
      <c r="H911" s="59">
        <v>29358605</v>
      </c>
      <c r="I911" s="55">
        <f t="shared" si="41"/>
        <v>3648113601</v>
      </c>
      <c r="J911" s="54">
        <v>0</v>
      </c>
      <c r="K911" s="56">
        <f t="shared" si="42"/>
        <v>3648113601</v>
      </c>
      <c r="L911" s="35">
        <v>18809558</v>
      </c>
      <c r="M911" s="69" t="s">
        <v>735</v>
      </c>
      <c r="N911" t="s">
        <v>708</v>
      </c>
      <c r="O911" s="38" t="str">
        <f>IF([1]totrevprm!O912="","",[1]totrevprm!O912)</f>
        <v/>
      </c>
      <c r="V911" s="38"/>
      <c r="W911" s="58"/>
      <c r="X911" s="58"/>
      <c r="Y911" s="58"/>
      <c r="Z911" s="58"/>
    </row>
    <row r="912" spans="1:26">
      <c r="A912" s="76" t="s">
        <v>51</v>
      </c>
      <c r="B912" s="51" t="s">
        <v>295</v>
      </c>
      <c r="C912" s="52"/>
      <c r="D912" s="53">
        <v>2006</v>
      </c>
      <c r="E912" s="37">
        <v>871708070</v>
      </c>
      <c r="F912" s="37">
        <v>816857580</v>
      </c>
      <c r="G912" s="37">
        <v>2266617493</v>
      </c>
      <c r="H912" s="37">
        <v>16758849</v>
      </c>
      <c r="I912" s="55">
        <f t="shared" si="41"/>
        <v>3971941992</v>
      </c>
      <c r="J912" s="54">
        <v>0</v>
      </c>
      <c r="K912" s="56">
        <f t="shared" si="42"/>
        <v>3971941992</v>
      </c>
      <c r="L912" s="35">
        <v>11129153</v>
      </c>
      <c r="M912" s="69" t="s">
        <v>735</v>
      </c>
      <c r="N912" t="s">
        <v>708</v>
      </c>
      <c r="O912" s="38" t="str">
        <f>IF([1]totrevprm!O913="","",[1]totrevprm!O913)</f>
        <v/>
      </c>
      <c r="V912" s="38"/>
      <c r="W912" s="58"/>
      <c r="X912" s="58"/>
      <c r="Y912" s="58"/>
      <c r="Z912" s="58"/>
    </row>
    <row r="913" spans="1:26">
      <c r="A913" s="76" t="s">
        <v>51</v>
      </c>
      <c r="B913" s="51" t="s">
        <v>295</v>
      </c>
      <c r="C913" s="52"/>
      <c r="D913" s="53">
        <v>2007</v>
      </c>
      <c r="E913" s="37">
        <v>900744584</v>
      </c>
      <c r="F913" s="37">
        <v>768621684</v>
      </c>
      <c r="G913" s="37">
        <v>2608752757</v>
      </c>
      <c r="H913" s="37">
        <v>23359188</v>
      </c>
      <c r="I913" s="55">
        <f t="shared" si="41"/>
        <v>4301478213</v>
      </c>
      <c r="J913" s="54">
        <v>0</v>
      </c>
      <c r="K913" s="56">
        <f t="shared" si="42"/>
        <v>4301478213</v>
      </c>
      <c r="L913" s="35">
        <v>7616222</v>
      </c>
      <c r="M913" s="69" t="s">
        <v>735</v>
      </c>
      <c r="N913" t="s">
        <v>708</v>
      </c>
      <c r="O913" s="38" t="str">
        <f>IF([1]totrevprm!O914="","",[1]totrevprm!O914)</f>
        <v/>
      </c>
      <c r="V913" s="38"/>
      <c r="W913" s="58"/>
      <c r="X913" s="58"/>
      <c r="Y913" s="58"/>
      <c r="Z913" s="58"/>
    </row>
    <row r="914" spans="1:26">
      <c r="A914" s="76" t="s">
        <v>51</v>
      </c>
      <c r="B914" s="51" t="s">
        <v>295</v>
      </c>
      <c r="C914" s="52"/>
      <c r="D914" s="53">
        <v>2008</v>
      </c>
      <c r="E914" s="37">
        <v>977126800</v>
      </c>
      <c r="F914" s="37">
        <v>1042067117</v>
      </c>
      <c r="G914" s="37">
        <v>2378353175</v>
      </c>
      <c r="H914" s="37">
        <v>16162811</v>
      </c>
      <c r="I914" s="55">
        <f t="shared" si="41"/>
        <v>4413709903</v>
      </c>
      <c r="J914" s="54">
        <v>0</v>
      </c>
      <c r="K914" s="56">
        <f t="shared" si="42"/>
        <v>4413709903</v>
      </c>
      <c r="L914" s="35">
        <v>15218500</v>
      </c>
      <c r="M914" s="69" t="s">
        <v>735</v>
      </c>
      <c r="N914" t="s">
        <v>708</v>
      </c>
      <c r="O914" s="38" t="str">
        <f>IF([1]totrevprm!O915="","",[1]totrevprm!O915)</f>
        <v/>
      </c>
      <c r="V914" s="38"/>
      <c r="W914" s="58"/>
      <c r="X914" s="58"/>
      <c r="Y914" s="58"/>
      <c r="Z914" s="58"/>
    </row>
    <row r="915" spans="1:26">
      <c r="A915" s="76" t="s">
        <v>51</v>
      </c>
      <c r="B915" s="51" t="s">
        <v>295</v>
      </c>
      <c r="C915" s="52"/>
      <c r="D915" s="53">
        <v>2009</v>
      </c>
      <c r="E915" s="37">
        <v>1075876880</v>
      </c>
      <c r="F915" s="37">
        <v>970426265</v>
      </c>
      <c r="G915" s="37">
        <v>2725964489</v>
      </c>
      <c r="H915" s="37">
        <v>34124962</v>
      </c>
      <c r="I915" s="55">
        <f t="shared" si="41"/>
        <v>4806392596</v>
      </c>
      <c r="J915" s="54">
        <v>0</v>
      </c>
      <c r="K915" s="56">
        <f t="shared" si="42"/>
        <v>4806392596</v>
      </c>
      <c r="L915" s="35">
        <v>19947823</v>
      </c>
      <c r="M915" s="69" t="s">
        <v>735</v>
      </c>
      <c r="N915" t="s">
        <v>708</v>
      </c>
      <c r="O915" s="38" t="str">
        <f>IF([1]totrevprm!O916="","",[1]totrevprm!O916)</f>
        <v/>
      </c>
      <c r="V915" s="38"/>
      <c r="W915" s="58"/>
      <c r="X915" s="58"/>
      <c r="Y915" s="58"/>
      <c r="Z915" s="58"/>
    </row>
    <row r="916" spans="1:26">
      <c r="A916" s="76" t="s">
        <v>51</v>
      </c>
      <c r="B916" s="51" t="s">
        <v>295</v>
      </c>
      <c r="C916" s="52"/>
      <c r="D916" s="53">
        <v>2010</v>
      </c>
      <c r="E916" s="37">
        <v>1046595624</v>
      </c>
      <c r="F916" s="37">
        <v>851655369</v>
      </c>
      <c r="G916" s="37">
        <v>2629420239</v>
      </c>
      <c r="H916" s="37">
        <v>25094358</v>
      </c>
      <c r="I916" s="55">
        <f t="shared" si="41"/>
        <v>4552765590</v>
      </c>
      <c r="J916" s="54">
        <v>0</v>
      </c>
      <c r="K916" s="56">
        <f t="shared" si="42"/>
        <v>4552765590</v>
      </c>
      <c r="L916" s="35">
        <v>2489207</v>
      </c>
      <c r="M916" s="69" t="s">
        <v>735</v>
      </c>
      <c r="N916" t="s">
        <v>708</v>
      </c>
      <c r="O916" s="38" t="str">
        <f>IF([1]totrevprm!O917="","",[1]totrevprm!O917)</f>
        <v/>
      </c>
      <c r="V916" s="38"/>
      <c r="W916" s="58"/>
      <c r="X916" s="58"/>
      <c r="Y916" s="58"/>
      <c r="Z916" s="58"/>
    </row>
    <row r="917" spans="1:26">
      <c r="A917" s="76" t="s">
        <v>51</v>
      </c>
      <c r="B917" s="51" t="s">
        <v>295</v>
      </c>
      <c r="C917" s="52"/>
      <c r="D917" s="53">
        <v>2011</v>
      </c>
      <c r="E917" s="37">
        <v>1102883385</v>
      </c>
      <c r="F917" s="37">
        <v>949125514</v>
      </c>
      <c r="G917" s="37">
        <v>2506972914</v>
      </c>
      <c r="H917" s="37">
        <v>29818626</v>
      </c>
      <c r="I917" s="55">
        <f t="shared" si="41"/>
        <v>4588800439</v>
      </c>
      <c r="J917" s="54">
        <v>0</v>
      </c>
      <c r="K917" s="56">
        <f t="shared" si="42"/>
        <v>4588800439</v>
      </c>
      <c r="L917" s="35">
        <v>757029</v>
      </c>
      <c r="M917" s="69" t="s">
        <v>735</v>
      </c>
      <c r="N917" t="s">
        <v>708</v>
      </c>
      <c r="O917" s="38" t="str">
        <f>IF([1]totrevprm!O918="","",[1]totrevprm!O918)</f>
        <v/>
      </c>
      <c r="V917" s="38"/>
      <c r="W917" s="58"/>
      <c r="X917" s="58"/>
      <c r="Y917" s="58"/>
      <c r="Z917" s="58"/>
    </row>
    <row r="918" spans="1:26">
      <c r="A918" s="76" t="s">
        <v>51</v>
      </c>
      <c r="B918" s="51" t="s">
        <v>295</v>
      </c>
      <c r="C918" s="52"/>
      <c r="D918" s="53">
        <v>2012</v>
      </c>
      <c r="E918" s="37">
        <v>1136196014</v>
      </c>
      <c r="F918" s="37">
        <v>955395782</v>
      </c>
      <c r="G918" s="37">
        <v>2555189534</v>
      </c>
      <c r="H918" s="37">
        <v>30682921</v>
      </c>
      <c r="I918" s="55">
        <f t="shared" si="41"/>
        <v>4677464251</v>
      </c>
      <c r="J918" s="54">
        <v>0</v>
      </c>
      <c r="K918" s="56">
        <f t="shared" si="42"/>
        <v>4677464251</v>
      </c>
      <c r="L918" s="35">
        <v>941400</v>
      </c>
      <c r="M918" s="69" t="s">
        <v>735</v>
      </c>
      <c r="N918" t="s">
        <v>708</v>
      </c>
      <c r="O918" s="38" t="str">
        <f>IF([1]totrevprm!O919="","",[1]totrevprm!O919)</f>
        <v/>
      </c>
      <c r="V918" s="38"/>
      <c r="W918" s="58"/>
      <c r="X918" s="58"/>
      <c r="Y918" s="58"/>
      <c r="Z918" s="58"/>
    </row>
    <row r="919" spans="1:26">
      <c r="A919" s="76" t="s">
        <v>51</v>
      </c>
      <c r="B919" s="51" t="s">
        <v>295</v>
      </c>
      <c r="C919" s="52"/>
      <c r="D919" s="53">
        <v>2013</v>
      </c>
      <c r="E919" s="37">
        <v>1162331712</v>
      </c>
      <c r="F919" s="37">
        <v>1012429718</v>
      </c>
      <c r="G919" s="37">
        <v>2711111873</v>
      </c>
      <c r="H919" s="37">
        <v>63673594</v>
      </c>
      <c r="I919" s="55">
        <f t="shared" si="41"/>
        <v>4949546897</v>
      </c>
      <c r="J919" s="54">
        <v>0</v>
      </c>
      <c r="K919" s="56">
        <f t="shared" si="42"/>
        <v>4949546897</v>
      </c>
      <c r="L919" s="35">
        <v>481812</v>
      </c>
      <c r="M919" s="69" t="s">
        <v>735</v>
      </c>
      <c r="N919" t="s">
        <v>708</v>
      </c>
      <c r="O919" s="38" t="str">
        <f>IF([1]totrevprm!O920="","",[1]totrevprm!O920)</f>
        <v/>
      </c>
      <c r="V919" s="38"/>
      <c r="W919" s="58"/>
      <c r="X919" s="58"/>
      <c r="Y919" s="58"/>
      <c r="Z919" s="58"/>
    </row>
    <row r="920" spans="1:26">
      <c r="A920" s="76" t="s">
        <v>51</v>
      </c>
      <c r="B920" s="51" t="s">
        <v>295</v>
      </c>
      <c r="C920" s="52"/>
      <c r="D920" s="53">
        <v>2014</v>
      </c>
      <c r="E920" s="37">
        <v>1182573832</v>
      </c>
      <c r="F920" s="37">
        <v>1098734107</v>
      </c>
      <c r="G920" s="37">
        <v>2710125131</v>
      </c>
      <c r="H920" s="37">
        <v>17298773</v>
      </c>
      <c r="I920" s="55">
        <f t="shared" si="41"/>
        <v>5008731843</v>
      </c>
      <c r="J920" s="54">
        <v>0</v>
      </c>
      <c r="K920" s="56">
        <f t="shared" si="42"/>
        <v>5008731843</v>
      </c>
      <c r="L920" s="37">
        <v>47216346</v>
      </c>
      <c r="M920" s="69" t="s">
        <v>735</v>
      </c>
      <c r="N920" t="s">
        <v>708</v>
      </c>
      <c r="O920" s="38" t="str">
        <f>IF([1]totrevprm!O921="","",[1]totrevprm!O921)</f>
        <v/>
      </c>
      <c r="V920" s="38"/>
      <c r="W920" s="58"/>
      <c r="X920" s="58"/>
      <c r="Y920" s="58"/>
      <c r="Z920" s="58"/>
    </row>
    <row r="921" spans="1:26">
      <c r="A921" s="76" t="s">
        <v>51</v>
      </c>
      <c r="B921" s="51" t="s">
        <v>295</v>
      </c>
      <c r="C921" s="52"/>
      <c r="D921" s="53">
        <v>2015</v>
      </c>
      <c r="E921" s="37">
        <v>1192119346</v>
      </c>
      <c r="F921" s="37">
        <v>1183584489</v>
      </c>
      <c r="G921" s="37">
        <v>2514474358</v>
      </c>
      <c r="H921" s="37">
        <v>17143291</v>
      </c>
      <c r="I921" s="55">
        <f t="shared" si="41"/>
        <v>4907321484</v>
      </c>
      <c r="J921" s="54">
        <v>0</v>
      </c>
      <c r="K921" s="56">
        <f t="shared" si="42"/>
        <v>4907321484</v>
      </c>
      <c r="L921" s="37">
        <v>27277455</v>
      </c>
      <c r="M921" s="69" t="s">
        <v>735</v>
      </c>
      <c r="N921" t="s">
        <v>708</v>
      </c>
      <c r="O921" s="38" t="str">
        <f>IF([1]totrevprm!O922="","",[1]totrevprm!O922)</f>
        <v/>
      </c>
      <c r="P921" s="35">
        <v>191358164.99837083</v>
      </c>
      <c r="Q921" s="35">
        <v>62415713.369999997</v>
      </c>
      <c r="V921" s="38"/>
      <c r="W921" s="58"/>
      <c r="X921" s="58"/>
      <c r="Y921" s="58"/>
      <c r="Z921" s="58"/>
    </row>
    <row r="922" spans="1:26">
      <c r="A922" s="76" t="s">
        <v>51</v>
      </c>
      <c r="B922" s="51" t="s">
        <v>295</v>
      </c>
      <c r="C922" s="52"/>
      <c r="D922" s="53">
        <v>2016</v>
      </c>
      <c r="E922" s="37">
        <v>1240812243</v>
      </c>
      <c r="F922" s="37">
        <v>1179851950</v>
      </c>
      <c r="G922" s="37">
        <v>2516772991</v>
      </c>
      <c r="H922" s="37">
        <v>24824279</v>
      </c>
      <c r="I922" s="55">
        <f t="shared" si="41"/>
        <v>4962261463</v>
      </c>
      <c r="J922" s="54">
        <v>0</v>
      </c>
      <c r="K922" s="56">
        <f t="shared" si="42"/>
        <v>4962261463</v>
      </c>
      <c r="L922" s="37">
        <v>17304043</v>
      </c>
      <c r="M922" s="69" t="s">
        <v>735</v>
      </c>
      <c r="N922" t="s">
        <v>708</v>
      </c>
      <c r="O922" s="38" t="str">
        <f>IF([1]totrevprm!O923="","",[1]totrevprm!O923)</f>
        <v/>
      </c>
      <c r="P922" s="35">
        <v>188854799.59234926</v>
      </c>
      <c r="Q922" s="35">
        <v>64240899.439999998</v>
      </c>
      <c r="V922" s="38"/>
      <c r="W922" s="58"/>
      <c r="X922" s="58"/>
      <c r="Y922" s="58"/>
      <c r="Z922" s="58"/>
    </row>
    <row r="923" spans="1:26">
      <c r="A923" s="76" t="s">
        <v>51</v>
      </c>
      <c r="B923" s="51" t="s">
        <v>295</v>
      </c>
      <c r="C923" s="52"/>
      <c r="D923" s="53">
        <v>2017</v>
      </c>
      <c r="E923" s="37">
        <v>1264287680</v>
      </c>
      <c r="F923" s="37">
        <v>1139859260</v>
      </c>
      <c r="G923" s="37">
        <v>2529044911</v>
      </c>
      <c r="H923" s="37">
        <v>20842640</v>
      </c>
      <c r="I923" s="55">
        <f t="shared" si="41"/>
        <v>4954034491</v>
      </c>
      <c r="J923" s="54">
        <v>0</v>
      </c>
      <c r="K923" s="56">
        <f t="shared" si="42"/>
        <v>4954034491</v>
      </c>
      <c r="L923" s="60">
        <v>13376218</v>
      </c>
      <c r="M923" s="69" t="s">
        <v>735</v>
      </c>
      <c r="N923" t="s">
        <v>708</v>
      </c>
      <c r="O923" s="38" t="str">
        <f>IF([1]totrevprm!O924="","",[1]totrevprm!O924)</f>
        <v/>
      </c>
      <c r="P923" s="35">
        <v>204433436.67845613</v>
      </c>
      <c r="Q923" s="35">
        <v>65819941.729999997</v>
      </c>
      <c r="V923" s="38"/>
      <c r="W923" s="58"/>
      <c r="X923" s="58"/>
      <c r="Y923" s="58"/>
      <c r="Z923" s="58"/>
    </row>
    <row r="924" spans="1:26">
      <c r="A924" s="76" t="s">
        <v>51</v>
      </c>
      <c r="B924" s="51" t="s">
        <v>295</v>
      </c>
      <c r="C924" s="52"/>
      <c r="D924" s="53">
        <v>2018</v>
      </c>
      <c r="E924" s="37">
        <v>1276891322</v>
      </c>
      <c r="F924" s="37">
        <v>1518213551</v>
      </c>
      <c r="G924" s="37">
        <v>2523156105.3899999</v>
      </c>
      <c r="H924" s="37">
        <v>22423238</v>
      </c>
      <c r="I924" s="55">
        <f t="shared" si="41"/>
        <v>5340684216.3899994</v>
      </c>
      <c r="J924" s="54">
        <v>0</v>
      </c>
      <c r="K924" s="56">
        <f t="shared" si="42"/>
        <v>5340684216.3899994</v>
      </c>
      <c r="L924" s="60">
        <v>18343559</v>
      </c>
      <c r="M924" s="69" t="s">
        <v>735</v>
      </c>
      <c r="N924" t="s">
        <v>708</v>
      </c>
      <c r="O924" s="38" t="str">
        <f>IF([1]totrevprm!O925="","",[1]totrevprm!O925)</f>
        <v/>
      </c>
      <c r="P924" s="35">
        <v>208856801.67074227</v>
      </c>
      <c r="Q924" s="35">
        <v>60762604.511343047</v>
      </c>
      <c r="V924" s="38"/>
      <c r="W924" s="58"/>
      <c r="X924" s="58"/>
      <c r="Y924" s="58"/>
      <c r="Z924" s="58"/>
    </row>
    <row r="925" spans="1:26">
      <c r="A925" s="76" t="s">
        <v>51</v>
      </c>
      <c r="B925" s="51" t="s">
        <v>295</v>
      </c>
      <c r="C925" s="52"/>
      <c r="D925" s="53">
        <v>2019</v>
      </c>
      <c r="E925" s="37">
        <v>1306124911</v>
      </c>
      <c r="F925" s="37">
        <v>1491395523</v>
      </c>
      <c r="G925" s="37">
        <v>2589221840.46</v>
      </c>
      <c r="H925" s="37">
        <v>11502604</v>
      </c>
      <c r="I925" s="55">
        <f t="shared" si="41"/>
        <v>5398244878.46</v>
      </c>
      <c r="J925" s="54">
        <v>0</v>
      </c>
      <c r="K925" s="56">
        <f t="shared" si="42"/>
        <v>5398244878.46</v>
      </c>
      <c r="L925" s="60">
        <v>16060349</v>
      </c>
      <c r="M925" s="69" t="s">
        <v>735</v>
      </c>
      <c r="N925" t="s">
        <v>708</v>
      </c>
      <c r="O925" s="38" t="str">
        <f>IF([1]totrevprm!O926="","",[1]totrevprm!O926)</f>
        <v/>
      </c>
      <c r="P925" s="35">
        <v>217663365.81770951</v>
      </c>
      <c r="Q925" s="35">
        <v>61359900.149999999</v>
      </c>
      <c r="V925" s="38"/>
      <c r="W925" s="58"/>
      <c r="X925" s="58"/>
      <c r="Y925" s="58"/>
      <c r="Z925" s="58"/>
    </row>
    <row r="926" spans="1:26">
      <c r="A926" s="76" t="s">
        <v>51</v>
      </c>
      <c r="B926" s="51" t="s">
        <v>295</v>
      </c>
      <c r="C926" s="52"/>
      <c r="D926" s="53">
        <v>2020</v>
      </c>
      <c r="E926" s="37">
        <v>1309004574</v>
      </c>
      <c r="F926" s="37">
        <v>1327339820</v>
      </c>
      <c r="G926" s="37">
        <v>3416643722</v>
      </c>
      <c r="H926" s="37">
        <v>34526554</v>
      </c>
      <c r="I926" s="55">
        <f t="shared" si="41"/>
        <v>6087514670</v>
      </c>
      <c r="J926" s="54">
        <v>0</v>
      </c>
      <c r="K926" s="56">
        <f t="shared" si="42"/>
        <v>6087514670</v>
      </c>
      <c r="L926" s="60">
        <v>14966622</v>
      </c>
      <c r="M926" s="69" t="s">
        <v>783</v>
      </c>
      <c r="N926" t="s">
        <v>708</v>
      </c>
      <c r="O926" s="38" t="str">
        <f>IF([1]totrevprm!O927="","",[1]totrevprm!O927)</f>
        <v>Yes</v>
      </c>
      <c r="P926" s="35">
        <v>211519829</v>
      </c>
      <c r="Q926" s="35">
        <v>58543317</v>
      </c>
      <c r="V926" s="38"/>
      <c r="W926" s="58"/>
      <c r="X926" s="58"/>
      <c r="Y926" s="58"/>
      <c r="Z926" s="58"/>
    </row>
    <row r="927" spans="1:26">
      <c r="A927" s="76" t="s">
        <v>51</v>
      </c>
      <c r="B927" s="51" t="s">
        <v>295</v>
      </c>
      <c r="C927" s="52"/>
      <c r="D927" s="53">
        <v>2021</v>
      </c>
      <c r="E927" s="37">
        <v>1421149898</v>
      </c>
      <c r="F927" s="37">
        <v>1435152033</v>
      </c>
      <c r="G927" s="37">
        <v>3570968605.4300003</v>
      </c>
      <c r="H927" s="37">
        <v>25683739</v>
      </c>
      <c r="I927" s="55">
        <f t="shared" si="41"/>
        <v>6452954275.4300003</v>
      </c>
      <c r="J927" s="54">
        <v>0</v>
      </c>
      <c r="K927" s="56">
        <f t="shared" si="42"/>
        <v>6452954275.4300003</v>
      </c>
      <c r="L927" s="54">
        <v>0</v>
      </c>
      <c r="M927" s="69" t="s">
        <v>739</v>
      </c>
      <c r="N927" t="s">
        <v>708</v>
      </c>
      <c r="O927" s="38" t="s">
        <v>708</v>
      </c>
      <c r="P927" s="35">
        <v>205148161.38999999</v>
      </c>
      <c r="Q927" s="35">
        <v>67480454</v>
      </c>
      <c r="V927" s="38"/>
      <c r="W927" s="58"/>
      <c r="X927" s="58"/>
      <c r="Y927" s="58"/>
      <c r="Z927" s="58"/>
    </row>
    <row r="928" spans="1:26">
      <c r="A928" s="76" t="s">
        <v>51</v>
      </c>
      <c r="B928" s="51" t="s">
        <v>295</v>
      </c>
      <c r="C928" s="52"/>
      <c r="D928" s="53">
        <v>2022</v>
      </c>
      <c r="E928" s="37">
        <v>1453898024</v>
      </c>
      <c r="F928" s="37">
        <v>1918639091</v>
      </c>
      <c r="G928" s="37">
        <v>3774395445</v>
      </c>
      <c r="H928" s="37">
        <v>11672864</v>
      </c>
      <c r="I928" s="55">
        <f t="shared" ref="I928:I991" si="43">SUM(E928:H928)</f>
        <v>7158605424</v>
      </c>
      <c r="J928" s="54">
        <v>0</v>
      </c>
      <c r="K928" s="56">
        <f t="shared" si="42"/>
        <v>7158605424</v>
      </c>
      <c r="L928" s="54">
        <v>0</v>
      </c>
      <c r="M928" s="69" t="s">
        <v>739</v>
      </c>
      <c r="O928" s="38" t="str">
        <f>IF([1]totrevprm!O931="","",[1]totrevprm!O931)</f>
        <v/>
      </c>
      <c r="P928" s="60">
        <v>221277908</v>
      </c>
      <c r="Q928" s="60">
        <v>59375012</v>
      </c>
    </row>
    <row r="929" spans="1:26">
      <c r="A929" s="76" t="s">
        <v>51</v>
      </c>
      <c r="B929" s="51" t="s">
        <v>295</v>
      </c>
      <c r="C929" s="52"/>
      <c r="D929" s="53">
        <v>2023</v>
      </c>
      <c r="E929" s="37">
        <v>1454436131</v>
      </c>
      <c r="F929" s="37">
        <v>2223742905.0957999</v>
      </c>
      <c r="G929" s="37">
        <v>4145309982.6451001</v>
      </c>
      <c r="H929" s="37">
        <v>37119259</v>
      </c>
      <c r="I929" s="55">
        <f t="shared" si="43"/>
        <v>7860608277.7409</v>
      </c>
      <c r="J929" s="54">
        <v>0</v>
      </c>
      <c r="K929" s="56">
        <f t="shared" si="42"/>
        <v>7860608277.7409</v>
      </c>
      <c r="L929" s="37">
        <v>0</v>
      </c>
      <c r="M929" s="69" t="s">
        <v>739</v>
      </c>
      <c r="O929" s="38"/>
      <c r="P929" s="60">
        <v>223297728.47</v>
      </c>
      <c r="Q929" s="60">
        <v>57906564</v>
      </c>
    </row>
    <row r="930" spans="1:26">
      <c r="A930" s="50"/>
      <c r="B930" s="52"/>
      <c r="C930" s="52"/>
      <c r="E930" s="54"/>
      <c r="F930" s="54"/>
      <c r="G930" s="54"/>
      <c r="H930" s="54"/>
      <c r="I930" s="55"/>
      <c r="K930" s="65"/>
      <c r="L930" s="37"/>
      <c r="M930" s="69"/>
      <c r="O930" s="38"/>
    </row>
    <row r="931" spans="1:26">
      <c r="A931" s="50" t="s">
        <v>52</v>
      </c>
      <c r="B931" s="51" t="s">
        <v>234</v>
      </c>
      <c r="C931" s="52" t="s">
        <v>730</v>
      </c>
      <c r="D931" s="53">
        <v>1988</v>
      </c>
      <c r="E931" s="54">
        <v>1251563117</v>
      </c>
      <c r="F931" s="54">
        <v>931078974</v>
      </c>
      <c r="G931" s="54">
        <v>2156992186</v>
      </c>
      <c r="H931" s="54">
        <v>0</v>
      </c>
      <c r="I931" s="55">
        <f t="shared" si="43"/>
        <v>4339634277</v>
      </c>
      <c r="J931" s="54">
        <v>-3237702</v>
      </c>
      <c r="K931" s="56">
        <f>SUM(I931:J931)</f>
        <v>4336396575</v>
      </c>
      <c r="L931" s="37">
        <v>0</v>
      </c>
      <c r="M931" s="69"/>
      <c r="O931" s="38" t="str">
        <f>IF([1]totrevprm!O932="","",[1]totrevprm!O932)</f>
        <v/>
      </c>
    </row>
    <row r="932" spans="1:26">
      <c r="A932" s="50" t="s">
        <v>52</v>
      </c>
      <c r="B932" s="51" t="s">
        <v>234</v>
      </c>
      <c r="C932" s="52" t="s">
        <v>731</v>
      </c>
      <c r="D932" s="53">
        <v>1989</v>
      </c>
      <c r="E932" s="54">
        <v>1198180850</v>
      </c>
      <c r="F932" s="54">
        <v>1123059899</v>
      </c>
      <c r="G932" s="54">
        <v>2124022136</v>
      </c>
      <c r="H932" s="54">
        <v>0</v>
      </c>
      <c r="I932" s="55">
        <f t="shared" si="43"/>
        <v>4445262885</v>
      </c>
      <c r="J932" s="54">
        <v>-1068211</v>
      </c>
      <c r="K932" s="56">
        <f t="shared" ref="K932:K966" si="44">SUM(I932:J932)</f>
        <v>4444194674</v>
      </c>
      <c r="L932" s="37">
        <v>0</v>
      </c>
      <c r="M932" s="69"/>
      <c r="O932" s="38" t="str">
        <f>IF([1]totrevprm!O933="","",[1]totrevprm!O933)</f>
        <v/>
      </c>
    </row>
    <row r="933" spans="1:26">
      <c r="A933" s="50" t="s">
        <v>52</v>
      </c>
      <c r="B933" s="51" t="s">
        <v>234</v>
      </c>
      <c r="C933" s="52" t="s">
        <v>731</v>
      </c>
      <c r="D933" s="53">
        <v>1990</v>
      </c>
      <c r="E933" s="54">
        <v>1240651317</v>
      </c>
      <c r="F933" s="54">
        <v>1097030145.5599999</v>
      </c>
      <c r="G933" s="54">
        <v>2324782100</v>
      </c>
      <c r="H933" s="54">
        <v>0</v>
      </c>
      <c r="I933" s="55">
        <f t="shared" si="43"/>
        <v>4662463562.5599995</v>
      </c>
      <c r="J933" s="54">
        <v>-4987969</v>
      </c>
      <c r="K933" s="56">
        <f t="shared" si="44"/>
        <v>4657475593.5599995</v>
      </c>
      <c r="L933" s="37">
        <v>0</v>
      </c>
      <c r="M933" s="69"/>
      <c r="O933" s="38" t="str">
        <f>IF([1]totrevprm!O934="","",[1]totrevprm!O934)</f>
        <v/>
      </c>
    </row>
    <row r="934" spans="1:26">
      <c r="A934" s="50" t="s">
        <v>52</v>
      </c>
      <c r="B934" s="51" t="s">
        <v>234</v>
      </c>
      <c r="C934" s="52" t="s">
        <v>731</v>
      </c>
      <c r="D934" s="53">
        <v>1991</v>
      </c>
      <c r="E934" s="54">
        <v>1349911823</v>
      </c>
      <c r="F934" s="54">
        <v>1389277893</v>
      </c>
      <c r="G934" s="54">
        <v>2060112323</v>
      </c>
      <c r="H934" s="54">
        <v>0</v>
      </c>
      <c r="I934" s="55">
        <f t="shared" si="43"/>
        <v>4799302039</v>
      </c>
      <c r="J934" s="54">
        <v>-110701</v>
      </c>
      <c r="K934" s="56">
        <f t="shared" si="44"/>
        <v>4799191338</v>
      </c>
      <c r="L934" s="37">
        <v>0</v>
      </c>
      <c r="M934" s="69"/>
      <c r="O934" s="38" t="str">
        <f>IF([1]totrevprm!O935="","",[1]totrevprm!O935)</f>
        <v/>
      </c>
    </row>
    <row r="935" spans="1:26">
      <c r="A935" s="50" t="s">
        <v>52</v>
      </c>
      <c r="B935" s="51" t="s">
        <v>234</v>
      </c>
      <c r="C935" s="52" t="s">
        <v>731</v>
      </c>
      <c r="D935" s="53">
        <v>1992</v>
      </c>
      <c r="E935" s="54">
        <v>1459548738</v>
      </c>
      <c r="F935" s="54">
        <v>1175246705.76</v>
      </c>
      <c r="G935" s="54">
        <v>2124405592</v>
      </c>
      <c r="H935" s="54">
        <v>0</v>
      </c>
      <c r="I935" s="55">
        <f t="shared" si="43"/>
        <v>4759201035.7600002</v>
      </c>
      <c r="J935" s="54">
        <v>-9524189</v>
      </c>
      <c r="K935" s="56">
        <f t="shared" si="44"/>
        <v>4749676846.7600002</v>
      </c>
      <c r="L935" s="37">
        <v>0</v>
      </c>
      <c r="M935" s="69"/>
      <c r="O935" s="38" t="str">
        <f>IF([1]totrevprm!O936="","",[1]totrevprm!O936)</f>
        <v/>
      </c>
    </row>
    <row r="936" spans="1:26">
      <c r="A936" s="50" t="s">
        <v>52</v>
      </c>
      <c r="B936" s="51" t="s">
        <v>234</v>
      </c>
      <c r="C936" s="52" t="s">
        <v>731</v>
      </c>
      <c r="D936" s="53">
        <v>1993</v>
      </c>
      <c r="E936" s="54">
        <v>1527419510</v>
      </c>
      <c r="F936" s="54">
        <v>989233343</v>
      </c>
      <c r="G936" s="54">
        <v>2188748651</v>
      </c>
      <c r="H936" s="54">
        <v>0</v>
      </c>
      <c r="I936" s="55">
        <f t="shared" si="43"/>
        <v>4705401504</v>
      </c>
      <c r="J936" s="54">
        <v>-63939</v>
      </c>
      <c r="K936" s="56">
        <f t="shared" si="44"/>
        <v>4705337565</v>
      </c>
      <c r="L936" s="37">
        <v>0</v>
      </c>
      <c r="M936" s="69"/>
      <c r="O936" s="38" t="str">
        <f>IF([1]totrevprm!O937="","",[1]totrevprm!O937)</f>
        <v/>
      </c>
    </row>
    <row r="937" spans="1:26">
      <c r="A937" s="50" t="s">
        <v>52</v>
      </c>
      <c r="B937" s="51" t="s">
        <v>234</v>
      </c>
      <c r="C937" s="52" t="s">
        <v>731</v>
      </c>
      <c r="D937" s="53">
        <v>1994</v>
      </c>
      <c r="E937" s="54">
        <v>1671769259</v>
      </c>
      <c r="F937" s="54">
        <v>1204134118</v>
      </c>
      <c r="G937" s="54">
        <v>2189107887</v>
      </c>
      <c r="H937" s="54">
        <v>0</v>
      </c>
      <c r="I937" s="55">
        <f t="shared" si="43"/>
        <v>5065011264</v>
      </c>
      <c r="J937" s="54">
        <v>-13428750</v>
      </c>
      <c r="K937" s="56">
        <f t="shared" si="44"/>
        <v>5051582514</v>
      </c>
      <c r="L937" s="37">
        <v>0</v>
      </c>
      <c r="M937" s="69"/>
      <c r="O937" s="38" t="str">
        <f>IF([1]totrevprm!O938="","",[1]totrevprm!O938)</f>
        <v/>
      </c>
    </row>
    <row r="938" spans="1:26">
      <c r="A938" s="50" t="s">
        <v>52</v>
      </c>
      <c r="B938" s="51" t="s">
        <v>234</v>
      </c>
      <c r="C938" s="52" t="s">
        <v>731</v>
      </c>
      <c r="D938" s="53">
        <v>1995</v>
      </c>
      <c r="E938" s="54">
        <v>1839124315</v>
      </c>
      <c r="F938" s="54">
        <v>1188539399</v>
      </c>
      <c r="G938" s="54">
        <v>2347301665</v>
      </c>
      <c r="H938" s="54">
        <v>0</v>
      </c>
      <c r="I938" s="55">
        <f t="shared" si="43"/>
        <v>5374965379</v>
      </c>
      <c r="J938" s="54">
        <v>-2480324</v>
      </c>
      <c r="K938" s="56">
        <f t="shared" si="44"/>
        <v>5372485055</v>
      </c>
      <c r="L938" s="37">
        <v>0</v>
      </c>
      <c r="M938" s="69"/>
      <c r="O938" s="38" t="str">
        <f>IF([1]totrevprm!O939="","",[1]totrevprm!O939)</f>
        <v/>
      </c>
    </row>
    <row r="939" spans="1:26">
      <c r="A939" s="50" t="s">
        <v>52</v>
      </c>
      <c r="B939" s="51" t="s">
        <v>234</v>
      </c>
      <c r="C939" s="52" t="s">
        <v>731</v>
      </c>
      <c r="D939" s="53">
        <v>1996</v>
      </c>
      <c r="E939" s="54">
        <v>1682414277</v>
      </c>
      <c r="F939" s="54">
        <v>1114522624</v>
      </c>
      <c r="G939" s="54">
        <v>2383805840</v>
      </c>
      <c r="H939" s="54">
        <v>0</v>
      </c>
      <c r="I939" s="55">
        <f t="shared" si="43"/>
        <v>5180742741</v>
      </c>
      <c r="J939" s="54">
        <v>-17074</v>
      </c>
      <c r="K939" s="56">
        <f t="shared" si="44"/>
        <v>5180725667</v>
      </c>
      <c r="L939" s="37">
        <v>0</v>
      </c>
      <c r="M939" s="69"/>
      <c r="O939" s="38" t="str">
        <f>IF([1]totrevprm!O940="","",[1]totrevprm!O940)</f>
        <v/>
      </c>
    </row>
    <row r="940" spans="1:26">
      <c r="A940" s="50" t="s">
        <v>52</v>
      </c>
      <c r="B940" s="51" t="s">
        <v>234</v>
      </c>
      <c r="C940" s="52" t="s">
        <v>731</v>
      </c>
      <c r="D940" s="53">
        <v>1997</v>
      </c>
      <c r="E940" s="54">
        <v>1669250470</v>
      </c>
      <c r="F940" s="54">
        <v>1139674732</v>
      </c>
      <c r="G940" s="54">
        <v>2374229300</v>
      </c>
      <c r="H940" s="54">
        <v>0</v>
      </c>
      <c r="I940" s="55">
        <f t="shared" si="43"/>
        <v>5183154502</v>
      </c>
      <c r="J940" s="54">
        <v>-882321</v>
      </c>
      <c r="K940" s="56">
        <f t="shared" si="44"/>
        <v>5182272181</v>
      </c>
      <c r="L940" s="37">
        <v>0</v>
      </c>
      <c r="M940" s="69"/>
      <c r="O940" s="38" t="str">
        <f>IF([1]totrevprm!O941="","",[1]totrevprm!O941)</f>
        <v/>
      </c>
    </row>
    <row r="941" spans="1:26">
      <c r="A941" s="50" t="s">
        <v>52</v>
      </c>
      <c r="B941" s="51" t="s">
        <v>234</v>
      </c>
      <c r="C941" s="52" t="s">
        <v>731</v>
      </c>
      <c r="D941" s="53">
        <v>1998</v>
      </c>
      <c r="E941" s="54">
        <v>1637956937</v>
      </c>
      <c r="F941" s="54">
        <v>1032414678</v>
      </c>
      <c r="G941" s="54">
        <v>2420090787</v>
      </c>
      <c r="H941" s="54">
        <v>0</v>
      </c>
      <c r="I941" s="55">
        <f t="shared" si="43"/>
        <v>5090462402</v>
      </c>
      <c r="J941" s="54">
        <v>-74814</v>
      </c>
      <c r="K941" s="56">
        <f t="shared" si="44"/>
        <v>5090387588</v>
      </c>
      <c r="L941" s="37">
        <v>0</v>
      </c>
      <c r="M941" s="69"/>
      <c r="O941" s="38" t="str">
        <f>IF([1]totrevprm!O942="","",[1]totrevprm!O942)</f>
        <v/>
      </c>
    </row>
    <row r="942" spans="1:26">
      <c r="A942" s="50" t="s">
        <v>52</v>
      </c>
      <c r="B942" s="51" t="s">
        <v>234</v>
      </c>
      <c r="C942" s="52" t="s">
        <v>731</v>
      </c>
      <c r="D942" s="53">
        <v>1999</v>
      </c>
      <c r="E942" s="54">
        <v>1653760006</v>
      </c>
      <c r="F942" s="54">
        <v>1275930746</v>
      </c>
      <c r="G942" s="54">
        <v>2502569907</v>
      </c>
      <c r="H942" s="54">
        <v>0</v>
      </c>
      <c r="I942" s="55">
        <f t="shared" si="43"/>
        <v>5432260659</v>
      </c>
      <c r="J942" s="54">
        <v>-10185602</v>
      </c>
      <c r="K942" s="56">
        <f t="shared" si="44"/>
        <v>5422075057</v>
      </c>
      <c r="L942" s="37">
        <v>0</v>
      </c>
      <c r="M942" s="69"/>
      <c r="O942" s="38" t="str">
        <f>IF([1]totrevprm!O943="","",[1]totrevprm!O943)</f>
        <v/>
      </c>
    </row>
    <row r="943" spans="1:26">
      <c r="A943" s="50" t="s">
        <v>52</v>
      </c>
      <c r="B943" s="51" t="s">
        <v>234</v>
      </c>
      <c r="C943" s="52" t="s">
        <v>731</v>
      </c>
      <c r="D943" s="53">
        <v>2000</v>
      </c>
      <c r="E943" s="54">
        <v>1668186368</v>
      </c>
      <c r="F943" s="54">
        <v>1408762316</v>
      </c>
      <c r="G943" s="54">
        <v>2577689385</v>
      </c>
      <c r="H943" s="54">
        <v>0</v>
      </c>
      <c r="I943" s="55">
        <f t="shared" si="43"/>
        <v>5654638069</v>
      </c>
      <c r="J943" s="54">
        <v>-1769314</v>
      </c>
      <c r="K943" s="56">
        <f t="shared" si="44"/>
        <v>5652868755</v>
      </c>
      <c r="L943" s="37">
        <v>0</v>
      </c>
      <c r="M943" s="69"/>
      <c r="O943" s="38" t="str">
        <f>IF([1]totrevprm!O944="","",[1]totrevprm!O944)</f>
        <v/>
      </c>
      <c r="V943" s="38" t="s">
        <v>234</v>
      </c>
      <c r="W943" s="58">
        <v>947505</v>
      </c>
      <c r="X943" s="58">
        <v>7113756</v>
      </c>
      <c r="Y943" s="58">
        <v>34836674</v>
      </c>
      <c r="Z943" s="58">
        <v>0</v>
      </c>
    </row>
    <row r="944" spans="1:26">
      <c r="A944" s="50" t="s">
        <v>52</v>
      </c>
      <c r="B944" s="51" t="s">
        <v>234</v>
      </c>
      <c r="C944" s="52" t="s">
        <v>731</v>
      </c>
      <c r="D944" s="53">
        <v>2001</v>
      </c>
      <c r="E944" s="54">
        <v>1736935205</v>
      </c>
      <c r="F944" s="54">
        <v>2505513264.75</v>
      </c>
      <c r="G944" s="54">
        <v>3006597001</v>
      </c>
      <c r="H944" s="54">
        <v>0</v>
      </c>
      <c r="I944" s="55">
        <f t="shared" si="43"/>
        <v>7249045470.75</v>
      </c>
      <c r="J944" s="54">
        <v>-1515011</v>
      </c>
      <c r="K944" s="56">
        <f t="shared" si="44"/>
        <v>7247530459.75</v>
      </c>
      <c r="L944" s="37">
        <v>0</v>
      </c>
      <c r="M944" s="69"/>
      <c r="O944" s="38" t="str">
        <f>IF([1]totrevprm!O945="","",[1]totrevprm!O945)</f>
        <v/>
      </c>
      <c r="V944" s="38"/>
      <c r="W944" s="58"/>
      <c r="X944" s="58"/>
      <c r="Y944" s="58"/>
      <c r="Z944" s="58"/>
    </row>
    <row r="945" spans="1:26">
      <c r="A945" s="50" t="s">
        <v>52</v>
      </c>
      <c r="B945" s="51" t="s">
        <v>234</v>
      </c>
      <c r="C945" s="52" t="s">
        <v>731</v>
      </c>
      <c r="D945" s="53">
        <v>2002</v>
      </c>
      <c r="E945" s="54">
        <v>1831224742</v>
      </c>
      <c r="F945" s="54">
        <v>2733458900</v>
      </c>
      <c r="G945" s="54">
        <v>3242178827</v>
      </c>
      <c r="H945" s="54">
        <v>0</v>
      </c>
      <c r="I945" s="55">
        <f t="shared" si="43"/>
        <v>7806862469</v>
      </c>
      <c r="J945" s="54">
        <v>-9168345</v>
      </c>
      <c r="K945" s="56">
        <f t="shared" si="44"/>
        <v>7797694124</v>
      </c>
      <c r="L945" s="37">
        <v>0</v>
      </c>
      <c r="M945" s="69"/>
      <c r="O945" s="38" t="str">
        <f>IF([1]totrevprm!O946="","",[1]totrevprm!O946)</f>
        <v/>
      </c>
      <c r="V945" s="38"/>
      <c r="W945" s="58"/>
      <c r="X945" s="58"/>
      <c r="Y945" s="58"/>
      <c r="Z945" s="58"/>
    </row>
    <row r="946" spans="1:26">
      <c r="A946" s="50" t="s">
        <v>52</v>
      </c>
      <c r="B946" s="51" t="s">
        <v>234</v>
      </c>
      <c r="C946" s="52" t="s">
        <v>731</v>
      </c>
      <c r="D946" s="53">
        <v>2003</v>
      </c>
      <c r="E946" s="59">
        <v>1943903479</v>
      </c>
      <c r="F946" s="59">
        <v>2479348400</v>
      </c>
      <c r="G946" s="59">
        <v>3659027426</v>
      </c>
      <c r="H946" s="54">
        <v>0</v>
      </c>
      <c r="I946" s="55">
        <f t="shared" si="43"/>
        <v>8082279305</v>
      </c>
      <c r="J946" s="54">
        <v>-90730</v>
      </c>
      <c r="K946" s="56">
        <f t="shared" si="44"/>
        <v>8082188575</v>
      </c>
      <c r="L946" s="37">
        <v>0</v>
      </c>
      <c r="M946" s="69"/>
      <c r="O946" s="38" t="str">
        <f>IF([1]totrevprm!O947="","",[1]totrevprm!O947)</f>
        <v/>
      </c>
      <c r="V946" s="38"/>
      <c r="W946" s="58"/>
      <c r="X946" s="58"/>
      <c r="Y946" s="58"/>
      <c r="Z946" s="58"/>
    </row>
    <row r="947" spans="1:26">
      <c r="A947" s="50" t="s">
        <v>52</v>
      </c>
      <c r="B947" s="51" t="s">
        <v>234</v>
      </c>
      <c r="C947" s="52" t="s">
        <v>731</v>
      </c>
      <c r="D947" s="53">
        <v>2004</v>
      </c>
      <c r="E947" s="59">
        <v>2021695012</v>
      </c>
      <c r="F947" s="59">
        <v>2499720306</v>
      </c>
      <c r="G947" s="59">
        <v>4088974451</v>
      </c>
      <c r="H947" s="54">
        <v>0</v>
      </c>
      <c r="I947" s="55">
        <f t="shared" si="43"/>
        <v>8610389769</v>
      </c>
      <c r="J947" s="54">
        <v>-4384894</v>
      </c>
      <c r="K947" s="56">
        <f t="shared" si="44"/>
        <v>8606004875</v>
      </c>
      <c r="L947" s="37">
        <v>0</v>
      </c>
      <c r="M947" s="69"/>
      <c r="O947" s="38" t="str">
        <f>IF([1]totrevprm!O948="","",[1]totrevprm!O948)</f>
        <v/>
      </c>
      <c r="V947" s="38"/>
      <c r="W947" s="58"/>
      <c r="X947" s="58"/>
      <c r="Y947" s="58"/>
      <c r="Z947" s="58"/>
    </row>
    <row r="948" spans="1:26">
      <c r="A948" s="50" t="s">
        <v>52</v>
      </c>
      <c r="B948" s="51" t="s">
        <v>234</v>
      </c>
      <c r="C948" s="52"/>
      <c r="D948" s="53">
        <v>2005</v>
      </c>
      <c r="E948" s="59">
        <v>1966492499</v>
      </c>
      <c r="F948" s="59">
        <v>2320042164</v>
      </c>
      <c r="G948" s="59">
        <v>4485178309</v>
      </c>
      <c r="H948" s="54">
        <v>0</v>
      </c>
      <c r="I948" s="55">
        <f t="shared" si="43"/>
        <v>8771712972</v>
      </c>
      <c r="J948" s="54">
        <v>-30092530</v>
      </c>
      <c r="K948" s="56">
        <f t="shared" si="44"/>
        <v>8741620442</v>
      </c>
      <c r="L948" s="37">
        <v>0</v>
      </c>
      <c r="M948" s="69"/>
      <c r="O948" s="38" t="str">
        <f>IF([1]totrevprm!O949="","",[1]totrevprm!O949)</f>
        <v/>
      </c>
      <c r="V948" s="38"/>
      <c r="W948" s="58"/>
      <c r="X948" s="58"/>
      <c r="Y948" s="58"/>
      <c r="Z948" s="58"/>
    </row>
    <row r="949" spans="1:26">
      <c r="A949" s="50" t="s">
        <v>52</v>
      </c>
      <c r="B949" s="51" t="s">
        <v>234</v>
      </c>
      <c r="C949" s="52"/>
      <c r="D949" s="53">
        <v>2006</v>
      </c>
      <c r="E949" s="37">
        <v>2115297355</v>
      </c>
      <c r="F949" s="37">
        <v>2816433582</v>
      </c>
      <c r="G949" s="37">
        <v>5073583309</v>
      </c>
      <c r="H949" s="54">
        <v>0</v>
      </c>
      <c r="I949" s="55">
        <f t="shared" si="43"/>
        <v>10005314246</v>
      </c>
      <c r="J949" s="54">
        <v>-4984911</v>
      </c>
      <c r="K949" s="56">
        <f t="shared" si="44"/>
        <v>10000329335</v>
      </c>
      <c r="L949" s="37">
        <v>0</v>
      </c>
      <c r="M949" s="69"/>
      <c r="O949" s="38" t="str">
        <f>IF([1]totrevprm!O950="","",[1]totrevprm!O950)</f>
        <v/>
      </c>
      <c r="V949" s="38"/>
      <c r="W949" s="58"/>
      <c r="X949" s="58"/>
      <c r="Y949" s="58"/>
      <c r="Z949" s="58"/>
    </row>
    <row r="950" spans="1:26">
      <c r="A950" s="50" t="s">
        <v>52</v>
      </c>
      <c r="B950" s="51" t="s">
        <v>234</v>
      </c>
      <c r="C950" s="52"/>
      <c r="D950" s="53">
        <v>2007</v>
      </c>
      <c r="E950" s="37">
        <v>2169656374</v>
      </c>
      <c r="F950" s="37">
        <v>2417866053</v>
      </c>
      <c r="G950" s="37">
        <v>5517388174</v>
      </c>
      <c r="H950" s="37">
        <v>0</v>
      </c>
      <c r="I950" s="55">
        <f t="shared" si="43"/>
        <v>10104910601</v>
      </c>
      <c r="J950" s="54">
        <v>-21665</v>
      </c>
      <c r="K950" s="56">
        <f t="shared" si="44"/>
        <v>10104888936</v>
      </c>
      <c r="L950" s="37">
        <v>0</v>
      </c>
      <c r="M950" s="69"/>
      <c r="O950" s="38" t="str">
        <f>IF([1]totrevprm!O951="","",[1]totrevprm!O951)</f>
        <v/>
      </c>
      <c r="V950" s="38"/>
      <c r="W950" s="58"/>
      <c r="X950" s="58"/>
      <c r="Y950" s="58"/>
      <c r="Z950" s="58"/>
    </row>
    <row r="951" spans="1:26">
      <c r="A951" s="50" t="s">
        <v>52</v>
      </c>
      <c r="B951" s="51" t="s">
        <v>234</v>
      </c>
      <c r="C951" s="52"/>
      <c r="D951" s="53">
        <v>2008</v>
      </c>
      <c r="E951" s="37">
        <v>2190546307</v>
      </c>
      <c r="F951" s="37">
        <v>3723154933</v>
      </c>
      <c r="G951" s="37">
        <v>6053273728</v>
      </c>
      <c r="H951" s="37">
        <v>0</v>
      </c>
      <c r="I951" s="55">
        <f t="shared" si="43"/>
        <v>11966974968</v>
      </c>
      <c r="J951" s="54">
        <v>-97687</v>
      </c>
      <c r="K951" s="56">
        <f t="shared" si="44"/>
        <v>11966877281</v>
      </c>
      <c r="L951" s="37">
        <v>0</v>
      </c>
      <c r="M951" s="69"/>
      <c r="O951" s="38" t="str">
        <f>IF([1]totrevprm!O952="","",[1]totrevprm!O952)</f>
        <v/>
      </c>
      <c r="V951" s="38"/>
      <c r="W951" s="58"/>
      <c r="X951" s="58"/>
      <c r="Y951" s="58"/>
      <c r="Z951" s="58"/>
    </row>
    <row r="952" spans="1:26">
      <c r="A952" s="50" t="s">
        <v>52</v>
      </c>
      <c r="B952" s="51" t="s">
        <v>234</v>
      </c>
      <c r="C952" s="52"/>
      <c r="D952" s="53">
        <v>2009</v>
      </c>
      <c r="E952" s="37">
        <v>2427879062</v>
      </c>
      <c r="F952" s="37">
        <v>3635022384</v>
      </c>
      <c r="G952" s="37">
        <v>6263415684</v>
      </c>
      <c r="H952" s="37">
        <v>0</v>
      </c>
      <c r="I952" s="55">
        <f t="shared" si="43"/>
        <v>12326317130</v>
      </c>
      <c r="J952" s="54">
        <v>-71088</v>
      </c>
      <c r="K952" s="56">
        <f t="shared" si="44"/>
        <v>12326246042</v>
      </c>
      <c r="L952" s="37">
        <v>0</v>
      </c>
      <c r="M952" s="69"/>
      <c r="O952" s="38" t="str">
        <f>IF([1]totrevprm!O953="","",[1]totrevprm!O953)</f>
        <v/>
      </c>
      <c r="V952" s="38"/>
      <c r="W952" s="58"/>
      <c r="X952" s="58"/>
      <c r="Y952" s="58"/>
      <c r="Z952" s="58"/>
    </row>
    <row r="953" spans="1:26">
      <c r="A953" s="50" t="s">
        <v>52</v>
      </c>
      <c r="B953" s="51" t="s">
        <v>234</v>
      </c>
      <c r="C953" s="52"/>
      <c r="D953" s="53">
        <v>2010</v>
      </c>
      <c r="E953" s="37">
        <v>2311852743</v>
      </c>
      <c r="F953" s="37">
        <v>3359298780</v>
      </c>
      <c r="G953" s="37">
        <v>6585751698</v>
      </c>
      <c r="H953" s="37">
        <v>0</v>
      </c>
      <c r="I953" s="55">
        <f t="shared" si="43"/>
        <v>12256903221</v>
      </c>
      <c r="J953" s="54">
        <v>-154729</v>
      </c>
      <c r="K953" s="56">
        <f t="shared" si="44"/>
        <v>12256748492</v>
      </c>
      <c r="L953" s="37">
        <v>0</v>
      </c>
      <c r="M953" s="69"/>
      <c r="O953" s="38" t="str">
        <f>IF([1]totrevprm!O954="","",[1]totrevprm!O954)</f>
        <v/>
      </c>
      <c r="V953" s="38"/>
      <c r="W953" s="58"/>
      <c r="X953" s="58"/>
      <c r="Y953" s="58"/>
      <c r="Z953" s="58"/>
    </row>
    <row r="954" spans="1:26">
      <c r="A954" s="50" t="s">
        <v>52</v>
      </c>
      <c r="B954" s="51" t="s">
        <v>234</v>
      </c>
      <c r="C954" s="52"/>
      <c r="D954" s="53">
        <v>2011</v>
      </c>
      <c r="E954" s="37">
        <v>2393944168</v>
      </c>
      <c r="F954" s="37">
        <v>3549689210</v>
      </c>
      <c r="G954" s="37">
        <v>6656052457.8199997</v>
      </c>
      <c r="H954" s="37">
        <v>0</v>
      </c>
      <c r="I954" s="55">
        <f t="shared" si="43"/>
        <v>12599685835.82</v>
      </c>
      <c r="J954" s="54">
        <v>-1097</v>
      </c>
      <c r="K954" s="56">
        <f t="shared" si="44"/>
        <v>12599684738.82</v>
      </c>
      <c r="L954" s="37">
        <v>0</v>
      </c>
      <c r="M954" s="69"/>
      <c r="O954" s="38" t="str">
        <f>IF([1]totrevprm!O955="","",[1]totrevprm!O955)</f>
        <v/>
      </c>
      <c r="V954" s="38"/>
      <c r="W954" s="58"/>
      <c r="X954" s="58"/>
      <c r="Y954" s="58"/>
      <c r="Z954" s="58"/>
    </row>
    <row r="955" spans="1:26">
      <c r="A955" s="50" t="s">
        <v>52</v>
      </c>
      <c r="B955" s="51" t="s">
        <v>234</v>
      </c>
      <c r="C955" s="52"/>
      <c r="D955" s="53">
        <v>2012</v>
      </c>
      <c r="E955" s="37">
        <v>2429857507</v>
      </c>
      <c r="F955" s="37">
        <v>4581265853</v>
      </c>
      <c r="G955" s="37">
        <v>6373956489</v>
      </c>
      <c r="H955" s="37">
        <v>0</v>
      </c>
      <c r="I955" s="55">
        <f t="shared" si="43"/>
        <v>13385079849</v>
      </c>
      <c r="J955" s="54">
        <v>-69904</v>
      </c>
      <c r="K955" s="56">
        <f t="shared" si="44"/>
        <v>13385009945</v>
      </c>
      <c r="L955" s="37">
        <v>0</v>
      </c>
      <c r="M955" s="69"/>
      <c r="O955" s="38" t="str">
        <f>IF([1]totrevprm!O956="","",[1]totrevprm!O956)</f>
        <v/>
      </c>
      <c r="V955" s="38"/>
      <c r="W955" s="58"/>
      <c r="X955" s="58"/>
      <c r="Y955" s="58"/>
      <c r="Z955" s="58"/>
    </row>
    <row r="956" spans="1:26">
      <c r="A956" s="50" t="s">
        <v>52</v>
      </c>
      <c r="B956" s="51" t="s">
        <v>234</v>
      </c>
      <c r="C956" s="52"/>
      <c r="D956" s="53">
        <v>2013</v>
      </c>
      <c r="E956" s="37">
        <v>2549299523</v>
      </c>
      <c r="F956" s="37">
        <v>4803298659</v>
      </c>
      <c r="G956" s="37">
        <v>6005301222</v>
      </c>
      <c r="H956" s="37">
        <v>0</v>
      </c>
      <c r="I956" s="55">
        <f t="shared" si="43"/>
        <v>13357899404</v>
      </c>
      <c r="J956" s="54">
        <v>-684419</v>
      </c>
      <c r="K956" s="56">
        <f t="shared" si="44"/>
        <v>13357214985</v>
      </c>
      <c r="L956" s="37">
        <v>0</v>
      </c>
      <c r="M956" s="69"/>
      <c r="O956" s="38" t="str">
        <f>IF([1]totrevprm!O957="","",[1]totrevprm!O957)</f>
        <v/>
      </c>
      <c r="V956" s="38"/>
      <c r="W956" s="58"/>
      <c r="X956" s="58"/>
      <c r="Y956" s="58"/>
      <c r="Z956" s="58"/>
    </row>
    <row r="957" spans="1:26">
      <c r="A957" s="50" t="s">
        <v>52</v>
      </c>
      <c r="B957" s="51" t="s">
        <v>234</v>
      </c>
      <c r="C957" s="52"/>
      <c r="D957" s="53">
        <v>2014</v>
      </c>
      <c r="E957" s="37">
        <v>2509724699</v>
      </c>
      <c r="F957" s="37">
        <v>5040026573</v>
      </c>
      <c r="G957" s="37">
        <v>6411340847.1800003</v>
      </c>
      <c r="H957" s="37">
        <v>0</v>
      </c>
      <c r="I957" s="55">
        <f t="shared" si="43"/>
        <v>13961092119.18</v>
      </c>
      <c r="J957" s="54">
        <v>-66956</v>
      </c>
      <c r="K957" s="56">
        <f t="shared" si="44"/>
        <v>13961025163.18</v>
      </c>
      <c r="L957" s="37">
        <v>0</v>
      </c>
      <c r="M957" s="69"/>
      <c r="O957" s="38" t="str">
        <f>IF([1]totrevprm!O958="","",[1]totrevprm!O958)</f>
        <v/>
      </c>
      <c r="V957" s="38"/>
      <c r="W957" s="58"/>
      <c r="X957" s="58"/>
      <c r="Y957" s="58"/>
      <c r="Z957" s="58"/>
    </row>
    <row r="958" spans="1:26">
      <c r="A958" s="50" t="s">
        <v>52</v>
      </c>
      <c r="B958" s="51" t="s">
        <v>234</v>
      </c>
      <c r="C958" s="52"/>
      <c r="D958" s="53">
        <v>2015</v>
      </c>
      <c r="E958" s="37">
        <v>2612261230</v>
      </c>
      <c r="F958" s="37">
        <v>4996787466</v>
      </c>
      <c r="G958" s="37">
        <v>6726452857</v>
      </c>
      <c r="H958" s="37">
        <v>0</v>
      </c>
      <c r="I958" s="55">
        <f t="shared" si="43"/>
        <v>14335501553</v>
      </c>
      <c r="J958" s="54">
        <v>-305067</v>
      </c>
      <c r="K958" s="56">
        <f t="shared" si="44"/>
        <v>14335196486</v>
      </c>
      <c r="L958" s="37">
        <v>0</v>
      </c>
      <c r="M958" s="69"/>
      <c r="O958" s="38" t="str">
        <f>IF([1]totrevprm!O959="","",[1]totrevprm!O959)</f>
        <v/>
      </c>
      <c r="P958" s="35">
        <v>407148052.61869574</v>
      </c>
      <c r="Q958" s="35">
        <v>238929864.5428358</v>
      </c>
      <c r="V958" s="38"/>
      <c r="W958" s="58"/>
      <c r="X958" s="58"/>
      <c r="Y958" s="58"/>
      <c r="Z958" s="58"/>
    </row>
    <row r="959" spans="1:26">
      <c r="A959" s="50" t="s">
        <v>52</v>
      </c>
      <c r="B959" s="51" t="s">
        <v>234</v>
      </c>
      <c r="C959" s="52"/>
      <c r="D959" s="53">
        <v>2016</v>
      </c>
      <c r="E959" s="37">
        <v>2667822141</v>
      </c>
      <c r="F959" s="37">
        <v>5586614426</v>
      </c>
      <c r="G959" s="37">
        <v>7121890967</v>
      </c>
      <c r="H959" s="37">
        <v>0</v>
      </c>
      <c r="I959" s="55">
        <f t="shared" si="43"/>
        <v>15376327534</v>
      </c>
      <c r="J959" s="54">
        <v>-161384</v>
      </c>
      <c r="K959" s="56">
        <f t="shared" si="44"/>
        <v>15376166150</v>
      </c>
      <c r="L959" s="37">
        <v>0</v>
      </c>
      <c r="M959" s="69"/>
      <c r="O959" s="38" t="str">
        <f>IF([1]totrevprm!O960="","",[1]totrevprm!O960)</f>
        <v/>
      </c>
      <c r="P959" s="35">
        <v>424638422.44339019</v>
      </c>
      <c r="Q959" s="35">
        <v>238101940.81999999</v>
      </c>
      <c r="V959" s="38"/>
      <c r="W959" s="58"/>
      <c r="X959" s="58"/>
      <c r="Y959" s="58"/>
      <c r="Z959" s="58"/>
    </row>
    <row r="960" spans="1:26">
      <c r="A960" s="50" t="s">
        <v>52</v>
      </c>
      <c r="B960" s="51" t="s">
        <v>234</v>
      </c>
      <c r="C960" s="52"/>
      <c r="D960" s="53">
        <v>2017</v>
      </c>
      <c r="E960" s="37">
        <v>2653950275</v>
      </c>
      <c r="F960" s="37">
        <v>5300439063</v>
      </c>
      <c r="G960" s="37">
        <v>7563165008.8199997</v>
      </c>
      <c r="H960" s="37">
        <v>0</v>
      </c>
      <c r="I960" s="55">
        <f t="shared" si="43"/>
        <v>15517554346.82</v>
      </c>
      <c r="J960" s="54">
        <v>-53592</v>
      </c>
      <c r="K960" s="56">
        <f t="shared" si="44"/>
        <v>15517500754.82</v>
      </c>
      <c r="L960" s="37">
        <v>0</v>
      </c>
      <c r="M960" s="69" t="s">
        <v>749</v>
      </c>
      <c r="N960" t="s">
        <v>708</v>
      </c>
      <c r="O960" s="38" t="str">
        <f>IF([1]totrevprm!O961="","",[1]totrevprm!O961)</f>
        <v/>
      </c>
      <c r="P960" s="35">
        <v>437851696.15588099</v>
      </c>
      <c r="Q960" s="35">
        <v>228089805.49000001</v>
      </c>
      <c r="R960" s="72"/>
      <c r="S960" s="36">
        <v>276818734</v>
      </c>
      <c r="T960" s="36" t="s">
        <v>717</v>
      </c>
      <c r="U960" s="36">
        <v>24</v>
      </c>
      <c r="V960" s="38"/>
      <c r="W960" s="58"/>
      <c r="X960" s="58"/>
      <c r="Y960" s="60">
        <v>7839983742.8199997</v>
      </c>
      <c r="Z960" s="58"/>
    </row>
    <row r="961" spans="1:26">
      <c r="A961" s="50" t="s">
        <v>52</v>
      </c>
      <c r="B961" s="51" t="s">
        <v>234</v>
      </c>
      <c r="C961" s="52"/>
      <c r="D961" s="53">
        <v>2018</v>
      </c>
      <c r="E961" s="37">
        <v>2696231173</v>
      </c>
      <c r="F961" s="37">
        <v>5717725581</v>
      </c>
      <c r="G961" s="37">
        <v>8092192890.8999996</v>
      </c>
      <c r="H961" s="37">
        <v>0</v>
      </c>
      <c r="I961" s="55">
        <f t="shared" si="43"/>
        <v>16506149644.9</v>
      </c>
      <c r="J961" s="54">
        <v>-1234170</v>
      </c>
      <c r="K961" s="56">
        <f t="shared" si="44"/>
        <v>16504915474.9</v>
      </c>
      <c r="L961" s="60">
        <v>0</v>
      </c>
      <c r="M961" s="69" t="s">
        <v>740</v>
      </c>
      <c r="N961" t="s">
        <v>708</v>
      </c>
      <c r="O961" s="38" t="str">
        <f>IF([1]totrevprm!O962="","",[1]totrevprm!O962)</f>
        <v>Yes</v>
      </c>
      <c r="P961" s="35">
        <v>445016082.72376049</v>
      </c>
      <c r="Q961" s="35">
        <v>226739058.20547017</v>
      </c>
      <c r="R961" s="78"/>
      <c r="V961" s="38"/>
      <c r="W961" s="58"/>
      <c r="X961" s="58"/>
      <c r="Y961" s="60">
        <v>7839983742.8199997</v>
      </c>
      <c r="Z961" s="58"/>
    </row>
    <row r="962" spans="1:26">
      <c r="A962" s="50" t="s">
        <v>52</v>
      </c>
      <c r="B962" s="51" t="s">
        <v>234</v>
      </c>
      <c r="C962" s="52"/>
      <c r="D962" s="53">
        <v>2019</v>
      </c>
      <c r="E962" s="37">
        <v>2766982523</v>
      </c>
      <c r="F962" s="37">
        <v>5873796083</v>
      </c>
      <c r="G962" s="37">
        <v>7955102632.8041</v>
      </c>
      <c r="H962" s="37">
        <v>0</v>
      </c>
      <c r="I962" s="55">
        <f t="shared" si="43"/>
        <v>16595881238.8041</v>
      </c>
      <c r="J962" s="54">
        <v>-17862376</v>
      </c>
      <c r="K962" s="56">
        <f t="shared" si="44"/>
        <v>16578018862.8041</v>
      </c>
      <c r="L962" s="60">
        <v>0</v>
      </c>
      <c r="M962" s="69" t="s">
        <v>739</v>
      </c>
      <c r="N962" t="s">
        <v>708</v>
      </c>
      <c r="O962" s="38" t="str">
        <f>IF([1]totrevprm!O963="","",[1]totrevprm!O963)</f>
        <v/>
      </c>
      <c r="P962" s="35">
        <v>470702772.10518616</v>
      </c>
      <c r="Q962" s="35">
        <v>228809348.14207938</v>
      </c>
      <c r="R962" s="78"/>
      <c r="V962" s="38"/>
      <c r="W962" s="58"/>
      <c r="X962" s="58"/>
      <c r="Y962" s="58"/>
      <c r="Z962" s="58"/>
    </row>
    <row r="963" spans="1:26">
      <c r="A963" s="50" t="s">
        <v>52</v>
      </c>
      <c r="B963" s="51" t="s">
        <v>234</v>
      </c>
      <c r="C963" s="52"/>
      <c r="D963" s="53">
        <v>2020</v>
      </c>
      <c r="E963" s="37">
        <v>2781255954</v>
      </c>
      <c r="F963" s="37">
        <v>5147522731</v>
      </c>
      <c r="G963" s="37">
        <v>7520071788</v>
      </c>
      <c r="H963" s="37">
        <v>0</v>
      </c>
      <c r="I963" s="55">
        <f t="shared" si="43"/>
        <v>15448850473</v>
      </c>
      <c r="J963" s="54">
        <v>-176318</v>
      </c>
      <c r="K963" s="56">
        <f t="shared" si="44"/>
        <v>15448674155</v>
      </c>
      <c r="L963" s="60">
        <v>0</v>
      </c>
      <c r="M963" s="69" t="s">
        <v>739</v>
      </c>
      <c r="N963" t="s">
        <v>708</v>
      </c>
      <c r="O963" s="38" t="str">
        <f>IF([1]totrevprm!O964="","",[1]totrevprm!O964)</f>
        <v/>
      </c>
      <c r="P963" s="35">
        <v>469582756</v>
      </c>
      <c r="Q963" s="35">
        <v>223050774</v>
      </c>
      <c r="R963" s="78"/>
      <c r="V963" s="38"/>
      <c r="W963" s="58"/>
      <c r="X963" s="58"/>
      <c r="Y963" s="58"/>
      <c r="Z963" s="58"/>
    </row>
    <row r="964" spans="1:26">
      <c r="A964" s="50" t="s">
        <v>52</v>
      </c>
      <c r="B964" s="51" t="s">
        <v>234</v>
      </c>
      <c r="C964" s="52"/>
      <c r="D964" s="53">
        <v>2021</v>
      </c>
      <c r="E964" s="37">
        <v>2992784398</v>
      </c>
      <c r="F964" s="37">
        <v>6208783286</v>
      </c>
      <c r="G964" s="37">
        <v>7649025891.3599997</v>
      </c>
      <c r="H964" s="37">
        <v>0</v>
      </c>
      <c r="I964" s="55">
        <f t="shared" si="43"/>
        <v>16850593575.360001</v>
      </c>
      <c r="J964" s="60">
        <v>-4</v>
      </c>
      <c r="K964" s="56">
        <f t="shared" si="44"/>
        <v>16850593571.360001</v>
      </c>
      <c r="L964" s="60">
        <v>0</v>
      </c>
      <c r="M964" s="69" t="s">
        <v>739</v>
      </c>
      <c r="N964" t="s">
        <v>708</v>
      </c>
      <c r="O964" s="38"/>
      <c r="P964" s="35">
        <v>442551434.32999998</v>
      </c>
      <c r="Q964" s="35">
        <v>235185412</v>
      </c>
      <c r="R964" s="78"/>
      <c r="V964" s="38"/>
      <c r="W964" s="58"/>
      <c r="X964" s="58"/>
      <c r="Y964" s="58"/>
      <c r="Z964" s="58"/>
    </row>
    <row r="965" spans="1:26">
      <c r="A965" s="50" t="s">
        <v>52</v>
      </c>
      <c r="B965" s="51" t="s">
        <v>234</v>
      </c>
      <c r="C965" s="52"/>
      <c r="D965" s="53">
        <v>2022</v>
      </c>
      <c r="E965" s="37">
        <v>3033758239</v>
      </c>
      <c r="F965" s="37">
        <v>8418832561</v>
      </c>
      <c r="G965" s="37">
        <v>7702744120</v>
      </c>
      <c r="H965" s="37">
        <v>0</v>
      </c>
      <c r="I965" s="55">
        <f t="shared" si="43"/>
        <v>19155334920</v>
      </c>
      <c r="J965" s="60">
        <v>-43933</v>
      </c>
      <c r="K965" s="56">
        <f t="shared" si="44"/>
        <v>19155290987</v>
      </c>
      <c r="L965" s="60">
        <v>0</v>
      </c>
      <c r="M965" s="69" t="s">
        <v>739</v>
      </c>
      <c r="N965" t="s">
        <v>708</v>
      </c>
      <c r="O965" s="38" t="str">
        <f>IF([1]totrevprm!O968="","",[1]totrevprm!O968)</f>
        <v/>
      </c>
      <c r="P965" s="60">
        <v>468129237</v>
      </c>
      <c r="Q965" s="60">
        <v>230407119</v>
      </c>
    </row>
    <row r="966" spans="1:26">
      <c r="A966" s="50" t="s">
        <v>52</v>
      </c>
      <c r="B966" s="51" t="s">
        <v>234</v>
      </c>
      <c r="C966" s="52"/>
      <c r="D966" s="53">
        <v>2023</v>
      </c>
      <c r="E966" s="37">
        <v>3030414160</v>
      </c>
      <c r="F966" s="37">
        <v>8946077963.3423996</v>
      </c>
      <c r="G966" s="37">
        <v>8103816506.6385002</v>
      </c>
      <c r="H966" s="37">
        <v>0</v>
      </c>
      <c r="I966" s="55">
        <f t="shared" si="43"/>
        <v>20080308629.9809</v>
      </c>
      <c r="J966" s="60">
        <v>-30003</v>
      </c>
      <c r="K966" s="56">
        <f t="shared" si="44"/>
        <v>20080278626.9809</v>
      </c>
      <c r="L966" s="37">
        <v>0</v>
      </c>
      <c r="M966" s="69" t="s">
        <v>739</v>
      </c>
      <c r="O966" s="38"/>
      <c r="P966" s="60">
        <v>512371772.16000003</v>
      </c>
      <c r="Q966" s="60">
        <v>222461554</v>
      </c>
    </row>
    <row r="967" spans="1:26">
      <c r="A967" s="50"/>
      <c r="B967" s="52"/>
      <c r="C967" s="52"/>
      <c r="E967" s="54"/>
      <c r="F967" s="54"/>
      <c r="G967" s="54"/>
      <c r="H967" s="54"/>
      <c r="I967" s="55"/>
      <c r="K967" s="65"/>
      <c r="L967" s="37"/>
      <c r="M967" s="69"/>
      <c r="O967" s="38"/>
    </row>
    <row r="968" spans="1:26">
      <c r="A968" s="50" t="s">
        <v>53</v>
      </c>
      <c r="B968" s="51" t="s">
        <v>784</v>
      </c>
      <c r="C968" s="52" t="s">
        <v>762</v>
      </c>
      <c r="D968" s="53">
        <v>1988</v>
      </c>
      <c r="E968" s="54">
        <v>169041608</v>
      </c>
      <c r="F968" s="54">
        <v>148382870</v>
      </c>
      <c r="G968" s="54">
        <v>143818697</v>
      </c>
      <c r="H968" s="54">
        <v>34022445</v>
      </c>
      <c r="I968" s="55">
        <f t="shared" si="43"/>
        <v>495265620</v>
      </c>
      <c r="J968" s="54">
        <v>0</v>
      </c>
      <c r="K968" s="56">
        <f>SUM(I968:J968)</f>
        <v>495265620</v>
      </c>
      <c r="L968" s="37">
        <v>0</v>
      </c>
      <c r="M968" s="69"/>
      <c r="O968" s="38" t="str">
        <f>IF([1]totrevprm!O969="","",[1]totrevprm!O969)</f>
        <v/>
      </c>
    </row>
    <row r="969" spans="1:26">
      <c r="A969" s="50" t="s">
        <v>53</v>
      </c>
      <c r="B969" s="51" t="s">
        <v>784</v>
      </c>
      <c r="C969" s="52" t="s">
        <v>731</v>
      </c>
      <c r="D969" s="53">
        <v>1989</v>
      </c>
      <c r="E969" s="54">
        <v>147923715</v>
      </c>
      <c r="F969" s="54">
        <v>178608344</v>
      </c>
      <c r="G969" s="54">
        <v>159327524</v>
      </c>
      <c r="H969" s="54">
        <v>28160686</v>
      </c>
      <c r="I969" s="55">
        <f t="shared" si="43"/>
        <v>514020269</v>
      </c>
      <c r="J969" s="54">
        <v>0</v>
      </c>
      <c r="K969" s="56">
        <f t="shared" ref="K969:K1003" si="45">SUM(I969:J969)</f>
        <v>514020269</v>
      </c>
      <c r="L969" s="37">
        <v>0</v>
      </c>
      <c r="M969" s="69"/>
      <c r="O969" s="38" t="str">
        <f>IF([1]totrevprm!O970="","",[1]totrevprm!O970)</f>
        <v/>
      </c>
    </row>
    <row r="970" spans="1:26">
      <c r="A970" s="50" t="s">
        <v>53</v>
      </c>
      <c r="B970" s="51" t="s">
        <v>784</v>
      </c>
      <c r="C970" s="52" t="s">
        <v>731</v>
      </c>
      <c r="D970" s="53">
        <v>1990</v>
      </c>
      <c r="E970" s="54">
        <v>151461664</v>
      </c>
      <c r="F970" s="54">
        <v>174514866.52000001</v>
      </c>
      <c r="G970" s="54">
        <v>168978142</v>
      </c>
      <c r="H970" s="54">
        <v>28984099</v>
      </c>
      <c r="I970" s="55">
        <f t="shared" si="43"/>
        <v>523938771.51999998</v>
      </c>
      <c r="J970" s="54">
        <v>0</v>
      </c>
      <c r="K970" s="56">
        <f t="shared" si="45"/>
        <v>523938771.51999998</v>
      </c>
      <c r="L970" s="37">
        <v>0</v>
      </c>
      <c r="M970" s="69"/>
      <c r="O970" s="38" t="str">
        <f>IF([1]totrevprm!O971="","",[1]totrevprm!O971)</f>
        <v/>
      </c>
    </row>
    <row r="971" spans="1:26">
      <c r="A971" s="50" t="s">
        <v>53</v>
      </c>
      <c r="B971" s="51" t="s">
        <v>784</v>
      </c>
      <c r="C971" s="52" t="s">
        <v>730</v>
      </c>
      <c r="D971" s="53">
        <v>1991</v>
      </c>
      <c r="E971" s="54">
        <v>159736732</v>
      </c>
      <c r="F971" s="54">
        <v>168421262</v>
      </c>
      <c r="G971" s="54">
        <v>182006785</v>
      </c>
      <c r="H971" s="54">
        <v>0</v>
      </c>
      <c r="I971" s="55">
        <f t="shared" si="43"/>
        <v>510164779</v>
      </c>
      <c r="J971" s="54">
        <v>-135616</v>
      </c>
      <c r="K971" s="56">
        <f t="shared" si="45"/>
        <v>510029163</v>
      </c>
      <c r="L971" s="37">
        <v>0</v>
      </c>
      <c r="M971" s="69"/>
      <c r="O971" s="38" t="str">
        <f>IF([1]totrevprm!O972="","",[1]totrevprm!O972)</f>
        <v/>
      </c>
    </row>
    <row r="972" spans="1:26">
      <c r="A972" s="50" t="s">
        <v>53</v>
      </c>
      <c r="B972" s="51" t="s">
        <v>784</v>
      </c>
      <c r="C972" s="52" t="s">
        <v>731</v>
      </c>
      <c r="D972" s="53">
        <v>1992</v>
      </c>
      <c r="E972" s="54">
        <v>167589649</v>
      </c>
      <c r="F972" s="54">
        <v>177152069.47999999</v>
      </c>
      <c r="G972" s="54">
        <v>194197079</v>
      </c>
      <c r="H972" s="54">
        <v>0</v>
      </c>
      <c r="I972" s="55">
        <f t="shared" si="43"/>
        <v>538938797.48000002</v>
      </c>
      <c r="J972" s="54">
        <v>-7131</v>
      </c>
      <c r="K972" s="56">
        <f t="shared" si="45"/>
        <v>538931666.48000002</v>
      </c>
      <c r="L972" s="37">
        <v>0</v>
      </c>
      <c r="M972" s="69"/>
      <c r="O972" s="38" t="str">
        <f>IF([1]totrevprm!O973="","",[1]totrevprm!O973)</f>
        <v/>
      </c>
    </row>
    <row r="973" spans="1:26">
      <c r="A973" s="50" t="s">
        <v>53</v>
      </c>
      <c r="B973" s="51" t="s">
        <v>784</v>
      </c>
      <c r="C973" s="52" t="s">
        <v>750</v>
      </c>
      <c r="D973" s="53">
        <v>1993</v>
      </c>
      <c r="E973" s="54">
        <v>176808984</v>
      </c>
      <c r="F973" s="54">
        <v>137333187</v>
      </c>
      <c r="G973" s="54">
        <v>206653950</v>
      </c>
      <c r="H973" s="54">
        <v>40838724</v>
      </c>
      <c r="I973" s="55">
        <f t="shared" si="43"/>
        <v>561634845</v>
      </c>
      <c r="J973" s="54">
        <v>0</v>
      </c>
      <c r="K973" s="56">
        <f t="shared" si="45"/>
        <v>561634845</v>
      </c>
      <c r="L973" s="37">
        <v>0</v>
      </c>
      <c r="M973" s="69"/>
      <c r="O973" s="38" t="str">
        <f>IF([1]totrevprm!O974="","",[1]totrevprm!O974)</f>
        <v/>
      </c>
    </row>
    <row r="974" spans="1:26">
      <c r="A974" s="50" t="s">
        <v>53</v>
      </c>
      <c r="B974" s="51" t="s">
        <v>784</v>
      </c>
      <c r="C974" s="52" t="s">
        <v>731</v>
      </c>
      <c r="D974" s="53">
        <v>1994</v>
      </c>
      <c r="E974" s="54">
        <v>184354230</v>
      </c>
      <c r="F974" s="54">
        <v>179294334</v>
      </c>
      <c r="G974" s="54">
        <v>216362491</v>
      </c>
      <c r="H974" s="54">
        <v>41066926</v>
      </c>
      <c r="I974" s="55">
        <f t="shared" si="43"/>
        <v>621077981</v>
      </c>
      <c r="J974" s="54">
        <v>0</v>
      </c>
      <c r="K974" s="56">
        <f t="shared" si="45"/>
        <v>621077981</v>
      </c>
      <c r="L974" s="37">
        <v>0</v>
      </c>
      <c r="M974" s="69"/>
      <c r="O974" s="38" t="str">
        <f>IF([1]totrevprm!O975="","",[1]totrevprm!O975)</f>
        <v/>
      </c>
    </row>
    <row r="975" spans="1:26">
      <c r="A975" s="50" t="s">
        <v>53</v>
      </c>
      <c r="B975" s="51" t="s">
        <v>784</v>
      </c>
      <c r="C975" s="52" t="s">
        <v>731</v>
      </c>
      <c r="D975" s="53">
        <v>1995</v>
      </c>
      <c r="E975" s="54">
        <v>190008113</v>
      </c>
      <c r="F975" s="54">
        <v>163550032</v>
      </c>
      <c r="G975" s="54">
        <v>218117329</v>
      </c>
      <c r="H975" s="54">
        <v>36557026</v>
      </c>
      <c r="I975" s="55">
        <f t="shared" si="43"/>
        <v>608232500</v>
      </c>
      <c r="J975" s="54">
        <v>0</v>
      </c>
      <c r="K975" s="56">
        <f t="shared" si="45"/>
        <v>608232500</v>
      </c>
      <c r="L975" s="37">
        <v>0</v>
      </c>
      <c r="M975" s="69"/>
      <c r="O975" s="38" t="str">
        <f>IF([1]totrevprm!O976="","",[1]totrevprm!O976)</f>
        <v/>
      </c>
    </row>
    <row r="976" spans="1:26">
      <c r="A976" s="50" t="s">
        <v>53</v>
      </c>
      <c r="B976" s="51" t="s">
        <v>784</v>
      </c>
      <c r="C976" s="52" t="s">
        <v>731</v>
      </c>
      <c r="D976" s="53">
        <v>1996</v>
      </c>
      <c r="E976" s="54">
        <v>193636502</v>
      </c>
      <c r="F976" s="54">
        <v>118717121</v>
      </c>
      <c r="G976" s="54">
        <v>228259960</v>
      </c>
      <c r="H976" s="54">
        <v>19699949</v>
      </c>
      <c r="I976" s="55">
        <f t="shared" si="43"/>
        <v>560313532</v>
      </c>
      <c r="J976" s="54">
        <v>0</v>
      </c>
      <c r="K976" s="56">
        <f t="shared" si="45"/>
        <v>560313532</v>
      </c>
      <c r="L976" s="37">
        <v>0</v>
      </c>
      <c r="M976" s="69"/>
      <c r="O976" s="38" t="str">
        <f>IF([1]totrevprm!O977="","",[1]totrevprm!O977)</f>
        <v/>
      </c>
    </row>
    <row r="977" spans="1:26">
      <c r="A977" s="50" t="s">
        <v>53</v>
      </c>
      <c r="B977" s="51" t="s">
        <v>784</v>
      </c>
      <c r="C977" s="52" t="s">
        <v>731</v>
      </c>
      <c r="D977" s="53">
        <v>1997</v>
      </c>
      <c r="E977" s="54">
        <v>193559711</v>
      </c>
      <c r="F977" s="54">
        <v>114621272</v>
      </c>
      <c r="G977" s="54">
        <v>233730642</v>
      </c>
      <c r="H977" s="54">
        <v>24378933</v>
      </c>
      <c r="I977" s="55">
        <f t="shared" si="43"/>
        <v>566290558</v>
      </c>
      <c r="J977" s="54">
        <v>0</v>
      </c>
      <c r="K977" s="56">
        <f t="shared" si="45"/>
        <v>566290558</v>
      </c>
      <c r="L977" s="37">
        <v>0</v>
      </c>
      <c r="M977" s="69"/>
      <c r="O977" s="38" t="str">
        <f>IF([1]totrevprm!O978="","",[1]totrevprm!O978)</f>
        <v/>
      </c>
    </row>
    <row r="978" spans="1:26">
      <c r="A978" s="50" t="s">
        <v>53</v>
      </c>
      <c r="B978" s="51" t="s">
        <v>784</v>
      </c>
      <c r="C978" s="52" t="s">
        <v>731</v>
      </c>
      <c r="D978" s="53">
        <v>1998</v>
      </c>
      <c r="E978" s="54">
        <v>185814389</v>
      </c>
      <c r="F978" s="54">
        <v>112354833</v>
      </c>
      <c r="G978" s="54">
        <v>240114841</v>
      </c>
      <c r="H978" s="54">
        <v>30435668</v>
      </c>
      <c r="I978" s="55">
        <f t="shared" si="43"/>
        <v>568719731</v>
      </c>
      <c r="J978" s="54">
        <v>0</v>
      </c>
      <c r="K978" s="56">
        <f t="shared" si="45"/>
        <v>568719731</v>
      </c>
      <c r="L978" s="37">
        <v>0</v>
      </c>
      <c r="M978" s="69"/>
      <c r="O978" s="38" t="str">
        <f>IF([1]totrevprm!O979="","",[1]totrevprm!O979)</f>
        <v/>
      </c>
    </row>
    <row r="979" spans="1:26">
      <c r="A979" s="50" t="s">
        <v>53</v>
      </c>
      <c r="B979" s="51" t="s">
        <v>784</v>
      </c>
      <c r="C979" s="52" t="s">
        <v>731</v>
      </c>
      <c r="D979" s="53">
        <v>1999</v>
      </c>
      <c r="E979" s="54">
        <v>190832253</v>
      </c>
      <c r="F979" s="54">
        <v>146602863</v>
      </c>
      <c r="G979" s="54">
        <v>251313879</v>
      </c>
      <c r="H979" s="54">
        <v>21499523</v>
      </c>
      <c r="I979" s="55">
        <f t="shared" si="43"/>
        <v>610248518</v>
      </c>
      <c r="J979" s="54">
        <v>0</v>
      </c>
      <c r="K979" s="56">
        <f t="shared" si="45"/>
        <v>610248518</v>
      </c>
      <c r="L979" s="37">
        <v>0</v>
      </c>
      <c r="M979" s="69"/>
      <c r="O979" s="38" t="str">
        <f>IF([1]totrevprm!O980="","",[1]totrevprm!O980)</f>
        <v/>
      </c>
    </row>
    <row r="980" spans="1:26">
      <c r="A980" s="50" t="s">
        <v>53</v>
      </c>
      <c r="B980" s="51" t="s">
        <v>784</v>
      </c>
      <c r="C980" s="52" t="s">
        <v>731</v>
      </c>
      <c r="D980" s="53">
        <v>2000</v>
      </c>
      <c r="E980" s="54">
        <v>195293601</v>
      </c>
      <c r="F980" s="54">
        <v>182761370</v>
      </c>
      <c r="G980" s="54">
        <v>267438449</v>
      </c>
      <c r="H980" s="54">
        <v>18416508</v>
      </c>
      <c r="I980" s="55">
        <f t="shared" si="43"/>
        <v>663909928</v>
      </c>
      <c r="J980" s="54">
        <v>0</v>
      </c>
      <c r="K980" s="56">
        <f t="shared" si="45"/>
        <v>663909928</v>
      </c>
      <c r="L980" s="37">
        <v>0</v>
      </c>
      <c r="M980" s="69"/>
      <c r="O980" s="38" t="str">
        <f>IF([1]totrevprm!O981="","",[1]totrevprm!O981)</f>
        <v/>
      </c>
      <c r="V980" s="38" t="s">
        <v>784</v>
      </c>
      <c r="W980" s="58">
        <v>264945</v>
      </c>
      <c r="X980" s="58">
        <v>753481</v>
      </c>
      <c r="Y980" s="58">
        <v>2037834</v>
      </c>
      <c r="Z980" s="58">
        <v>0</v>
      </c>
    </row>
    <row r="981" spans="1:26">
      <c r="A981" s="50" t="s">
        <v>53</v>
      </c>
      <c r="B981" s="51" t="s">
        <v>784</v>
      </c>
      <c r="C981" s="52" t="s">
        <v>731</v>
      </c>
      <c r="D981" s="53">
        <v>2001</v>
      </c>
      <c r="E981" s="54">
        <v>196489776</v>
      </c>
      <c r="F981" s="54">
        <v>207425482</v>
      </c>
      <c r="G981" s="54">
        <v>300463230</v>
      </c>
      <c r="H981" s="54">
        <v>26302806</v>
      </c>
      <c r="I981" s="55">
        <f t="shared" si="43"/>
        <v>730681294</v>
      </c>
      <c r="J981" s="54">
        <v>0</v>
      </c>
      <c r="K981" s="56">
        <f t="shared" si="45"/>
        <v>730681294</v>
      </c>
      <c r="L981" s="37">
        <v>0</v>
      </c>
      <c r="M981" s="69"/>
      <c r="O981" s="38" t="str">
        <f>IF([1]totrevprm!O982="","",[1]totrevprm!O982)</f>
        <v/>
      </c>
      <c r="V981" s="38"/>
      <c r="W981" s="58"/>
      <c r="X981" s="58"/>
      <c r="Y981" s="58"/>
      <c r="Z981" s="58"/>
    </row>
    <row r="982" spans="1:26">
      <c r="A982" s="50" t="s">
        <v>53</v>
      </c>
      <c r="B982" s="51" t="s">
        <v>784</v>
      </c>
      <c r="C982" s="52" t="s">
        <v>731</v>
      </c>
      <c r="D982" s="53">
        <v>2002</v>
      </c>
      <c r="E982" s="54">
        <v>228114256</v>
      </c>
      <c r="F982" s="54">
        <v>247001321</v>
      </c>
      <c r="G982" s="54">
        <v>285510925</v>
      </c>
      <c r="H982" s="54">
        <v>28760226</v>
      </c>
      <c r="I982" s="55">
        <f t="shared" si="43"/>
        <v>789386728</v>
      </c>
      <c r="J982" s="54">
        <v>0</v>
      </c>
      <c r="K982" s="56">
        <f t="shared" si="45"/>
        <v>789386728</v>
      </c>
      <c r="L982" s="37">
        <v>0</v>
      </c>
      <c r="M982" s="69"/>
      <c r="O982" s="38" t="str">
        <f>IF([1]totrevprm!O983="","",[1]totrevprm!O983)</f>
        <v/>
      </c>
      <c r="V982" s="38"/>
      <c r="W982" s="58"/>
      <c r="X982" s="58"/>
      <c r="Y982" s="58"/>
      <c r="Z982" s="58"/>
    </row>
    <row r="983" spans="1:26">
      <c r="A983" s="50" t="s">
        <v>53</v>
      </c>
      <c r="B983" s="51" t="s">
        <v>784</v>
      </c>
      <c r="C983" s="52" t="s">
        <v>751</v>
      </c>
      <c r="D983" s="53">
        <v>2003</v>
      </c>
      <c r="E983" s="59">
        <v>200687914</v>
      </c>
      <c r="F983" s="59">
        <v>230912704</v>
      </c>
      <c r="G983" s="59">
        <v>326378682</v>
      </c>
      <c r="H983" s="59">
        <v>4039810</v>
      </c>
      <c r="I983" s="55">
        <f t="shared" si="43"/>
        <v>762019110</v>
      </c>
      <c r="J983" s="54">
        <v>0</v>
      </c>
      <c r="K983" s="56">
        <f t="shared" si="45"/>
        <v>762019110</v>
      </c>
      <c r="L983" s="37">
        <v>1609793</v>
      </c>
      <c r="M983" s="69" t="s">
        <v>735</v>
      </c>
      <c r="N983" t="s">
        <v>708</v>
      </c>
      <c r="O983" s="38" t="str">
        <f>IF([1]totrevprm!O984="","",[1]totrevprm!O984)</f>
        <v/>
      </c>
      <c r="T983" s="68"/>
      <c r="V983" s="38"/>
      <c r="W983" s="58"/>
      <c r="X983" s="58"/>
      <c r="Y983" s="58"/>
      <c r="Z983" s="58"/>
    </row>
    <row r="984" spans="1:26">
      <c r="A984" s="50" t="s">
        <v>53</v>
      </c>
      <c r="B984" s="51" t="s">
        <v>784</v>
      </c>
      <c r="C984" s="52" t="s">
        <v>731</v>
      </c>
      <c r="D984" s="53">
        <v>2004</v>
      </c>
      <c r="E984" s="59">
        <v>208199260</v>
      </c>
      <c r="F984" s="59">
        <v>258729569</v>
      </c>
      <c r="G984" s="59">
        <v>328163224</v>
      </c>
      <c r="H984" s="59">
        <v>4882722</v>
      </c>
      <c r="I984" s="55">
        <f t="shared" si="43"/>
        <v>799974775</v>
      </c>
      <c r="J984" s="54">
        <v>0</v>
      </c>
      <c r="K984" s="56">
        <f t="shared" si="45"/>
        <v>799974775</v>
      </c>
      <c r="L984" s="37">
        <v>1883841</v>
      </c>
      <c r="M984" s="69" t="s">
        <v>735</v>
      </c>
      <c r="N984" t="s">
        <v>708</v>
      </c>
      <c r="O984" s="38" t="str">
        <f>IF([1]totrevprm!O985="","",[1]totrevprm!O985)</f>
        <v/>
      </c>
      <c r="T984" s="68"/>
      <c r="V984" s="38"/>
      <c r="W984" s="58"/>
      <c r="X984" s="58"/>
      <c r="Y984" s="58"/>
      <c r="Z984" s="58"/>
    </row>
    <row r="985" spans="1:26">
      <c r="A985" s="50" t="s">
        <v>53</v>
      </c>
      <c r="B985" s="51" t="s">
        <v>784</v>
      </c>
      <c r="C985" s="52"/>
      <c r="D985" s="53">
        <v>2005</v>
      </c>
      <c r="E985" s="59">
        <v>211045281</v>
      </c>
      <c r="F985" s="59">
        <v>239443767</v>
      </c>
      <c r="G985" s="59">
        <v>338709389</v>
      </c>
      <c r="H985" s="59">
        <v>13418591</v>
      </c>
      <c r="I985" s="55">
        <f t="shared" si="43"/>
        <v>802617028</v>
      </c>
      <c r="J985" s="54">
        <v>0</v>
      </c>
      <c r="K985" s="56">
        <f t="shared" si="45"/>
        <v>802617028</v>
      </c>
      <c r="L985" s="37">
        <v>903196</v>
      </c>
      <c r="M985" s="69" t="s">
        <v>735</v>
      </c>
      <c r="N985" t="s">
        <v>708</v>
      </c>
      <c r="O985" s="38" t="str">
        <f>IF([1]totrevprm!O986="","",[1]totrevprm!O986)</f>
        <v/>
      </c>
      <c r="T985" s="68"/>
      <c r="V985" s="38"/>
      <c r="W985" s="58"/>
      <c r="X985" s="58"/>
      <c r="Y985" s="58"/>
      <c r="Z985" s="58"/>
    </row>
    <row r="986" spans="1:26">
      <c r="A986" s="50" t="s">
        <v>53</v>
      </c>
      <c r="B986" s="51" t="s">
        <v>784</v>
      </c>
      <c r="C986" s="52"/>
      <c r="D986" s="53">
        <v>2006</v>
      </c>
      <c r="E986" s="37">
        <v>227805187</v>
      </c>
      <c r="F986" s="37">
        <v>250827065</v>
      </c>
      <c r="G986" s="37">
        <v>358021964</v>
      </c>
      <c r="H986" s="37">
        <v>8050515</v>
      </c>
      <c r="I986" s="55">
        <f t="shared" si="43"/>
        <v>844704731</v>
      </c>
      <c r="J986" s="54">
        <v>0</v>
      </c>
      <c r="K986" s="56">
        <f t="shared" si="45"/>
        <v>844704731</v>
      </c>
      <c r="L986" s="37">
        <v>1438443</v>
      </c>
      <c r="M986" s="69" t="s">
        <v>735</v>
      </c>
      <c r="N986" t="s">
        <v>708</v>
      </c>
      <c r="O986" s="38" t="str">
        <f>IF([1]totrevprm!O987="","",[1]totrevprm!O987)</f>
        <v/>
      </c>
      <c r="T986" s="68"/>
      <c r="V986" s="38"/>
      <c r="W986" s="58"/>
      <c r="X986" s="58"/>
      <c r="Y986" s="58"/>
      <c r="Z986" s="58"/>
    </row>
    <row r="987" spans="1:26">
      <c r="A987" s="50" t="s">
        <v>53</v>
      </c>
      <c r="B987" s="51" t="s">
        <v>784</v>
      </c>
      <c r="C987" s="52"/>
      <c r="D987" s="53">
        <v>2007</v>
      </c>
      <c r="E987" s="37">
        <v>245059396</v>
      </c>
      <c r="F987" s="37">
        <v>238595697</v>
      </c>
      <c r="G987" s="37">
        <v>432056095</v>
      </c>
      <c r="H987" s="37">
        <v>24306100</v>
      </c>
      <c r="I987" s="55">
        <f t="shared" si="43"/>
        <v>940017288</v>
      </c>
      <c r="J987" s="54">
        <v>0</v>
      </c>
      <c r="K987" s="56">
        <f t="shared" si="45"/>
        <v>940017288</v>
      </c>
      <c r="L987" s="37">
        <v>871548</v>
      </c>
      <c r="M987" s="69" t="s">
        <v>735</v>
      </c>
      <c r="N987" t="s">
        <v>708</v>
      </c>
      <c r="O987" s="38" t="str">
        <f>IF([1]totrevprm!O988="","",[1]totrevprm!O988)</f>
        <v/>
      </c>
      <c r="T987" s="68"/>
      <c r="V987" s="38"/>
      <c r="W987" s="58"/>
      <c r="X987" s="58"/>
      <c r="Y987" s="58"/>
      <c r="Z987" s="58"/>
    </row>
    <row r="988" spans="1:26">
      <c r="A988" s="50" t="s">
        <v>53</v>
      </c>
      <c r="B988" s="51" t="s">
        <v>784</v>
      </c>
      <c r="C988" s="52"/>
      <c r="D988" s="53">
        <v>2008</v>
      </c>
      <c r="E988" s="37">
        <v>260776679</v>
      </c>
      <c r="F988" s="37">
        <v>319463772</v>
      </c>
      <c r="G988" s="37">
        <v>471542573</v>
      </c>
      <c r="H988" s="37">
        <v>7582004</v>
      </c>
      <c r="I988" s="55">
        <f t="shared" si="43"/>
        <v>1059365028</v>
      </c>
      <c r="J988" s="54">
        <v>0</v>
      </c>
      <c r="K988" s="56">
        <f t="shared" si="45"/>
        <v>1059365028</v>
      </c>
      <c r="L988" s="37">
        <v>1369555</v>
      </c>
      <c r="M988" s="69" t="s">
        <v>735</v>
      </c>
      <c r="N988" t="s">
        <v>708</v>
      </c>
      <c r="O988" s="38" t="str">
        <f>IF([1]totrevprm!O989="","",[1]totrevprm!O989)</f>
        <v/>
      </c>
      <c r="T988" s="68"/>
      <c r="V988" s="38"/>
      <c r="W988" s="58"/>
      <c r="X988" s="58"/>
      <c r="Y988" s="58"/>
      <c r="Z988" s="58"/>
    </row>
    <row r="989" spans="1:26">
      <c r="A989" s="50" t="s">
        <v>53</v>
      </c>
      <c r="B989" s="51" t="s">
        <v>784</v>
      </c>
      <c r="C989" s="52"/>
      <c r="D989" s="53">
        <v>2009</v>
      </c>
      <c r="E989" s="37">
        <v>296416646</v>
      </c>
      <c r="F989" s="37">
        <v>312026561</v>
      </c>
      <c r="G989" s="37">
        <v>498434550</v>
      </c>
      <c r="H989" s="37">
        <v>8873352</v>
      </c>
      <c r="I989" s="55">
        <f t="shared" si="43"/>
        <v>1115751109</v>
      </c>
      <c r="J989" s="54">
        <v>0</v>
      </c>
      <c r="K989" s="56">
        <f t="shared" si="45"/>
        <v>1115751109</v>
      </c>
      <c r="L989" s="37">
        <v>1127744</v>
      </c>
      <c r="M989" s="69" t="s">
        <v>735</v>
      </c>
      <c r="N989" t="s">
        <v>708</v>
      </c>
      <c r="O989" s="38" t="str">
        <f>IF([1]totrevprm!O990="","",[1]totrevprm!O990)</f>
        <v/>
      </c>
      <c r="T989" s="68"/>
      <c r="V989" s="38"/>
      <c r="W989" s="58"/>
      <c r="X989" s="58"/>
      <c r="Y989" s="58"/>
      <c r="Z989" s="58"/>
    </row>
    <row r="990" spans="1:26">
      <c r="A990" s="50" t="s">
        <v>53</v>
      </c>
      <c r="B990" s="51" t="s">
        <v>784</v>
      </c>
      <c r="C990" s="52"/>
      <c r="D990" s="53">
        <v>2010</v>
      </c>
      <c r="E990" s="37">
        <v>302627018</v>
      </c>
      <c r="F990" s="37">
        <v>307916293</v>
      </c>
      <c r="G990" s="37">
        <v>551070428</v>
      </c>
      <c r="H990" s="37">
        <v>4080653</v>
      </c>
      <c r="I990" s="55">
        <f t="shared" si="43"/>
        <v>1165694392</v>
      </c>
      <c r="J990" s="54">
        <v>0</v>
      </c>
      <c r="K990" s="56">
        <f t="shared" si="45"/>
        <v>1165694392</v>
      </c>
      <c r="L990" s="37">
        <v>1029482</v>
      </c>
      <c r="M990" s="69" t="s">
        <v>735</v>
      </c>
      <c r="N990" t="s">
        <v>708</v>
      </c>
      <c r="O990" s="38" t="str">
        <f>IF([1]totrevprm!O991="","",[1]totrevprm!O991)</f>
        <v/>
      </c>
      <c r="T990" s="68"/>
      <c r="V990" s="38"/>
      <c r="W990" s="58"/>
      <c r="X990" s="58"/>
      <c r="Y990" s="58"/>
      <c r="Z990" s="58"/>
    </row>
    <row r="991" spans="1:26">
      <c r="A991" s="50" t="s">
        <v>53</v>
      </c>
      <c r="B991" s="51" t="s">
        <v>784</v>
      </c>
      <c r="C991" s="52"/>
      <c r="D991" s="53">
        <v>2011</v>
      </c>
      <c r="E991" s="37">
        <v>315228909</v>
      </c>
      <c r="F991" s="37">
        <v>318516072</v>
      </c>
      <c r="G991" s="37">
        <v>496465446</v>
      </c>
      <c r="H991" s="37">
        <v>6685346</v>
      </c>
      <c r="I991" s="55">
        <f t="shared" si="43"/>
        <v>1136895773</v>
      </c>
      <c r="J991" s="54">
        <v>0</v>
      </c>
      <c r="K991" s="56">
        <f t="shared" si="45"/>
        <v>1136895773</v>
      </c>
      <c r="L991" s="37">
        <v>1274739</v>
      </c>
      <c r="M991" s="69" t="s">
        <v>735</v>
      </c>
      <c r="N991" t="s">
        <v>708</v>
      </c>
      <c r="O991" s="38" t="str">
        <f>IF([1]totrevprm!O992="","",[1]totrevprm!O992)</f>
        <v/>
      </c>
      <c r="T991" s="68"/>
      <c r="V991" s="38"/>
      <c r="W991" s="58"/>
      <c r="X991" s="58"/>
      <c r="Y991" s="58"/>
      <c r="Z991" s="58"/>
    </row>
    <row r="992" spans="1:26">
      <c r="A992" s="50" t="s">
        <v>53</v>
      </c>
      <c r="B992" s="51" t="s">
        <v>784</v>
      </c>
      <c r="C992" s="52"/>
      <c r="D992" s="53">
        <v>2012</v>
      </c>
      <c r="E992" s="37">
        <v>330777643</v>
      </c>
      <c r="F992" s="37">
        <v>311430804</v>
      </c>
      <c r="G992" s="37">
        <v>462625440</v>
      </c>
      <c r="H992" s="37">
        <v>23790523</v>
      </c>
      <c r="I992" s="55">
        <f t="shared" ref="I992:I1055" si="46">SUM(E992:H992)</f>
        <v>1128624410</v>
      </c>
      <c r="J992" s="54">
        <v>0</v>
      </c>
      <c r="K992" s="56">
        <f t="shared" si="45"/>
        <v>1128624410</v>
      </c>
      <c r="L992" s="37">
        <v>1766233</v>
      </c>
      <c r="M992" s="69" t="s">
        <v>735</v>
      </c>
      <c r="N992" t="s">
        <v>708</v>
      </c>
      <c r="O992" s="38" t="str">
        <f>IF([1]totrevprm!O993="","",[1]totrevprm!O993)</f>
        <v/>
      </c>
      <c r="T992" s="68"/>
      <c r="V992" s="38"/>
      <c r="W992" s="58"/>
      <c r="X992" s="58"/>
      <c r="Y992" s="58"/>
      <c r="Z992" s="58"/>
    </row>
    <row r="993" spans="1:26">
      <c r="A993" s="50" t="s">
        <v>53</v>
      </c>
      <c r="B993" s="51" t="s">
        <v>784</v>
      </c>
      <c r="C993" s="52"/>
      <c r="D993" s="53">
        <v>2013</v>
      </c>
      <c r="E993" s="37">
        <v>333294027</v>
      </c>
      <c r="F993" s="37">
        <v>313268321</v>
      </c>
      <c r="G993" s="37">
        <v>635815556</v>
      </c>
      <c r="H993" s="37">
        <v>13576128</v>
      </c>
      <c r="I993" s="55">
        <f t="shared" si="46"/>
        <v>1295954032</v>
      </c>
      <c r="J993" s="54">
        <v>0</v>
      </c>
      <c r="K993" s="56">
        <f t="shared" si="45"/>
        <v>1295954032</v>
      </c>
      <c r="L993" s="37">
        <v>3425813</v>
      </c>
      <c r="M993" s="69" t="s">
        <v>735</v>
      </c>
      <c r="N993" t="s">
        <v>708</v>
      </c>
      <c r="O993" s="38" t="str">
        <f>IF([1]totrevprm!O994="","",[1]totrevprm!O994)</f>
        <v/>
      </c>
      <c r="T993" s="68"/>
      <c r="V993" s="38"/>
      <c r="W993" s="58"/>
      <c r="X993" s="58"/>
      <c r="Y993" s="58"/>
      <c r="Z993" s="58"/>
    </row>
    <row r="994" spans="1:26">
      <c r="A994" s="50" t="s">
        <v>53</v>
      </c>
      <c r="B994" s="51" t="s">
        <v>784</v>
      </c>
      <c r="C994" s="52"/>
      <c r="D994" s="53">
        <v>2014</v>
      </c>
      <c r="E994" s="37">
        <v>368543193</v>
      </c>
      <c r="F994" s="37">
        <v>335464229</v>
      </c>
      <c r="G994" s="37">
        <v>937114389</v>
      </c>
      <c r="H994" s="37">
        <v>4411758</v>
      </c>
      <c r="I994" s="55">
        <f t="shared" si="46"/>
        <v>1645533569</v>
      </c>
      <c r="J994" s="54">
        <v>0</v>
      </c>
      <c r="K994" s="56">
        <f t="shared" si="45"/>
        <v>1645533569</v>
      </c>
      <c r="L994" s="37">
        <v>9162283</v>
      </c>
      <c r="M994" s="69" t="s">
        <v>735</v>
      </c>
      <c r="N994" t="s">
        <v>708</v>
      </c>
      <c r="O994" s="38" t="str">
        <f>IF([1]totrevprm!O995="","",[1]totrevprm!O995)</f>
        <v/>
      </c>
      <c r="T994" s="68"/>
      <c r="V994" s="38"/>
      <c r="W994" s="58"/>
      <c r="X994" s="58"/>
      <c r="Y994" s="58"/>
      <c r="Z994" s="58"/>
    </row>
    <row r="995" spans="1:26">
      <c r="A995" s="50" t="s">
        <v>53</v>
      </c>
      <c r="B995" s="51" t="s">
        <v>784</v>
      </c>
      <c r="C995" s="52"/>
      <c r="D995" s="53">
        <v>2015</v>
      </c>
      <c r="E995" s="37">
        <v>370847924</v>
      </c>
      <c r="F995" s="37">
        <v>342280331</v>
      </c>
      <c r="G995" s="37">
        <v>888161790</v>
      </c>
      <c r="H995" s="37">
        <v>6345206</v>
      </c>
      <c r="I995" s="55">
        <f t="shared" si="46"/>
        <v>1607635251</v>
      </c>
      <c r="J995" s="54">
        <v>0</v>
      </c>
      <c r="K995" s="56">
        <f t="shared" si="45"/>
        <v>1607635251</v>
      </c>
      <c r="L995" s="37">
        <v>6698294</v>
      </c>
      <c r="M995" s="69" t="s">
        <v>735</v>
      </c>
      <c r="N995" t="s">
        <v>708</v>
      </c>
      <c r="O995" s="38" t="str">
        <f>IF([1]totrevprm!O996="","",[1]totrevprm!O996)</f>
        <v/>
      </c>
      <c r="P995" s="35">
        <v>47138499.276989177</v>
      </c>
      <c r="Q995" s="35">
        <v>40145698.530000001</v>
      </c>
      <c r="T995" s="68"/>
      <c r="V995" s="38"/>
      <c r="W995" s="58"/>
      <c r="X995" s="58"/>
      <c r="Y995" s="58"/>
      <c r="Z995" s="58"/>
    </row>
    <row r="996" spans="1:26">
      <c r="A996" s="50" t="s">
        <v>53</v>
      </c>
      <c r="B996" s="51" t="s">
        <v>784</v>
      </c>
      <c r="C996" s="52"/>
      <c r="D996" s="53">
        <v>2016</v>
      </c>
      <c r="E996" s="37">
        <v>362545507</v>
      </c>
      <c r="F996" s="37">
        <v>431787509</v>
      </c>
      <c r="G996" s="37">
        <v>939752785</v>
      </c>
      <c r="H996" s="37">
        <v>5691358</v>
      </c>
      <c r="I996" s="55">
        <f t="shared" si="46"/>
        <v>1739777159</v>
      </c>
      <c r="J996" s="54">
        <v>0</v>
      </c>
      <c r="K996" s="56">
        <f t="shared" si="45"/>
        <v>1739777159</v>
      </c>
      <c r="L996" s="37">
        <v>3055255</v>
      </c>
      <c r="M996" s="69" t="s">
        <v>735</v>
      </c>
      <c r="N996" t="s">
        <v>708</v>
      </c>
      <c r="O996" s="38" t="str">
        <f>IF([1]totrevprm!O997="","",[1]totrevprm!O997)</f>
        <v/>
      </c>
      <c r="P996" s="35">
        <v>49688005.426429354</v>
      </c>
      <c r="Q996" s="35">
        <v>39919141.737819545</v>
      </c>
      <c r="T996" s="68"/>
      <c r="V996" s="38"/>
      <c r="W996" s="58"/>
      <c r="X996" s="58"/>
      <c r="Y996" s="58"/>
      <c r="Z996" s="58"/>
    </row>
    <row r="997" spans="1:26">
      <c r="A997" s="50" t="s">
        <v>53</v>
      </c>
      <c r="B997" s="51" t="s">
        <v>784</v>
      </c>
      <c r="C997" s="52"/>
      <c r="D997" s="53">
        <v>2017</v>
      </c>
      <c r="E997" s="37">
        <v>381525958</v>
      </c>
      <c r="F997" s="37">
        <v>376244692</v>
      </c>
      <c r="G997" s="37">
        <v>1040573840</v>
      </c>
      <c r="H997" s="37">
        <v>18105376</v>
      </c>
      <c r="I997" s="55">
        <f t="shared" si="46"/>
        <v>1816449866</v>
      </c>
      <c r="J997" s="54">
        <v>0</v>
      </c>
      <c r="K997" s="56">
        <f t="shared" si="45"/>
        <v>1816449866</v>
      </c>
      <c r="L997" s="60">
        <v>2864006</v>
      </c>
      <c r="M997" s="69" t="s">
        <v>735</v>
      </c>
      <c r="N997" t="s">
        <v>708</v>
      </c>
      <c r="O997" s="38" t="str">
        <f>IF([1]totrevprm!O998="","",[1]totrevprm!O998)</f>
        <v/>
      </c>
      <c r="P997" s="35">
        <v>52530848.289765693</v>
      </c>
      <c r="Q997" s="35">
        <v>38305163.714803152</v>
      </c>
      <c r="S997" s="36">
        <v>0</v>
      </c>
      <c r="T997" s="36" t="s">
        <v>717</v>
      </c>
      <c r="U997" s="36">
        <v>3</v>
      </c>
      <c r="V997" s="38"/>
      <c r="W997" s="58"/>
      <c r="X997" s="58"/>
      <c r="Y997" s="58"/>
      <c r="Z997" s="58"/>
    </row>
    <row r="998" spans="1:26">
      <c r="A998" s="50" t="s">
        <v>53</v>
      </c>
      <c r="B998" s="51" t="s">
        <v>784</v>
      </c>
      <c r="C998" s="52"/>
      <c r="D998" s="53">
        <v>2018</v>
      </c>
      <c r="E998" s="37">
        <v>385539494</v>
      </c>
      <c r="F998" s="37">
        <v>397661704</v>
      </c>
      <c r="G998" s="37">
        <v>1045093299.34</v>
      </c>
      <c r="H998" s="37">
        <v>6029299</v>
      </c>
      <c r="I998" s="55">
        <f t="shared" si="46"/>
        <v>1834323796.3400002</v>
      </c>
      <c r="J998" s="54">
        <v>0</v>
      </c>
      <c r="K998" s="56">
        <f t="shared" si="45"/>
        <v>1834323796.3400002</v>
      </c>
      <c r="L998" s="60">
        <v>2842316</v>
      </c>
      <c r="M998" s="69" t="s">
        <v>735</v>
      </c>
      <c r="N998" t="s">
        <v>708</v>
      </c>
      <c r="O998" s="38" t="str">
        <f>IF([1]totrevprm!O999="","",[1]totrevprm!O999)</f>
        <v/>
      </c>
      <c r="P998" s="35">
        <v>52982991.556393884</v>
      </c>
      <c r="Q998" s="35">
        <v>36854444</v>
      </c>
      <c r="V998" s="38"/>
      <c r="W998" s="58"/>
      <c r="X998" s="58"/>
      <c r="Y998" s="58"/>
      <c r="Z998" s="58"/>
    </row>
    <row r="999" spans="1:26">
      <c r="A999" s="50" t="s">
        <v>53</v>
      </c>
      <c r="B999" s="51" t="s">
        <v>784</v>
      </c>
      <c r="C999" s="52"/>
      <c r="D999" s="53">
        <v>2019</v>
      </c>
      <c r="E999" s="37">
        <v>401318680</v>
      </c>
      <c r="F999" s="37">
        <v>392506573</v>
      </c>
      <c r="G999" s="37">
        <v>901829898.08029997</v>
      </c>
      <c r="H999" s="37">
        <v>3089837</v>
      </c>
      <c r="I999" s="55">
        <f t="shared" si="46"/>
        <v>1698744988.0802999</v>
      </c>
      <c r="J999" s="54">
        <v>0</v>
      </c>
      <c r="K999" s="56">
        <f t="shared" si="45"/>
        <v>1698744988.0802999</v>
      </c>
      <c r="L999" s="60">
        <v>5289964</v>
      </c>
      <c r="M999" s="69" t="s">
        <v>735</v>
      </c>
      <c r="N999" t="s">
        <v>708</v>
      </c>
      <c r="O999" s="38" t="str">
        <f>IF([1]totrevprm!O1000="","",[1]totrevprm!O1000)</f>
        <v/>
      </c>
      <c r="P999" s="35">
        <v>58576021.426227957</v>
      </c>
      <c r="Q999" s="35">
        <v>37868197.990000002</v>
      </c>
      <c r="V999" s="38"/>
      <c r="W999" s="58"/>
      <c r="X999" s="58"/>
      <c r="Y999" s="58"/>
      <c r="Z999" s="58"/>
    </row>
    <row r="1000" spans="1:26">
      <c r="A1000" s="50" t="s">
        <v>53</v>
      </c>
      <c r="B1000" s="51" t="s">
        <v>784</v>
      </c>
      <c r="C1000" s="52"/>
      <c r="D1000" s="53">
        <v>2020</v>
      </c>
      <c r="E1000" s="37">
        <v>455360804</v>
      </c>
      <c r="F1000" s="37">
        <v>365028601</v>
      </c>
      <c r="G1000" s="37">
        <v>934546601</v>
      </c>
      <c r="H1000" s="37">
        <v>8581032</v>
      </c>
      <c r="I1000" s="55">
        <f t="shared" si="46"/>
        <v>1763517038</v>
      </c>
      <c r="J1000" s="54">
        <v>0</v>
      </c>
      <c r="K1000" s="56">
        <f t="shared" si="45"/>
        <v>1763517038</v>
      </c>
      <c r="L1000" s="60">
        <v>2813825</v>
      </c>
      <c r="M1000" s="69" t="s">
        <v>783</v>
      </c>
      <c r="N1000" t="s">
        <v>708</v>
      </c>
      <c r="O1000" s="38" t="str">
        <f>IF([1]totrevprm!O1001="","",[1]totrevprm!O1001)</f>
        <v>Yes</v>
      </c>
      <c r="P1000" s="35">
        <v>60672254</v>
      </c>
      <c r="Q1000" s="35">
        <v>37085432</v>
      </c>
      <c r="V1000" s="38"/>
      <c r="W1000" s="58"/>
      <c r="X1000" s="58"/>
      <c r="Y1000" s="58"/>
      <c r="Z1000" s="58"/>
    </row>
    <row r="1001" spans="1:26">
      <c r="A1001" s="50" t="s">
        <v>53</v>
      </c>
      <c r="B1001" s="51" t="s">
        <v>784</v>
      </c>
      <c r="C1001" s="52"/>
      <c r="D1001" s="53">
        <v>2021</v>
      </c>
      <c r="E1001" s="37">
        <v>448547938</v>
      </c>
      <c r="F1001" s="37">
        <v>553104905</v>
      </c>
      <c r="G1001" s="37">
        <v>1298337136</v>
      </c>
      <c r="H1001" s="37">
        <v>6083836</v>
      </c>
      <c r="I1001" s="55">
        <f t="shared" si="46"/>
        <v>2306073815</v>
      </c>
      <c r="J1001" s="54">
        <v>0</v>
      </c>
      <c r="K1001" s="56">
        <f t="shared" si="45"/>
        <v>2306073815</v>
      </c>
      <c r="L1001" s="37">
        <v>0</v>
      </c>
      <c r="M1001" s="69" t="s">
        <v>739</v>
      </c>
      <c r="N1001" t="s">
        <v>708</v>
      </c>
      <c r="O1001" s="38" t="s">
        <v>708</v>
      </c>
      <c r="P1001" s="35">
        <v>61157970.019999996</v>
      </c>
      <c r="Q1001" s="35">
        <v>37781705</v>
      </c>
      <c r="V1001" s="38"/>
      <c r="W1001" s="58"/>
      <c r="X1001" s="58"/>
      <c r="Y1001" s="58"/>
      <c r="Z1001" s="58"/>
    </row>
    <row r="1002" spans="1:26">
      <c r="A1002" s="50" t="s">
        <v>53</v>
      </c>
      <c r="B1002" s="51" t="s">
        <v>784</v>
      </c>
      <c r="C1002" s="52"/>
      <c r="D1002" s="53">
        <v>2022</v>
      </c>
      <c r="E1002" s="37">
        <v>448794203</v>
      </c>
      <c r="F1002" s="37">
        <v>517868663</v>
      </c>
      <c r="G1002" s="37">
        <v>1428461407</v>
      </c>
      <c r="H1002" s="37">
        <v>2853869</v>
      </c>
      <c r="I1002" s="55">
        <f t="shared" si="46"/>
        <v>2397978142</v>
      </c>
      <c r="J1002" s="54">
        <v>0</v>
      </c>
      <c r="K1002" s="56">
        <f t="shared" si="45"/>
        <v>2397978142</v>
      </c>
      <c r="L1002" s="37">
        <v>0</v>
      </c>
      <c r="M1002" s="69" t="s">
        <v>739</v>
      </c>
      <c r="N1002" t="s">
        <v>708</v>
      </c>
      <c r="O1002" s="38" t="str">
        <f>IF([1]totrevprm!O1005="","",[1]totrevprm!O1005)</f>
        <v/>
      </c>
      <c r="P1002" s="60">
        <v>65207602</v>
      </c>
      <c r="Q1002" s="60">
        <v>37024919</v>
      </c>
    </row>
    <row r="1003" spans="1:26">
      <c r="A1003" s="50" t="s">
        <v>53</v>
      </c>
      <c r="B1003" s="51" t="s">
        <v>784</v>
      </c>
      <c r="C1003" s="52"/>
      <c r="D1003" s="53">
        <v>2023</v>
      </c>
      <c r="E1003" s="37">
        <v>466237236</v>
      </c>
      <c r="F1003" s="37">
        <v>755556760.42929995</v>
      </c>
      <c r="G1003" s="37">
        <v>1534042834</v>
      </c>
      <c r="H1003" s="37">
        <v>8133980</v>
      </c>
      <c r="I1003" s="55">
        <f t="shared" si="46"/>
        <v>2763970810.4292998</v>
      </c>
      <c r="K1003" s="56">
        <f t="shared" si="45"/>
        <v>2763970810.4292998</v>
      </c>
      <c r="L1003" s="37">
        <v>0</v>
      </c>
      <c r="M1003" s="69" t="s">
        <v>739</v>
      </c>
      <c r="O1003" s="38"/>
      <c r="P1003" s="60">
        <v>71207719.359999999</v>
      </c>
      <c r="Q1003" s="60">
        <v>36227830</v>
      </c>
    </row>
    <row r="1004" spans="1:26">
      <c r="A1004" s="50"/>
      <c r="B1004" s="52"/>
      <c r="C1004" s="52"/>
      <c r="E1004" s="54"/>
      <c r="F1004" s="54"/>
      <c r="G1004" s="54"/>
      <c r="H1004" s="54"/>
      <c r="I1004" s="55"/>
      <c r="K1004" s="65"/>
      <c r="L1004" s="37"/>
      <c r="M1004" s="69"/>
      <c r="O1004" s="38"/>
    </row>
    <row r="1005" spans="1:26">
      <c r="A1005" s="50" t="s">
        <v>54</v>
      </c>
      <c r="B1005" s="51" t="s">
        <v>785</v>
      </c>
      <c r="C1005" s="52" t="s">
        <v>730</v>
      </c>
      <c r="D1005" s="53">
        <v>1988</v>
      </c>
      <c r="E1005" s="54">
        <v>433750438</v>
      </c>
      <c r="F1005" s="54">
        <v>418065185</v>
      </c>
      <c r="G1005" s="54">
        <v>629941666</v>
      </c>
      <c r="H1005" s="54">
        <v>0</v>
      </c>
      <c r="I1005" s="55">
        <f t="shared" si="46"/>
        <v>1481757289</v>
      </c>
      <c r="J1005" s="54">
        <v>-23281899</v>
      </c>
      <c r="K1005" s="56">
        <f>SUM(I1005:J1005)</f>
        <v>1458475390</v>
      </c>
      <c r="L1005" s="37">
        <v>0</v>
      </c>
      <c r="M1005" s="69"/>
      <c r="O1005" s="38" t="str">
        <f>IF([1]totrevprm!O1006="","",[1]totrevprm!O1006)</f>
        <v/>
      </c>
    </row>
    <row r="1006" spans="1:26">
      <c r="A1006" s="50" t="s">
        <v>54</v>
      </c>
      <c r="B1006" s="51" t="s">
        <v>785</v>
      </c>
      <c r="C1006" s="52" t="s">
        <v>731</v>
      </c>
      <c r="D1006" s="53">
        <v>1989</v>
      </c>
      <c r="E1006" s="54">
        <v>398868887</v>
      </c>
      <c r="F1006" s="54">
        <v>450436550</v>
      </c>
      <c r="G1006" s="54">
        <v>678877041</v>
      </c>
      <c r="H1006" s="54">
        <v>0</v>
      </c>
      <c r="I1006" s="55">
        <f t="shared" si="46"/>
        <v>1528182478</v>
      </c>
      <c r="J1006" s="54">
        <v>-24201182</v>
      </c>
      <c r="K1006" s="56">
        <f t="shared" ref="K1006:K1040" si="47">SUM(I1006:J1006)</f>
        <v>1503981296</v>
      </c>
      <c r="L1006" s="37">
        <v>0</v>
      </c>
      <c r="M1006" s="69"/>
      <c r="O1006" s="38" t="str">
        <f>IF([1]totrevprm!O1007="","",[1]totrevprm!O1007)</f>
        <v/>
      </c>
    </row>
    <row r="1007" spans="1:26">
      <c r="A1007" s="50" t="s">
        <v>54</v>
      </c>
      <c r="B1007" s="51" t="s">
        <v>785</v>
      </c>
      <c r="C1007" s="52" t="s">
        <v>731</v>
      </c>
      <c r="D1007" s="53">
        <v>1990</v>
      </c>
      <c r="E1007" s="54">
        <v>421996673</v>
      </c>
      <c r="F1007" s="54">
        <v>467201546.16000003</v>
      </c>
      <c r="G1007" s="54">
        <v>765338463</v>
      </c>
      <c r="H1007" s="54">
        <v>0</v>
      </c>
      <c r="I1007" s="55">
        <f t="shared" si="46"/>
        <v>1654536682.1600001</v>
      </c>
      <c r="J1007" s="54">
        <v>-28449890</v>
      </c>
      <c r="K1007" s="56">
        <f t="shared" si="47"/>
        <v>1626086792.1600001</v>
      </c>
      <c r="L1007" s="37">
        <v>0</v>
      </c>
      <c r="M1007" s="69"/>
      <c r="O1007" s="38" t="str">
        <f>IF([1]totrevprm!O1008="","",[1]totrevprm!O1008)</f>
        <v/>
      </c>
    </row>
    <row r="1008" spans="1:26">
      <c r="A1008" s="50" t="s">
        <v>54</v>
      </c>
      <c r="B1008" s="51" t="s">
        <v>785</v>
      </c>
      <c r="C1008" s="52" t="s">
        <v>731</v>
      </c>
      <c r="D1008" s="53">
        <v>1991</v>
      </c>
      <c r="E1008" s="54">
        <v>470693992</v>
      </c>
      <c r="F1008" s="54">
        <v>480634914</v>
      </c>
      <c r="G1008" s="54">
        <v>809821032</v>
      </c>
      <c r="H1008" s="54">
        <v>0</v>
      </c>
      <c r="I1008" s="55">
        <f t="shared" si="46"/>
        <v>1761149938</v>
      </c>
      <c r="J1008" s="54">
        <v>-30623822</v>
      </c>
      <c r="K1008" s="56">
        <f t="shared" si="47"/>
        <v>1730526116</v>
      </c>
      <c r="L1008" s="37">
        <v>0</v>
      </c>
      <c r="M1008" s="69"/>
      <c r="O1008" s="38" t="str">
        <f>IF([1]totrevprm!O1009="","",[1]totrevprm!O1009)</f>
        <v/>
      </c>
    </row>
    <row r="1009" spans="1:26">
      <c r="A1009" s="50" t="s">
        <v>54</v>
      </c>
      <c r="B1009" s="51" t="s">
        <v>785</v>
      </c>
      <c r="C1009" s="52" t="s">
        <v>731</v>
      </c>
      <c r="D1009" s="53">
        <v>1992</v>
      </c>
      <c r="E1009" s="54">
        <v>488454238</v>
      </c>
      <c r="F1009" s="54">
        <v>439973744.92000002</v>
      </c>
      <c r="G1009" s="54">
        <v>873692323</v>
      </c>
      <c r="H1009" s="54">
        <v>0</v>
      </c>
      <c r="I1009" s="55">
        <f t="shared" si="46"/>
        <v>1802120305.9200001</v>
      </c>
      <c r="J1009" s="54">
        <v>-3197042</v>
      </c>
      <c r="K1009" s="56">
        <f t="shared" si="47"/>
        <v>1798923263.9200001</v>
      </c>
      <c r="L1009" s="37">
        <v>0</v>
      </c>
      <c r="M1009" s="69"/>
      <c r="O1009" s="38" t="str">
        <f>IF([1]totrevprm!O1010="","",[1]totrevprm!O1010)</f>
        <v/>
      </c>
    </row>
    <row r="1010" spans="1:26">
      <c r="A1010" s="50" t="s">
        <v>54</v>
      </c>
      <c r="B1010" s="51" t="s">
        <v>785</v>
      </c>
      <c r="C1010" s="52" t="s">
        <v>731</v>
      </c>
      <c r="D1010" s="53">
        <v>1993</v>
      </c>
      <c r="E1010" s="54">
        <v>493313156</v>
      </c>
      <c r="F1010" s="54">
        <v>345751489</v>
      </c>
      <c r="G1010" s="54">
        <v>938737324</v>
      </c>
      <c r="H1010" s="54">
        <v>0</v>
      </c>
      <c r="I1010" s="55">
        <f t="shared" si="46"/>
        <v>1777801969</v>
      </c>
      <c r="J1010" s="54">
        <v>-2797</v>
      </c>
      <c r="K1010" s="56">
        <f t="shared" si="47"/>
        <v>1777799172</v>
      </c>
      <c r="L1010" s="37">
        <v>0</v>
      </c>
      <c r="M1010" s="69"/>
      <c r="O1010" s="38" t="str">
        <f>IF([1]totrevprm!O1011="","",[1]totrevprm!O1011)</f>
        <v/>
      </c>
    </row>
    <row r="1011" spans="1:26">
      <c r="A1011" s="50" t="s">
        <v>54</v>
      </c>
      <c r="B1011" s="51" t="s">
        <v>785</v>
      </c>
      <c r="C1011" s="52" t="s">
        <v>731</v>
      </c>
      <c r="D1011" s="53">
        <v>1994</v>
      </c>
      <c r="E1011" s="54">
        <v>540223282</v>
      </c>
      <c r="F1011" s="54">
        <v>712764436</v>
      </c>
      <c r="G1011" s="54">
        <v>910908244</v>
      </c>
      <c r="H1011" s="54">
        <v>0</v>
      </c>
      <c r="I1011" s="55">
        <f t="shared" si="46"/>
        <v>2163895962</v>
      </c>
      <c r="J1011" s="54">
        <v>-176529</v>
      </c>
      <c r="K1011" s="56">
        <f t="shared" si="47"/>
        <v>2163719433</v>
      </c>
      <c r="L1011" s="37">
        <v>0</v>
      </c>
      <c r="M1011" s="69"/>
      <c r="O1011" s="38" t="str">
        <f>IF([1]totrevprm!O1012="","",[1]totrevprm!O1012)</f>
        <v/>
      </c>
    </row>
    <row r="1012" spans="1:26">
      <c r="A1012" s="50" t="s">
        <v>54</v>
      </c>
      <c r="B1012" s="51" t="s">
        <v>785</v>
      </c>
      <c r="C1012" s="52" t="s">
        <v>731</v>
      </c>
      <c r="D1012" s="53">
        <v>1995</v>
      </c>
      <c r="E1012" s="54">
        <v>580304048</v>
      </c>
      <c r="F1012" s="54">
        <v>1088285987</v>
      </c>
      <c r="G1012" s="54">
        <v>946054978</v>
      </c>
      <c r="H1012" s="54">
        <v>0</v>
      </c>
      <c r="I1012" s="55">
        <f t="shared" si="46"/>
        <v>2614645013</v>
      </c>
      <c r="J1012" s="54">
        <v>-296418</v>
      </c>
      <c r="K1012" s="56">
        <f t="shared" si="47"/>
        <v>2614348595</v>
      </c>
      <c r="L1012" s="37">
        <v>0</v>
      </c>
      <c r="M1012" s="69"/>
      <c r="O1012" s="38" t="str">
        <f>IF([1]totrevprm!O1013="","",[1]totrevprm!O1013)</f>
        <v/>
      </c>
    </row>
    <row r="1013" spans="1:26">
      <c r="A1013" s="50" t="s">
        <v>54</v>
      </c>
      <c r="B1013" s="51" t="s">
        <v>785</v>
      </c>
      <c r="C1013" s="52" t="s">
        <v>731</v>
      </c>
      <c r="D1013" s="53">
        <v>1996</v>
      </c>
      <c r="E1013" s="54">
        <v>573723813</v>
      </c>
      <c r="F1013" s="54">
        <v>672044173</v>
      </c>
      <c r="G1013" s="54">
        <v>984252981</v>
      </c>
      <c r="H1013" s="54">
        <v>0</v>
      </c>
      <c r="I1013" s="55">
        <f t="shared" si="46"/>
        <v>2230020967</v>
      </c>
      <c r="J1013" s="54">
        <v>-6</v>
      </c>
      <c r="K1013" s="56">
        <f t="shared" si="47"/>
        <v>2230020961</v>
      </c>
      <c r="L1013" s="37">
        <v>0</v>
      </c>
      <c r="M1013" s="69"/>
      <c r="O1013" s="38" t="str">
        <f>IF([1]totrevprm!O1014="","",[1]totrevprm!O1014)</f>
        <v/>
      </c>
    </row>
    <row r="1014" spans="1:26">
      <c r="A1014" s="50" t="s">
        <v>54</v>
      </c>
      <c r="B1014" s="51" t="s">
        <v>785</v>
      </c>
      <c r="C1014" s="52" t="s">
        <v>731</v>
      </c>
      <c r="D1014" s="53">
        <v>1997</v>
      </c>
      <c r="E1014" s="54">
        <v>574539177</v>
      </c>
      <c r="F1014" s="54">
        <v>814868462</v>
      </c>
      <c r="G1014" s="54">
        <v>1034818205</v>
      </c>
      <c r="H1014" s="54">
        <v>0</v>
      </c>
      <c r="I1014" s="55">
        <f t="shared" si="46"/>
        <v>2424225844</v>
      </c>
      <c r="J1014" s="54">
        <v>-75124</v>
      </c>
      <c r="K1014" s="56">
        <f t="shared" si="47"/>
        <v>2424150720</v>
      </c>
      <c r="L1014" s="37">
        <v>0</v>
      </c>
      <c r="M1014" s="69"/>
      <c r="O1014" s="38" t="str">
        <f>IF([1]totrevprm!O1015="","",[1]totrevprm!O1015)</f>
        <v/>
      </c>
    </row>
    <row r="1015" spans="1:26">
      <c r="A1015" s="50" t="s">
        <v>54</v>
      </c>
      <c r="B1015" s="51" t="s">
        <v>785</v>
      </c>
      <c r="C1015" s="52" t="s">
        <v>731</v>
      </c>
      <c r="D1015" s="53">
        <v>1998</v>
      </c>
      <c r="E1015" s="54">
        <v>582942458</v>
      </c>
      <c r="F1015" s="54">
        <v>782597180</v>
      </c>
      <c r="G1015" s="54">
        <v>1122058076</v>
      </c>
      <c r="H1015" s="54">
        <v>0</v>
      </c>
      <c r="I1015" s="55">
        <f t="shared" si="46"/>
        <v>2487597714</v>
      </c>
      <c r="J1015" s="54">
        <v>-5005885</v>
      </c>
      <c r="K1015" s="56">
        <f t="shared" si="47"/>
        <v>2482591829</v>
      </c>
      <c r="L1015" s="37">
        <v>0</v>
      </c>
      <c r="M1015" s="69"/>
      <c r="O1015" s="38" t="str">
        <f>IF([1]totrevprm!O1016="","",[1]totrevprm!O1016)</f>
        <v/>
      </c>
    </row>
    <row r="1016" spans="1:26">
      <c r="A1016" s="50" t="s">
        <v>54</v>
      </c>
      <c r="B1016" s="51" t="s">
        <v>785</v>
      </c>
      <c r="C1016" s="52" t="s">
        <v>731</v>
      </c>
      <c r="D1016" s="53">
        <v>1999</v>
      </c>
      <c r="E1016" s="54">
        <v>577215782</v>
      </c>
      <c r="F1016" s="54">
        <v>814694416</v>
      </c>
      <c r="G1016" s="54">
        <v>1223157898</v>
      </c>
      <c r="H1016" s="54">
        <v>0</v>
      </c>
      <c r="I1016" s="55">
        <f t="shared" si="46"/>
        <v>2615068096</v>
      </c>
      <c r="J1016" s="54">
        <v>-36919083</v>
      </c>
      <c r="K1016" s="56">
        <f t="shared" si="47"/>
        <v>2578149013</v>
      </c>
      <c r="L1016" s="37">
        <v>0</v>
      </c>
      <c r="M1016" s="69"/>
      <c r="O1016" s="38" t="str">
        <f>IF([1]totrevprm!O1017="","",[1]totrevprm!O1017)</f>
        <v/>
      </c>
    </row>
    <row r="1017" spans="1:26">
      <c r="A1017" s="50" t="s">
        <v>54</v>
      </c>
      <c r="B1017" s="51" t="s">
        <v>785</v>
      </c>
      <c r="C1017" s="52" t="s">
        <v>731</v>
      </c>
      <c r="D1017" s="53">
        <v>2000</v>
      </c>
      <c r="E1017" s="54">
        <v>641780187</v>
      </c>
      <c r="F1017" s="54">
        <v>1019551159</v>
      </c>
      <c r="G1017" s="54">
        <v>1409656259</v>
      </c>
      <c r="H1017" s="54">
        <v>0</v>
      </c>
      <c r="I1017" s="55">
        <f t="shared" si="46"/>
        <v>3070987605</v>
      </c>
      <c r="J1017" s="54">
        <v>-165564</v>
      </c>
      <c r="K1017" s="56">
        <f t="shared" si="47"/>
        <v>3070822041</v>
      </c>
      <c r="L1017" s="37">
        <v>0</v>
      </c>
      <c r="M1017" s="69"/>
      <c r="O1017" s="38" t="str">
        <f>IF([1]totrevprm!O1018="","",[1]totrevprm!O1018)</f>
        <v/>
      </c>
      <c r="V1017" s="38" t="s">
        <v>785</v>
      </c>
      <c r="W1017" s="58">
        <v>1208618</v>
      </c>
      <c r="X1017" s="58">
        <v>6183842</v>
      </c>
      <c r="Y1017" s="58">
        <v>13644512</v>
      </c>
      <c r="Z1017" s="58">
        <v>0</v>
      </c>
    </row>
    <row r="1018" spans="1:26">
      <c r="A1018" s="50" t="s">
        <v>54</v>
      </c>
      <c r="B1018" s="51" t="s">
        <v>785</v>
      </c>
      <c r="C1018" s="52" t="s">
        <v>786</v>
      </c>
      <c r="D1018" s="53">
        <v>2001</v>
      </c>
      <c r="E1018" s="54">
        <v>699068536</v>
      </c>
      <c r="F1018" s="54">
        <v>1057962159</v>
      </c>
      <c r="G1018" s="54">
        <v>1548095887</v>
      </c>
      <c r="H1018" s="54">
        <v>0</v>
      </c>
      <c r="I1018" s="55">
        <f t="shared" si="46"/>
        <v>3305126582</v>
      </c>
      <c r="J1018" s="54">
        <v>-264567</v>
      </c>
      <c r="K1018" s="56">
        <f t="shared" si="47"/>
        <v>3304862015</v>
      </c>
      <c r="L1018" s="37">
        <v>0</v>
      </c>
      <c r="M1018" s="69"/>
      <c r="O1018" s="38" t="str">
        <f>IF([1]totrevprm!O1019="","",[1]totrevprm!O1019)</f>
        <v/>
      </c>
      <c r="V1018" s="38"/>
      <c r="W1018" s="58"/>
      <c r="X1018" s="58"/>
      <c r="Y1018" s="58"/>
      <c r="Z1018" s="58"/>
    </row>
    <row r="1019" spans="1:26">
      <c r="A1019" s="50" t="s">
        <v>54</v>
      </c>
      <c r="B1019" s="51" t="s">
        <v>785</v>
      </c>
      <c r="C1019" s="52" t="s">
        <v>731</v>
      </c>
      <c r="D1019" s="53">
        <v>2002</v>
      </c>
      <c r="E1019" s="54">
        <v>627399997</v>
      </c>
      <c r="F1019" s="54">
        <v>1179581157</v>
      </c>
      <c r="G1019" s="54">
        <v>1593082767</v>
      </c>
      <c r="H1019" s="54">
        <v>0</v>
      </c>
      <c r="I1019" s="55">
        <f t="shared" si="46"/>
        <v>3400063921</v>
      </c>
      <c r="J1019" s="54">
        <v>-693</v>
      </c>
      <c r="K1019" s="56">
        <f t="shared" si="47"/>
        <v>3400063228</v>
      </c>
      <c r="L1019" s="37">
        <v>0</v>
      </c>
      <c r="M1019" s="69"/>
      <c r="O1019" s="38" t="str">
        <f>IF([1]totrevprm!O1020="","",[1]totrevprm!O1020)</f>
        <v/>
      </c>
      <c r="V1019" s="38"/>
      <c r="W1019" s="58"/>
      <c r="X1019" s="58"/>
      <c r="Y1019" s="58"/>
      <c r="Z1019" s="58"/>
    </row>
    <row r="1020" spans="1:26">
      <c r="A1020" s="50" t="s">
        <v>54</v>
      </c>
      <c r="B1020" s="51" t="s">
        <v>785</v>
      </c>
      <c r="C1020" s="52" t="s">
        <v>731</v>
      </c>
      <c r="D1020" s="53">
        <v>2003</v>
      </c>
      <c r="E1020" s="59">
        <v>664892755</v>
      </c>
      <c r="F1020" s="59">
        <v>1082884777</v>
      </c>
      <c r="G1020" s="59">
        <v>1690586227</v>
      </c>
      <c r="H1020" s="54">
        <v>0</v>
      </c>
      <c r="I1020" s="55">
        <f t="shared" si="46"/>
        <v>3438363759</v>
      </c>
      <c r="J1020" s="54">
        <v>-254955</v>
      </c>
      <c r="K1020" s="56">
        <f t="shared" si="47"/>
        <v>3438108804</v>
      </c>
      <c r="L1020" s="37">
        <v>0</v>
      </c>
      <c r="M1020" s="69"/>
      <c r="O1020" s="38" t="str">
        <f>IF([1]totrevprm!O1021="","",[1]totrevprm!O1021)</f>
        <v/>
      </c>
      <c r="V1020" s="38"/>
      <c r="W1020" s="58"/>
      <c r="X1020" s="58"/>
      <c r="Y1020" s="58"/>
      <c r="Z1020" s="58"/>
    </row>
    <row r="1021" spans="1:26">
      <c r="A1021" s="50" t="s">
        <v>54</v>
      </c>
      <c r="B1021" s="51" t="s">
        <v>785</v>
      </c>
      <c r="C1021" s="52" t="s">
        <v>731</v>
      </c>
      <c r="D1021" s="53">
        <v>2004</v>
      </c>
      <c r="E1021" s="59">
        <v>641792476</v>
      </c>
      <c r="F1021" s="59">
        <v>1226532114</v>
      </c>
      <c r="G1021" s="59">
        <v>1547901181</v>
      </c>
      <c r="H1021" s="54">
        <v>0</v>
      </c>
      <c r="I1021" s="55">
        <f t="shared" si="46"/>
        <v>3416225771</v>
      </c>
      <c r="J1021" s="54">
        <v>-183688</v>
      </c>
      <c r="K1021" s="56">
        <f t="shared" si="47"/>
        <v>3416042083</v>
      </c>
      <c r="L1021" s="37">
        <v>0</v>
      </c>
      <c r="M1021" s="69"/>
      <c r="O1021" s="38" t="str">
        <f>IF([1]totrevprm!O1022="","",[1]totrevprm!O1022)</f>
        <v/>
      </c>
      <c r="V1021" s="38"/>
      <c r="W1021" s="58"/>
      <c r="X1021" s="58"/>
      <c r="Y1021" s="58"/>
      <c r="Z1021" s="58"/>
    </row>
    <row r="1022" spans="1:26">
      <c r="A1022" s="50" t="s">
        <v>54</v>
      </c>
      <c r="B1022" s="51" t="s">
        <v>785</v>
      </c>
      <c r="C1022" s="52"/>
      <c r="D1022" s="53">
        <v>2005</v>
      </c>
      <c r="E1022" s="59">
        <v>650727258</v>
      </c>
      <c r="F1022" s="59">
        <v>876832903</v>
      </c>
      <c r="G1022" s="59">
        <v>1772020498.4300001</v>
      </c>
      <c r="H1022" s="54">
        <v>0</v>
      </c>
      <c r="I1022" s="55">
        <f t="shared" si="46"/>
        <v>3299580659.4300003</v>
      </c>
      <c r="J1022" s="54">
        <v>-828913</v>
      </c>
      <c r="K1022" s="56">
        <f t="shared" si="47"/>
        <v>3298751746.4300003</v>
      </c>
      <c r="L1022" s="37">
        <v>0</v>
      </c>
      <c r="M1022" s="69"/>
      <c r="O1022" s="38" t="str">
        <f>IF([1]totrevprm!O1023="","",[1]totrevprm!O1023)</f>
        <v/>
      </c>
      <c r="V1022" s="38"/>
      <c r="W1022" s="58"/>
      <c r="X1022" s="58"/>
      <c r="Y1022" s="58"/>
      <c r="Z1022" s="58"/>
    </row>
    <row r="1023" spans="1:26">
      <c r="A1023" s="50" t="s">
        <v>54</v>
      </c>
      <c r="B1023" s="51" t="s">
        <v>785</v>
      </c>
      <c r="C1023" s="52"/>
      <c r="D1023" s="53">
        <v>2006</v>
      </c>
      <c r="E1023" s="37">
        <v>704163418</v>
      </c>
      <c r="F1023" s="37">
        <v>991369457</v>
      </c>
      <c r="G1023" s="37">
        <v>1960362202</v>
      </c>
      <c r="H1023" s="37">
        <v>0</v>
      </c>
      <c r="I1023" s="55">
        <f t="shared" si="46"/>
        <v>3655895077</v>
      </c>
      <c r="J1023" s="54">
        <v>-1092032</v>
      </c>
      <c r="K1023" s="56">
        <f t="shared" si="47"/>
        <v>3654803045</v>
      </c>
      <c r="L1023" s="37">
        <v>0</v>
      </c>
      <c r="M1023" s="69"/>
      <c r="O1023" s="38" t="str">
        <f>IF([1]totrevprm!O1024="","",[1]totrevprm!O1024)</f>
        <v/>
      </c>
      <c r="V1023" s="38"/>
      <c r="W1023" s="58"/>
      <c r="X1023" s="58"/>
      <c r="Y1023" s="58"/>
      <c r="Z1023" s="58"/>
    </row>
    <row r="1024" spans="1:26">
      <c r="A1024" s="50" t="s">
        <v>54</v>
      </c>
      <c r="B1024" s="51" t="s">
        <v>785</v>
      </c>
      <c r="C1024" s="52"/>
      <c r="D1024" s="53">
        <v>2007</v>
      </c>
      <c r="E1024" s="37">
        <v>736930696</v>
      </c>
      <c r="F1024" s="37">
        <v>873263967</v>
      </c>
      <c r="G1024" s="37">
        <v>2072492924</v>
      </c>
      <c r="H1024" s="37">
        <v>0</v>
      </c>
      <c r="I1024" s="55">
        <f t="shared" si="46"/>
        <v>3682687587</v>
      </c>
      <c r="J1024" s="54">
        <v>-558</v>
      </c>
      <c r="K1024" s="56">
        <f t="shared" si="47"/>
        <v>3682687029</v>
      </c>
      <c r="L1024" s="37">
        <v>0</v>
      </c>
      <c r="M1024" s="69"/>
      <c r="O1024" s="38" t="str">
        <f>IF([1]totrevprm!O1025="","",[1]totrevprm!O1025)</f>
        <v/>
      </c>
      <c r="V1024" s="38"/>
      <c r="W1024" s="58"/>
      <c r="X1024" s="58"/>
      <c r="Y1024" s="58"/>
      <c r="Z1024" s="58"/>
    </row>
    <row r="1025" spans="1:26">
      <c r="A1025" s="50" t="s">
        <v>54</v>
      </c>
      <c r="B1025" s="51" t="s">
        <v>785</v>
      </c>
      <c r="C1025" s="52"/>
      <c r="D1025" s="53">
        <v>2008</v>
      </c>
      <c r="E1025" s="37">
        <v>783140776</v>
      </c>
      <c r="F1025" s="37">
        <v>1104225894</v>
      </c>
      <c r="G1025" s="37">
        <v>2159142526</v>
      </c>
      <c r="H1025" s="37">
        <v>0</v>
      </c>
      <c r="I1025" s="55">
        <f t="shared" si="46"/>
        <v>4046509196</v>
      </c>
      <c r="J1025" s="54">
        <v>-39960</v>
      </c>
      <c r="K1025" s="56">
        <f t="shared" si="47"/>
        <v>4046469236</v>
      </c>
      <c r="L1025" s="37">
        <v>0</v>
      </c>
      <c r="M1025" s="69"/>
      <c r="O1025" s="38" t="str">
        <f>IF([1]totrevprm!O1026="","",[1]totrevprm!O1026)</f>
        <v/>
      </c>
      <c r="V1025" s="38"/>
      <c r="W1025" s="58"/>
      <c r="X1025" s="58"/>
      <c r="Y1025" s="58"/>
      <c r="Z1025" s="58"/>
    </row>
    <row r="1026" spans="1:26">
      <c r="A1026" s="50" t="s">
        <v>54</v>
      </c>
      <c r="B1026" s="51" t="s">
        <v>785</v>
      </c>
      <c r="C1026" s="52"/>
      <c r="D1026" s="53">
        <v>2009</v>
      </c>
      <c r="E1026" s="37">
        <v>805922664</v>
      </c>
      <c r="F1026" s="37">
        <v>1108297962</v>
      </c>
      <c r="G1026" s="37">
        <v>2266273577</v>
      </c>
      <c r="H1026" s="37">
        <v>0</v>
      </c>
      <c r="I1026" s="55">
        <f t="shared" si="46"/>
        <v>4180494203</v>
      </c>
      <c r="J1026" s="54">
        <v>-28574</v>
      </c>
      <c r="K1026" s="56">
        <f t="shared" si="47"/>
        <v>4180465629</v>
      </c>
      <c r="L1026" s="37">
        <v>0</v>
      </c>
      <c r="M1026" s="69"/>
      <c r="O1026" s="38" t="str">
        <f>IF([1]totrevprm!O1027="","",[1]totrevprm!O1027)</f>
        <v/>
      </c>
      <c r="V1026" s="38"/>
      <c r="W1026" s="58"/>
      <c r="X1026" s="58"/>
      <c r="Y1026" s="58"/>
      <c r="Z1026" s="58"/>
    </row>
    <row r="1027" spans="1:26">
      <c r="A1027" s="50" t="s">
        <v>54</v>
      </c>
      <c r="B1027" s="51" t="s">
        <v>785</v>
      </c>
      <c r="C1027" s="52"/>
      <c r="D1027" s="53">
        <v>2010</v>
      </c>
      <c r="E1027" s="37">
        <v>851417024</v>
      </c>
      <c r="F1027" s="37">
        <v>1019033620</v>
      </c>
      <c r="G1027" s="37">
        <v>2401331471</v>
      </c>
      <c r="H1027" s="37">
        <v>0</v>
      </c>
      <c r="I1027" s="55">
        <f t="shared" si="46"/>
        <v>4271782115</v>
      </c>
      <c r="J1027" s="54">
        <v>-23645</v>
      </c>
      <c r="K1027" s="56">
        <f t="shared" si="47"/>
        <v>4271758470</v>
      </c>
      <c r="L1027" s="37">
        <v>0</v>
      </c>
      <c r="M1027" s="69"/>
      <c r="O1027" s="38" t="str">
        <f>IF([1]totrevprm!O1028="","",[1]totrevprm!O1028)</f>
        <v/>
      </c>
      <c r="V1027" s="38"/>
      <c r="W1027" s="58"/>
      <c r="X1027" s="58"/>
      <c r="Y1027" s="58"/>
      <c r="Z1027" s="58"/>
    </row>
    <row r="1028" spans="1:26">
      <c r="A1028" s="50" t="s">
        <v>54</v>
      </c>
      <c r="B1028" s="51" t="s">
        <v>785</v>
      </c>
      <c r="C1028" s="52"/>
      <c r="D1028" s="53">
        <v>2011</v>
      </c>
      <c r="E1028" s="37">
        <v>864540536</v>
      </c>
      <c r="F1028" s="37">
        <v>1099749707</v>
      </c>
      <c r="G1028" s="37">
        <v>2455119787.7600002</v>
      </c>
      <c r="H1028" s="37">
        <v>0</v>
      </c>
      <c r="I1028" s="55">
        <f t="shared" si="46"/>
        <v>4419410030.7600002</v>
      </c>
      <c r="J1028" s="54">
        <v>-9</v>
      </c>
      <c r="K1028" s="56">
        <f t="shared" si="47"/>
        <v>4419410021.7600002</v>
      </c>
      <c r="L1028" s="37">
        <v>0</v>
      </c>
      <c r="M1028" s="69"/>
      <c r="O1028" s="38" t="str">
        <f>IF([1]totrevprm!O1029="","",[1]totrevprm!O1029)</f>
        <v/>
      </c>
      <c r="V1028" s="38"/>
      <c r="W1028" s="58"/>
      <c r="X1028" s="58"/>
      <c r="Y1028" s="58"/>
      <c r="Z1028" s="58"/>
    </row>
    <row r="1029" spans="1:26">
      <c r="A1029" s="50" t="s">
        <v>54</v>
      </c>
      <c r="B1029" s="51" t="s">
        <v>785</v>
      </c>
      <c r="C1029" s="52"/>
      <c r="D1029" s="53">
        <v>2012</v>
      </c>
      <c r="E1029" s="37">
        <v>930217473</v>
      </c>
      <c r="F1029" s="37">
        <v>898697200</v>
      </c>
      <c r="G1029" s="37">
        <v>2412900067</v>
      </c>
      <c r="H1029" s="37">
        <v>0</v>
      </c>
      <c r="I1029" s="55">
        <f t="shared" si="46"/>
        <v>4241814740</v>
      </c>
      <c r="J1029" s="54">
        <v>-3147</v>
      </c>
      <c r="K1029" s="56">
        <f t="shared" si="47"/>
        <v>4241811593</v>
      </c>
      <c r="L1029" s="37">
        <v>0</v>
      </c>
      <c r="M1029" s="69"/>
      <c r="O1029" s="38" t="str">
        <f>IF([1]totrevprm!O1030="","",[1]totrevprm!O1030)</f>
        <v/>
      </c>
      <c r="V1029" s="38"/>
      <c r="W1029" s="58"/>
      <c r="X1029" s="58"/>
      <c r="Y1029" s="58"/>
      <c r="Z1029" s="58"/>
    </row>
    <row r="1030" spans="1:26">
      <c r="A1030" s="50" t="s">
        <v>54</v>
      </c>
      <c r="B1030" s="51" t="s">
        <v>785</v>
      </c>
      <c r="C1030" s="52"/>
      <c r="D1030" s="53">
        <v>2013</v>
      </c>
      <c r="E1030" s="37">
        <v>906317422</v>
      </c>
      <c r="F1030" s="37">
        <v>851131864</v>
      </c>
      <c r="G1030" s="37">
        <v>2465916726</v>
      </c>
      <c r="H1030" s="37">
        <v>0</v>
      </c>
      <c r="I1030" s="55">
        <f t="shared" si="46"/>
        <v>4223366012</v>
      </c>
      <c r="J1030" s="54">
        <v>-1535476</v>
      </c>
      <c r="K1030" s="56">
        <f t="shared" si="47"/>
        <v>4221830536</v>
      </c>
      <c r="L1030" s="37">
        <v>0</v>
      </c>
      <c r="M1030" s="69"/>
      <c r="O1030" s="38" t="str">
        <f>IF([1]totrevprm!O1031="","",[1]totrevprm!O1031)</f>
        <v/>
      </c>
      <c r="V1030" s="38"/>
      <c r="W1030" s="58"/>
      <c r="X1030" s="58"/>
      <c r="Y1030" s="58"/>
      <c r="Z1030" s="58"/>
    </row>
    <row r="1031" spans="1:26">
      <c r="A1031" s="50" t="s">
        <v>54</v>
      </c>
      <c r="B1031" s="51" t="s">
        <v>785</v>
      </c>
      <c r="C1031" s="52"/>
      <c r="D1031" s="53">
        <v>2014</v>
      </c>
      <c r="E1031" s="37">
        <v>948029009</v>
      </c>
      <c r="F1031" s="37">
        <v>1018352993</v>
      </c>
      <c r="G1031" s="37">
        <v>2468984554.7600002</v>
      </c>
      <c r="H1031" s="37">
        <v>0</v>
      </c>
      <c r="I1031" s="55">
        <f t="shared" si="46"/>
        <v>4435366556.7600002</v>
      </c>
      <c r="J1031" s="54">
        <v>-3473111</v>
      </c>
      <c r="K1031" s="56">
        <f t="shared" si="47"/>
        <v>4431893445.7600002</v>
      </c>
      <c r="L1031" s="37">
        <v>0</v>
      </c>
      <c r="M1031" s="69"/>
      <c r="O1031" s="38" t="str">
        <f>IF([1]totrevprm!O1032="","",[1]totrevprm!O1032)</f>
        <v/>
      </c>
      <c r="V1031" s="38"/>
      <c r="W1031" s="58"/>
      <c r="X1031" s="58"/>
      <c r="Y1031" s="58"/>
      <c r="Z1031" s="58"/>
    </row>
    <row r="1032" spans="1:26">
      <c r="A1032" s="50" t="s">
        <v>54</v>
      </c>
      <c r="B1032" s="51" t="s">
        <v>785</v>
      </c>
      <c r="C1032" s="52"/>
      <c r="D1032" s="53">
        <v>2015</v>
      </c>
      <c r="E1032" s="37">
        <v>978933371</v>
      </c>
      <c r="F1032" s="37">
        <v>989867901</v>
      </c>
      <c r="G1032" s="37">
        <v>2541284799</v>
      </c>
      <c r="H1032" s="37">
        <v>0</v>
      </c>
      <c r="I1032" s="55">
        <f t="shared" si="46"/>
        <v>4510086071</v>
      </c>
      <c r="J1032" s="54">
        <v>-84408</v>
      </c>
      <c r="K1032" s="56">
        <f t="shared" si="47"/>
        <v>4510001663</v>
      </c>
      <c r="L1032" s="37">
        <v>0</v>
      </c>
      <c r="M1032" s="69"/>
      <c r="O1032" s="38" t="str">
        <f>IF([1]totrevprm!O1033="","",[1]totrevprm!O1033)</f>
        <v/>
      </c>
      <c r="P1032" s="35">
        <v>145155673.9928301</v>
      </c>
      <c r="Q1032" s="35">
        <v>141929650</v>
      </c>
      <c r="V1032" s="38"/>
      <c r="W1032" s="58"/>
      <c r="X1032" s="58"/>
      <c r="Y1032" s="58"/>
      <c r="Z1032" s="58"/>
    </row>
    <row r="1033" spans="1:26">
      <c r="A1033" s="50" t="s">
        <v>54</v>
      </c>
      <c r="B1033" s="51" t="s">
        <v>785</v>
      </c>
      <c r="C1033" s="52"/>
      <c r="D1033" s="53">
        <v>2016</v>
      </c>
      <c r="E1033" s="37">
        <v>1043260936</v>
      </c>
      <c r="F1033" s="37">
        <v>1171672215</v>
      </c>
      <c r="G1033" s="37">
        <v>2690599497</v>
      </c>
      <c r="H1033" s="37">
        <v>0</v>
      </c>
      <c r="I1033" s="55">
        <f t="shared" si="46"/>
        <v>4905532648</v>
      </c>
      <c r="J1033" s="54">
        <v>-2043005</v>
      </c>
      <c r="K1033" s="56">
        <f t="shared" si="47"/>
        <v>4903489643</v>
      </c>
      <c r="L1033" s="37">
        <v>0</v>
      </c>
      <c r="M1033" s="69"/>
      <c r="O1033" s="38" t="str">
        <f>IF([1]totrevprm!O1034="","",[1]totrevprm!O1034)</f>
        <v/>
      </c>
      <c r="P1033" s="35">
        <v>149806346.73085791</v>
      </c>
      <c r="Q1033" s="35">
        <v>144908005.34999999</v>
      </c>
      <c r="V1033" s="38"/>
      <c r="W1033" s="58"/>
      <c r="X1033" s="58"/>
      <c r="Y1033" s="58"/>
      <c r="Z1033" s="58"/>
    </row>
    <row r="1034" spans="1:26">
      <c r="A1034" s="50" t="s">
        <v>54</v>
      </c>
      <c r="B1034" s="51" t="s">
        <v>785</v>
      </c>
      <c r="C1034" s="52"/>
      <c r="D1034" s="53">
        <v>2017</v>
      </c>
      <c r="E1034" s="37">
        <v>1024974737</v>
      </c>
      <c r="F1034" s="37">
        <v>1108814595</v>
      </c>
      <c r="G1034" s="37">
        <v>3020478333.0599999</v>
      </c>
      <c r="H1034" s="37">
        <v>0</v>
      </c>
      <c r="I1034" s="55">
        <f t="shared" si="46"/>
        <v>5154267665.0599995</v>
      </c>
      <c r="J1034" s="54">
        <v>-25073821</v>
      </c>
      <c r="K1034" s="56">
        <f t="shared" si="47"/>
        <v>5129193844.0599995</v>
      </c>
      <c r="L1034" s="37">
        <v>0</v>
      </c>
      <c r="M1034" s="69" t="s">
        <v>749</v>
      </c>
      <c r="N1034" t="s">
        <v>708</v>
      </c>
      <c r="O1034" s="38" t="str">
        <f>IF([1]totrevprm!O1035="","",[1]totrevprm!O1035)</f>
        <v/>
      </c>
      <c r="P1034" s="35">
        <v>157866812.29551265</v>
      </c>
      <c r="Q1034" s="35">
        <v>139352211.28</v>
      </c>
      <c r="R1034" s="72"/>
      <c r="S1034" s="60">
        <v>310267256</v>
      </c>
      <c r="T1034" s="36" t="s">
        <v>717</v>
      </c>
      <c r="U1034" s="36">
        <v>13</v>
      </c>
      <c r="V1034" s="38"/>
      <c r="W1034" s="58"/>
      <c r="X1034" s="58"/>
      <c r="Y1034" s="60">
        <v>3330745589.0599999</v>
      </c>
      <c r="Z1034" s="58"/>
    </row>
    <row r="1035" spans="1:26">
      <c r="A1035" s="50" t="s">
        <v>54</v>
      </c>
      <c r="B1035" s="51" t="s">
        <v>785</v>
      </c>
      <c r="C1035" s="52"/>
      <c r="D1035" s="53">
        <v>2018</v>
      </c>
      <c r="E1035" s="37">
        <v>1067148065</v>
      </c>
      <c r="F1035" s="37">
        <v>1451857371</v>
      </c>
      <c r="G1035" s="37">
        <v>3549062413.7200003</v>
      </c>
      <c r="H1035" s="37">
        <v>0</v>
      </c>
      <c r="I1035" s="55">
        <f t="shared" si="46"/>
        <v>6068067849.7200003</v>
      </c>
      <c r="J1035" s="54">
        <v>-41250576</v>
      </c>
      <c r="K1035" s="56">
        <f t="shared" si="47"/>
        <v>6026817273.7200003</v>
      </c>
      <c r="L1035" s="60">
        <v>0</v>
      </c>
      <c r="M1035" s="69" t="s">
        <v>749</v>
      </c>
      <c r="N1035" t="s">
        <v>708</v>
      </c>
      <c r="O1035" s="38" t="str">
        <f>IF([1]totrevprm!O1036="","",[1]totrevprm!O1036)</f>
        <v/>
      </c>
      <c r="P1035" s="35">
        <v>160385216.15105763</v>
      </c>
      <c r="Q1035" s="35">
        <v>138039153.863958</v>
      </c>
      <c r="R1035" s="72"/>
      <c r="S1035" s="60">
        <v>21035961</v>
      </c>
      <c r="V1035" s="38"/>
      <c r="W1035" s="58"/>
      <c r="X1035" s="58"/>
      <c r="Y1035" s="60">
        <v>3330745589.0599999</v>
      </c>
      <c r="Z1035" s="58"/>
    </row>
    <row r="1036" spans="1:26">
      <c r="A1036" s="50" t="s">
        <v>54</v>
      </c>
      <c r="B1036" s="51" t="s">
        <v>785</v>
      </c>
      <c r="C1036" s="52"/>
      <c r="D1036" s="53">
        <v>2019</v>
      </c>
      <c r="E1036" s="37">
        <v>1093035605</v>
      </c>
      <c r="F1036" s="37">
        <v>1545186481</v>
      </c>
      <c r="G1036" s="37">
        <v>3548852976.8200002</v>
      </c>
      <c r="H1036" s="37">
        <v>0</v>
      </c>
      <c r="I1036" s="55">
        <f t="shared" si="46"/>
        <v>6187075062.8199997</v>
      </c>
      <c r="J1036" s="54">
        <v>-4394444</v>
      </c>
      <c r="K1036" s="56">
        <f t="shared" si="47"/>
        <v>6182680618.8199997</v>
      </c>
      <c r="L1036" s="60">
        <v>0</v>
      </c>
      <c r="M1036" s="69" t="s">
        <v>771</v>
      </c>
      <c r="N1036" t="s">
        <v>708</v>
      </c>
      <c r="O1036" s="38" t="str">
        <f>IF([1]totrevprm!O1037="","",[1]totrevprm!O1037)</f>
        <v>Yes</v>
      </c>
      <c r="P1036" s="35">
        <v>170456615.12023172</v>
      </c>
      <c r="Q1036" s="35">
        <v>138230745.48638648</v>
      </c>
      <c r="R1036" s="72"/>
      <c r="S1036" s="60"/>
      <c r="V1036" s="38"/>
      <c r="W1036" s="58"/>
      <c r="X1036" s="58"/>
      <c r="Z1036" s="58"/>
    </row>
    <row r="1037" spans="1:26">
      <c r="A1037" s="50" t="s">
        <v>54</v>
      </c>
      <c r="B1037" s="51" t="s">
        <v>785</v>
      </c>
      <c r="C1037" s="52"/>
      <c r="D1037" s="53">
        <v>2020</v>
      </c>
      <c r="E1037" s="37">
        <v>1071199535</v>
      </c>
      <c r="F1037" s="37">
        <v>1411190559</v>
      </c>
      <c r="G1037" s="37">
        <v>3481573416</v>
      </c>
      <c r="H1037" s="37">
        <v>0</v>
      </c>
      <c r="I1037" s="55">
        <f t="shared" si="46"/>
        <v>5963963510</v>
      </c>
      <c r="J1037" s="54">
        <v>-287</v>
      </c>
      <c r="K1037" s="56">
        <f t="shared" si="47"/>
        <v>5963963223</v>
      </c>
      <c r="L1037" s="60">
        <v>0</v>
      </c>
      <c r="M1037" s="69" t="s">
        <v>739</v>
      </c>
      <c r="N1037" t="s">
        <v>708</v>
      </c>
      <c r="O1037" s="38" t="str">
        <f>IF([1]totrevprm!O1038="","",[1]totrevprm!O1038)</f>
        <v/>
      </c>
      <c r="P1037" s="35">
        <v>173113453</v>
      </c>
      <c r="Q1037" s="35">
        <v>134722999</v>
      </c>
      <c r="R1037" s="72"/>
      <c r="S1037" s="60"/>
      <c r="V1037" s="38"/>
      <c r="W1037" s="58"/>
      <c r="X1037" s="58"/>
      <c r="Z1037" s="58"/>
    </row>
    <row r="1038" spans="1:26">
      <c r="A1038" s="50" t="s">
        <v>54</v>
      </c>
      <c r="B1038" s="51" t="s">
        <v>785</v>
      </c>
      <c r="C1038" s="52"/>
      <c r="D1038" s="53">
        <v>2021</v>
      </c>
      <c r="E1038" s="37">
        <v>1156341957</v>
      </c>
      <c r="F1038" s="37">
        <v>1576660579</v>
      </c>
      <c r="G1038" s="37">
        <v>3329746866</v>
      </c>
      <c r="H1038" s="37">
        <v>0</v>
      </c>
      <c r="I1038" s="55">
        <f t="shared" si="46"/>
        <v>6062749402</v>
      </c>
      <c r="J1038" s="60">
        <v>-8</v>
      </c>
      <c r="K1038" s="56">
        <f t="shared" si="47"/>
        <v>6062749394</v>
      </c>
      <c r="L1038" s="60">
        <v>0</v>
      </c>
      <c r="M1038" s="69" t="s">
        <v>739</v>
      </c>
      <c r="N1038" t="s">
        <v>708</v>
      </c>
      <c r="O1038" s="38"/>
      <c r="P1038" s="35">
        <v>167000937.34999999</v>
      </c>
      <c r="Q1038" s="35">
        <v>139044459</v>
      </c>
      <c r="R1038" s="72"/>
      <c r="S1038" s="60"/>
      <c r="V1038" s="38"/>
      <c r="W1038" s="58"/>
      <c r="X1038" s="58"/>
      <c r="Z1038" s="58"/>
    </row>
    <row r="1039" spans="1:26">
      <c r="A1039" s="50" t="s">
        <v>54</v>
      </c>
      <c r="B1039" s="51" t="s">
        <v>785</v>
      </c>
      <c r="C1039" s="52"/>
      <c r="D1039" s="53">
        <v>2022</v>
      </c>
      <c r="E1039" s="37">
        <v>1171650162</v>
      </c>
      <c r="F1039" s="37">
        <v>1895294560</v>
      </c>
      <c r="G1039" s="37">
        <v>3483071050</v>
      </c>
      <c r="H1039" s="37">
        <v>0</v>
      </c>
      <c r="I1039" s="55">
        <f t="shared" si="46"/>
        <v>6550015772</v>
      </c>
      <c r="J1039" s="60">
        <v>-1585112</v>
      </c>
      <c r="K1039" s="56">
        <f t="shared" si="47"/>
        <v>6548430660</v>
      </c>
      <c r="L1039" s="60">
        <v>0</v>
      </c>
      <c r="M1039" s="69" t="s">
        <v>739</v>
      </c>
      <c r="N1039" t="s">
        <v>708</v>
      </c>
      <c r="O1039" s="38" t="str">
        <f>IF([1]totrevprm!O1042="","",[1]totrevprm!O1042)</f>
        <v/>
      </c>
      <c r="P1039" s="60">
        <v>177915802</v>
      </c>
      <c r="Q1039" s="60">
        <v>140942631</v>
      </c>
    </row>
    <row r="1040" spans="1:26">
      <c r="A1040" s="50" t="s">
        <v>54</v>
      </c>
      <c r="B1040" s="51" t="s">
        <v>785</v>
      </c>
      <c r="C1040" s="52"/>
      <c r="D1040" s="53">
        <v>2023</v>
      </c>
      <c r="E1040" s="37">
        <v>1132195118</v>
      </c>
      <c r="F1040" s="37">
        <v>2227755127.2248998</v>
      </c>
      <c r="G1040" s="37">
        <v>3733612295.9899998</v>
      </c>
      <c r="H1040" s="37">
        <v>0</v>
      </c>
      <c r="I1040" s="55">
        <f t="shared" si="46"/>
        <v>7093562541.2148991</v>
      </c>
      <c r="J1040" s="60">
        <v>-6</v>
      </c>
      <c r="K1040" s="56">
        <f t="shared" si="47"/>
        <v>7093562535.2148991</v>
      </c>
      <c r="L1040" s="37">
        <v>0</v>
      </c>
      <c r="M1040" s="69" t="s">
        <v>739</v>
      </c>
      <c r="O1040" s="38"/>
      <c r="P1040" s="60">
        <v>185591376.87</v>
      </c>
      <c r="Q1040" s="60">
        <v>139388115</v>
      </c>
    </row>
    <row r="1041" spans="1:26">
      <c r="A1041" s="50"/>
      <c r="B1041" s="52"/>
      <c r="C1041" s="52"/>
      <c r="E1041" s="54"/>
      <c r="F1041" s="54"/>
      <c r="G1041" s="54"/>
      <c r="H1041" s="54"/>
      <c r="I1041" s="55"/>
      <c r="K1041" s="65"/>
      <c r="L1041" s="37"/>
      <c r="M1041" s="69"/>
      <c r="O1041" s="38"/>
    </row>
    <row r="1042" spans="1:26">
      <c r="A1042" s="50" t="s">
        <v>55</v>
      </c>
      <c r="B1042" s="51" t="s">
        <v>787</v>
      </c>
      <c r="C1042" s="52" t="s">
        <v>730</v>
      </c>
      <c r="D1042" s="53">
        <v>1988</v>
      </c>
      <c r="E1042" s="54">
        <v>188056206</v>
      </c>
      <c r="F1042" s="54">
        <v>159617086</v>
      </c>
      <c r="G1042" s="54">
        <v>239835297</v>
      </c>
      <c r="H1042" s="54">
        <v>0</v>
      </c>
      <c r="I1042" s="55">
        <f t="shared" si="46"/>
        <v>587508589</v>
      </c>
      <c r="J1042" s="54">
        <v>-28900998</v>
      </c>
      <c r="K1042" s="56">
        <f>SUM(I1042:J1042)</f>
        <v>558607591</v>
      </c>
      <c r="L1042" s="37">
        <v>0</v>
      </c>
      <c r="M1042" s="69"/>
      <c r="O1042" s="38" t="str">
        <f>IF([1]totrevprm!O1043="","",[1]totrevprm!O1043)</f>
        <v/>
      </c>
    </row>
    <row r="1043" spans="1:26">
      <c r="A1043" s="50" t="s">
        <v>55</v>
      </c>
      <c r="B1043" s="51" t="s">
        <v>787</v>
      </c>
      <c r="C1043" s="52" t="s">
        <v>731</v>
      </c>
      <c r="D1043" s="53">
        <v>1989</v>
      </c>
      <c r="E1043" s="54">
        <v>187685850</v>
      </c>
      <c r="F1043" s="54">
        <v>179579717</v>
      </c>
      <c r="G1043" s="54">
        <v>278227085</v>
      </c>
      <c r="H1043" s="54">
        <v>0</v>
      </c>
      <c r="I1043" s="55">
        <f t="shared" si="46"/>
        <v>645492652</v>
      </c>
      <c r="J1043" s="54">
        <v>-1194895</v>
      </c>
      <c r="K1043" s="56">
        <f t="shared" ref="K1043:K1077" si="48">SUM(I1043:J1043)</f>
        <v>644297757</v>
      </c>
      <c r="L1043" s="37">
        <v>0</v>
      </c>
      <c r="M1043" s="69"/>
      <c r="O1043" s="38" t="str">
        <f>IF([1]totrevprm!O1044="","",[1]totrevprm!O1044)</f>
        <v/>
      </c>
    </row>
    <row r="1044" spans="1:26">
      <c r="A1044" s="50" t="s">
        <v>55</v>
      </c>
      <c r="B1044" s="51" t="s">
        <v>787</v>
      </c>
      <c r="C1044" s="52" t="s">
        <v>731</v>
      </c>
      <c r="D1044" s="53">
        <v>1990</v>
      </c>
      <c r="E1044" s="54">
        <v>211526018</v>
      </c>
      <c r="F1044" s="54">
        <v>209381798.28</v>
      </c>
      <c r="G1044" s="54">
        <v>329258460</v>
      </c>
      <c r="H1044" s="54">
        <v>0</v>
      </c>
      <c r="I1044" s="55">
        <f t="shared" si="46"/>
        <v>750166276.27999997</v>
      </c>
      <c r="J1044" s="54">
        <v>-920769</v>
      </c>
      <c r="K1044" s="56">
        <f t="shared" si="48"/>
        <v>749245507.27999997</v>
      </c>
      <c r="L1044" s="37">
        <v>0</v>
      </c>
      <c r="M1044" s="69"/>
      <c r="O1044" s="38" t="str">
        <f>IF([1]totrevprm!O1045="","",[1]totrevprm!O1045)</f>
        <v/>
      </c>
    </row>
    <row r="1045" spans="1:26">
      <c r="A1045" s="50" t="s">
        <v>55</v>
      </c>
      <c r="B1045" s="51" t="s">
        <v>787</v>
      </c>
      <c r="C1045" s="52" t="s">
        <v>731</v>
      </c>
      <c r="D1045" s="53">
        <v>1991</v>
      </c>
      <c r="E1045" s="54">
        <v>235029695</v>
      </c>
      <c r="F1045" s="54">
        <v>257079113</v>
      </c>
      <c r="G1045" s="54">
        <v>347250712</v>
      </c>
      <c r="H1045" s="54">
        <v>0</v>
      </c>
      <c r="I1045" s="55">
        <f t="shared" si="46"/>
        <v>839359520</v>
      </c>
      <c r="J1045" s="54">
        <v>-226294</v>
      </c>
      <c r="K1045" s="56">
        <f t="shared" si="48"/>
        <v>839133226</v>
      </c>
      <c r="L1045" s="37">
        <v>0</v>
      </c>
      <c r="M1045" s="69"/>
      <c r="O1045" s="38" t="str">
        <f>IF([1]totrevprm!O1046="","",[1]totrevprm!O1046)</f>
        <v/>
      </c>
    </row>
    <row r="1046" spans="1:26">
      <c r="A1046" s="50" t="s">
        <v>55</v>
      </c>
      <c r="B1046" s="51" t="s">
        <v>787</v>
      </c>
      <c r="C1046" s="52" t="s">
        <v>731</v>
      </c>
      <c r="D1046" s="53">
        <v>1992</v>
      </c>
      <c r="E1046" s="54">
        <v>252421794</v>
      </c>
      <c r="F1046" s="54">
        <v>228215561.12</v>
      </c>
      <c r="G1046" s="54">
        <v>354132389</v>
      </c>
      <c r="H1046" s="54">
        <v>0</v>
      </c>
      <c r="I1046" s="55">
        <f t="shared" si="46"/>
        <v>834769744.12</v>
      </c>
      <c r="J1046" s="54">
        <v>-35809</v>
      </c>
      <c r="K1046" s="56">
        <f t="shared" si="48"/>
        <v>834733935.12</v>
      </c>
      <c r="L1046" s="37">
        <v>0</v>
      </c>
      <c r="M1046" s="69"/>
      <c r="O1046" s="38" t="str">
        <f>IF([1]totrevprm!O1047="","",[1]totrevprm!O1047)</f>
        <v/>
      </c>
    </row>
    <row r="1047" spans="1:26">
      <c r="A1047" s="50" t="s">
        <v>55</v>
      </c>
      <c r="B1047" s="51" t="s">
        <v>787</v>
      </c>
      <c r="C1047" s="52" t="s">
        <v>731</v>
      </c>
      <c r="D1047" s="53">
        <v>1993</v>
      </c>
      <c r="E1047" s="54">
        <v>259412256</v>
      </c>
      <c r="F1047" s="54">
        <v>224454266</v>
      </c>
      <c r="G1047" s="54">
        <v>382539332</v>
      </c>
      <c r="H1047" s="54">
        <v>0</v>
      </c>
      <c r="I1047" s="55">
        <f t="shared" si="46"/>
        <v>866405854</v>
      </c>
      <c r="J1047" s="54">
        <v>-43575</v>
      </c>
      <c r="K1047" s="56">
        <f t="shared" si="48"/>
        <v>866362279</v>
      </c>
      <c r="L1047" s="37">
        <v>0</v>
      </c>
      <c r="M1047" s="69"/>
      <c r="O1047" s="38" t="str">
        <f>IF([1]totrevprm!O1048="","",[1]totrevprm!O1048)</f>
        <v/>
      </c>
    </row>
    <row r="1048" spans="1:26">
      <c r="A1048" s="50" t="s">
        <v>55</v>
      </c>
      <c r="B1048" s="51" t="s">
        <v>787</v>
      </c>
      <c r="C1048" s="52" t="s">
        <v>731</v>
      </c>
      <c r="D1048" s="53">
        <v>1994</v>
      </c>
      <c r="E1048" s="54">
        <v>303621694</v>
      </c>
      <c r="F1048" s="54">
        <v>330815670</v>
      </c>
      <c r="G1048" s="54">
        <v>398438708</v>
      </c>
      <c r="H1048" s="54">
        <v>0</v>
      </c>
      <c r="I1048" s="55">
        <f t="shared" si="46"/>
        <v>1032876072</v>
      </c>
      <c r="J1048" s="54">
        <v>-1207926</v>
      </c>
      <c r="K1048" s="56">
        <f t="shared" si="48"/>
        <v>1031668146</v>
      </c>
      <c r="L1048" s="37">
        <v>0</v>
      </c>
      <c r="M1048" s="69"/>
      <c r="O1048" s="38" t="str">
        <f>IF([1]totrevprm!O1049="","",[1]totrevprm!O1049)</f>
        <v/>
      </c>
    </row>
    <row r="1049" spans="1:26">
      <c r="A1049" s="50" t="s">
        <v>55</v>
      </c>
      <c r="B1049" s="51" t="s">
        <v>787</v>
      </c>
      <c r="C1049" s="52" t="s">
        <v>731</v>
      </c>
      <c r="D1049" s="53">
        <v>1995</v>
      </c>
      <c r="E1049" s="54">
        <v>328707652</v>
      </c>
      <c r="F1049" s="54">
        <v>331575221</v>
      </c>
      <c r="G1049" s="54">
        <v>423068962</v>
      </c>
      <c r="H1049" s="54">
        <v>0</v>
      </c>
      <c r="I1049" s="55">
        <f t="shared" si="46"/>
        <v>1083351835</v>
      </c>
      <c r="J1049" s="54">
        <v>-5</v>
      </c>
      <c r="K1049" s="56">
        <f t="shared" si="48"/>
        <v>1083351830</v>
      </c>
      <c r="L1049" s="37">
        <v>0</v>
      </c>
      <c r="M1049" s="69"/>
      <c r="O1049" s="38" t="str">
        <f>IF([1]totrevprm!O1050="","",[1]totrevprm!O1050)</f>
        <v/>
      </c>
    </row>
    <row r="1050" spans="1:26">
      <c r="A1050" s="50" t="s">
        <v>55</v>
      </c>
      <c r="B1050" s="51" t="s">
        <v>787</v>
      </c>
      <c r="C1050" s="52" t="s">
        <v>731</v>
      </c>
      <c r="D1050" s="53">
        <v>1996</v>
      </c>
      <c r="E1050" s="54">
        <v>339210804</v>
      </c>
      <c r="F1050" s="54">
        <v>329511360</v>
      </c>
      <c r="G1050" s="54">
        <v>455923916</v>
      </c>
      <c r="H1050" s="54">
        <v>0</v>
      </c>
      <c r="I1050" s="55">
        <f t="shared" si="46"/>
        <v>1124646080</v>
      </c>
      <c r="J1050" s="54">
        <v>-3</v>
      </c>
      <c r="K1050" s="56">
        <f t="shared" si="48"/>
        <v>1124646077</v>
      </c>
      <c r="L1050" s="37">
        <v>0</v>
      </c>
      <c r="M1050" s="69"/>
      <c r="O1050" s="38" t="str">
        <f>IF([1]totrevprm!O1051="","",[1]totrevprm!O1051)</f>
        <v/>
      </c>
    </row>
    <row r="1051" spans="1:26">
      <c r="A1051" s="50" t="s">
        <v>55</v>
      </c>
      <c r="B1051" s="51" t="s">
        <v>787</v>
      </c>
      <c r="C1051" s="52" t="s">
        <v>731</v>
      </c>
      <c r="D1051" s="53">
        <v>1997</v>
      </c>
      <c r="E1051" s="54">
        <v>364319447</v>
      </c>
      <c r="F1051" s="54">
        <v>347039518</v>
      </c>
      <c r="G1051" s="54">
        <v>477837146</v>
      </c>
      <c r="H1051" s="54">
        <v>0</v>
      </c>
      <c r="I1051" s="55">
        <f t="shared" si="46"/>
        <v>1189196111</v>
      </c>
      <c r="J1051" s="54">
        <v>-215036</v>
      </c>
      <c r="K1051" s="56">
        <f t="shared" si="48"/>
        <v>1188981075</v>
      </c>
      <c r="L1051" s="37">
        <v>0</v>
      </c>
      <c r="M1051" s="69"/>
      <c r="O1051" s="38" t="str">
        <f>IF([1]totrevprm!O1052="","",[1]totrevprm!O1052)</f>
        <v/>
      </c>
    </row>
    <row r="1052" spans="1:26">
      <c r="A1052" s="50" t="s">
        <v>55</v>
      </c>
      <c r="B1052" s="51" t="s">
        <v>787</v>
      </c>
      <c r="C1052" s="52" t="s">
        <v>731</v>
      </c>
      <c r="D1052" s="53">
        <v>1998</v>
      </c>
      <c r="E1052" s="54">
        <v>383955521</v>
      </c>
      <c r="F1052" s="54">
        <v>303351906</v>
      </c>
      <c r="G1052" s="54">
        <v>501685748</v>
      </c>
      <c r="H1052" s="54">
        <v>0</v>
      </c>
      <c r="I1052" s="55">
        <f t="shared" si="46"/>
        <v>1188993175</v>
      </c>
      <c r="J1052" s="54">
        <v>-23948</v>
      </c>
      <c r="K1052" s="56">
        <f t="shared" si="48"/>
        <v>1188969227</v>
      </c>
      <c r="L1052" s="37">
        <v>0</v>
      </c>
      <c r="M1052" s="69"/>
      <c r="O1052" s="38" t="str">
        <f>IF([1]totrevprm!O1053="","",[1]totrevprm!O1053)</f>
        <v/>
      </c>
    </row>
    <row r="1053" spans="1:26">
      <c r="A1053" s="50" t="s">
        <v>55</v>
      </c>
      <c r="B1053" s="51" t="s">
        <v>787</v>
      </c>
      <c r="C1053" s="52" t="s">
        <v>731</v>
      </c>
      <c r="D1053" s="53">
        <v>1999</v>
      </c>
      <c r="E1053" s="54">
        <v>393472325</v>
      </c>
      <c r="F1053" s="54">
        <v>397510883</v>
      </c>
      <c r="G1053" s="54">
        <v>577477196</v>
      </c>
      <c r="H1053" s="54">
        <v>0</v>
      </c>
      <c r="I1053" s="55">
        <f t="shared" si="46"/>
        <v>1368460404</v>
      </c>
      <c r="J1053" s="54">
        <v>-680</v>
      </c>
      <c r="K1053" s="56">
        <f t="shared" si="48"/>
        <v>1368459724</v>
      </c>
      <c r="L1053" s="37">
        <v>0</v>
      </c>
      <c r="M1053" s="69"/>
      <c r="O1053" s="38" t="str">
        <f>IF([1]totrevprm!O1054="","",[1]totrevprm!O1054)</f>
        <v/>
      </c>
    </row>
    <row r="1054" spans="1:26">
      <c r="A1054" s="50" t="s">
        <v>55</v>
      </c>
      <c r="B1054" s="51" t="s">
        <v>787</v>
      </c>
      <c r="C1054" s="52" t="s">
        <v>731</v>
      </c>
      <c r="D1054" s="53">
        <v>2000</v>
      </c>
      <c r="E1054" s="54">
        <v>457675253</v>
      </c>
      <c r="F1054" s="54">
        <v>589727264</v>
      </c>
      <c r="G1054" s="54">
        <v>630109657</v>
      </c>
      <c r="H1054" s="54">
        <v>0</v>
      </c>
      <c r="I1054" s="55">
        <f t="shared" si="46"/>
        <v>1677512174</v>
      </c>
      <c r="J1054" s="54">
        <v>-2570379</v>
      </c>
      <c r="K1054" s="56">
        <f t="shared" si="48"/>
        <v>1674941795</v>
      </c>
      <c r="L1054" s="37">
        <v>0</v>
      </c>
      <c r="M1054" s="69"/>
      <c r="O1054" s="38" t="str">
        <f>IF([1]totrevprm!O1055="","",[1]totrevprm!O1055)</f>
        <v/>
      </c>
      <c r="V1054" s="38" t="s">
        <v>787</v>
      </c>
      <c r="W1054" s="58">
        <v>118772</v>
      </c>
      <c r="X1054" s="58">
        <v>13667552</v>
      </c>
      <c r="Y1054" s="58">
        <v>5724849</v>
      </c>
      <c r="Z1054" s="58">
        <v>0</v>
      </c>
    </row>
    <row r="1055" spans="1:26">
      <c r="A1055" s="50" t="s">
        <v>55</v>
      </c>
      <c r="B1055" s="51" t="s">
        <v>787</v>
      </c>
      <c r="C1055" s="52" t="s">
        <v>731</v>
      </c>
      <c r="D1055" s="53">
        <v>2001</v>
      </c>
      <c r="E1055" s="54">
        <v>439636288</v>
      </c>
      <c r="F1055" s="54">
        <v>661926690</v>
      </c>
      <c r="G1055" s="54">
        <v>674107946</v>
      </c>
      <c r="H1055" s="54">
        <v>0</v>
      </c>
      <c r="I1055" s="55">
        <f t="shared" si="46"/>
        <v>1775670924</v>
      </c>
      <c r="J1055" s="54">
        <v>-671560</v>
      </c>
      <c r="K1055" s="56">
        <f t="shared" si="48"/>
        <v>1774999364</v>
      </c>
      <c r="L1055" s="37">
        <v>0</v>
      </c>
      <c r="M1055" s="69"/>
      <c r="O1055" s="38" t="str">
        <f>IF([1]totrevprm!O1056="","",[1]totrevprm!O1056)</f>
        <v/>
      </c>
      <c r="V1055" s="38"/>
      <c r="W1055" s="58"/>
      <c r="X1055" s="58"/>
      <c r="Y1055" s="58"/>
      <c r="Z1055" s="58"/>
    </row>
    <row r="1056" spans="1:26">
      <c r="A1056" s="50" t="s">
        <v>55</v>
      </c>
      <c r="B1056" s="51" t="s">
        <v>787</v>
      </c>
      <c r="C1056" s="52" t="s">
        <v>788</v>
      </c>
      <c r="D1056" s="53">
        <v>2002</v>
      </c>
      <c r="E1056" s="54">
        <v>500708457</v>
      </c>
      <c r="F1056" s="54">
        <v>1287227807</v>
      </c>
      <c r="G1056" s="54">
        <v>657280614</v>
      </c>
      <c r="H1056" s="54">
        <v>0</v>
      </c>
      <c r="I1056" s="55">
        <f t="shared" ref="I1056:I1119" si="49">SUM(E1056:H1056)</f>
        <v>2445216878</v>
      </c>
      <c r="J1056" s="54">
        <v>-131</v>
      </c>
      <c r="K1056" s="56">
        <f t="shared" si="48"/>
        <v>2445216747</v>
      </c>
      <c r="L1056" s="37">
        <v>0</v>
      </c>
      <c r="M1056" s="69"/>
      <c r="O1056" s="38" t="str">
        <f>IF([1]totrevprm!O1057="","",[1]totrevprm!O1057)</f>
        <v/>
      </c>
      <c r="V1056" s="38"/>
      <c r="W1056" s="58"/>
      <c r="X1056" s="58"/>
      <c r="Y1056" s="58"/>
      <c r="Z1056" s="58"/>
    </row>
    <row r="1057" spans="1:26">
      <c r="A1057" s="50" t="s">
        <v>55</v>
      </c>
      <c r="B1057" s="51" t="s">
        <v>787</v>
      </c>
      <c r="C1057" s="52" t="s">
        <v>731</v>
      </c>
      <c r="D1057" s="53">
        <v>2003</v>
      </c>
      <c r="E1057" s="59">
        <v>560244756</v>
      </c>
      <c r="F1057" s="59">
        <v>1002487503</v>
      </c>
      <c r="G1057" s="59">
        <v>715662888</v>
      </c>
      <c r="H1057" s="54">
        <v>0</v>
      </c>
      <c r="I1057" s="55">
        <f t="shared" si="49"/>
        <v>2278395147</v>
      </c>
      <c r="J1057" s="54">
        <v>-303754</v>
      </c>
      <c r="K1057" s="56">
        <f t="shared" si="48"/>
        <v>2278091393</v>
      </c>
      <c r="L1057" s="37">
        <v>0</v>
      </c>
      <c r="M1057" s="69"/>
      <c r="O1057" s="38" t="str">
        <f>IF([1]totrevprm!O1058="","",[1]totrevprm!O1058)</f>
        <v/>
      </c>
      <c r="V1057" s="38"/>
      <c r="W1057" s="58"/>
      <c r="X1057" s="58"/>
      <c r="Y1057" s="58"/>
      <c r="Z1057" s="58"/>
    </row>
    <row r="1058" spans="1:26">
      <c r="A1058" s="50" t="s">
        <v>55</v>
      </c>
      <c r="B1058" s="51" t="s">
        <v>787</v>
      </c>
      <c r="C1058" s="52" t="s">
        <v>731</v>
      </c>
      <c r="D1058" s="53">
        <v>2004</v>
      </c>
      <c r="E1058" s="59">
        <v>621862008</v>
      </c>
      <c r="F1058" s="59">
        <v>783868243</v>
      </c>
      <c r="G1058" s="59">
        <v>775448499</v>
      </c>
      <c r="H1058" s="54">
        <v>0</v>
      </c>
      <c r="I1058" s="55">
        <f t="shared" si="49"/>
        <v>2181178750</v>
      </c>
      <c r="J1058" s="54">
        <v>-117105</v>
      </c>
      <c r="K1058" s="56">
        <f t="shared" si="48"/>
        <v>2181061645</v>
      </c>
      <c r="L1058" s="37">
        <v>0</v>
      </c>
      <c r="M1058" s="69"/>
      <c r="O1058" s="38" t="str">
        <f>IF([1]totrevprm!O1059="","",[1]totrevprm!O1059)</f>
        <v/>
      </c>
      <c r="V1058" s="38"/>
      <c r="W1058" s="58"/>
      <c r="X1058" s="58"/>
      <c r="Y1058" s="58"/>
      <c r="Z1058" s="58"/>
    </row>
    <row r="1059" spans="1:26">
      <c r="A1059" s="50" t="s">
        <v>55</v>
      </c>
      <c r="B1059" s="51" t="s">
        <v>787</v>
      </c>
      <c r="C1059" s="52"/>
      <c r="D1059" s="53">
        <v>2005</v>
      </c>
      <c r="E1059" s="59">
        <v>616220934</v>
      </c>
      <c r="F1059" s="59">
        <v>766485503</v>
      </c>
      <c r="G1059" s="59">
        <v>823325958.17999995</v>
      </c>
      <c r="H1059" s="54">
        <v>0</v>
      </c>
      <c r="I1059" s="55">
        <f t="shared" si="49"/>
        <v>2206032395.1799998</v>
      </c>
      <c r="J1059" s="54">
        <v>-156</v>
      </c>
      <c r="K1059" s="56">
        <f t="shared" si="48"/>
        <v>2206032239.1799998</v>
      </c>
      <c r="L1059" s="37">
        <v>0</v>
      </c>
      <c r="M1059" s="69"/>
      <c r="O1059" s="38" t="str">
        <f>IF([1]totrevprm!O1060="","",[1]totrevprm!O1060)</f>
        <v/>
      </c>
      <c r="V1059" s="38"/>
      <c r="W1059" s="58"/>
      <c r="X1059" s="58"/>
      <c r="Y1059" s="58"/>
      <c r="Z1059" s="58"/>
    </row>
    <row r="1060" spans="1:26">
      <c r="A1060" s="50" t="s">
        <v>55</v>
      </c>
      <c r="B1060" s="51" t="s">
        <v>787</v>
      </c>
      <c r="C1060" s="52"/>
      <c r="D1060" s="53">
        <v>2006</v>
      </c>
      <c r="E1060" s="37">
        <v>692636351</v>
      </c>
      <c r="F1060" s="37">
        <v>702024818</v>
      </c>
      <c r="G1060" s="37">
        <v>912982468</v>
      </c>
      <c r="H1060" s="37">
        <v>0</v>
      </c>
      <c r="I1060" s="55">
        <f t="shared" si="49"/>
        <v>2307643637</v>
      </c>
      <c r="J1060" s="54">
        <v>-363439</v>
      </c>
      <c r="K1060" s="56">
        <f t="shared" si="48"/>
        <v>2307280198</v>
      </c>
      <c r="L1060" s="37">
        <v>0</v>
      </c>
      <c r="M1060" s="69"/>
      <c r="O1060" s="38" t="str">
        <f>IF([1]totrevprm!O1061="","",[1]totrevprm!O1061)</f>
        <v/>
      </c>
      <c r="V1060" s="38"/>
      <c r="W1060" s="58"/>
      <c r="X1060" s="58"/>
      <c r="Y1060" s="58"/>
      <c r="Z1060" s="58"/>
    </row>
    <row r="1061" spans="1:26">
      <c r="A1061" s="50" t="s">
        <v>55</v>
      </c>
      <c r="B1061" s="51" t="s">
        <v>787</v>
      </c>
      <c r="C1061" s="52"/>
      <c r="D1061" s="53">
        <v>2007</v>
      </c>
      <c r="E1061" s="37">
        <v>712200556</v>
      </c>
      <c r="F1061" s="37">
        <v>824604506</v>
      </c>
      <c r="G1061" s="37">
        <v>1322286110</v>
      </c>
      <c r="H1061" s="37">
        <v>0</v>
      </c>
      <c r="I1061" s="55">
        <f t="shared" si="49"/>
        <v>2859091172</v>
      </c>
      <c r="J1061" s="54">
        <v>-20</v>
      </c>
      <c r="K1061" s="56">
        <f t="shared" si="48"/>
        <v>2859091152</v>
      </c>
      <c r="L1061" s="37">
        <v>0</v>
      </c>
      <c r="M1061" s="69"/>
      <c r="O1061" s="38" t="str">
        <f>IF([1]totrevprm!O1062="","",[1]totrevprm!O1062)</f>
        <v/>
      </c>
      <c r="V1061" s="38"/>
      <c r="W1061" s="58"/>
      <c r="X1061" s="58"/>
      <c r="Y1061" s="58"/>
      <c r="Z1061" s="58"/>
    </row>
    <row r="1062" spans="1:26">
      <c r="A1062" s="50" t="s">
        <v>55</v>
      </c>
      <c r="B1062" s="51" t="s">
        <v>787</v>
      </c>
      <c r="C1062" s="52"/>
      <c r="D1062" s="53">
        <v>2008</v>
      </c>
      <c r="E1062" s="37">
        <v>739912500</v>
      </c>
      <c r="F1062" s="37">
        <v>1096212102</v>
      </c>
      <c r="G1062" s="37">
        <v>1498313802</v>
      </c>
      <c r="H1062" s="37">
        <v>0</v>
      </c>
      <c r="I1062" s="55">
        <f t="shared" si="49"/>
        <v>3334438404</v>
      </c>
      <c r="J1062" s="54">
        <v>-5</v>
      </c>
      <c r="K1062" s="56">
        <f t="shared" si="48"/>
        <v>3334438399</v>
      </c>
      <c r="L1062" s="37">
        <v>0</v>
      </c>
      <c r="M1062" s="69"/>
      <c r="O1062" s="38" t="str">
        <f>IF([1]totrevprm!O1063="","",[1]totrevprm!O1063)</f>
        <v/>
      </c>
      <c r="V1062" s="38"/>
      <c r="W1062" s="58"/>
      <c r="X1062" s="58"/>
      <c r="Y1062" s="58"/>
      <c r="Z1062" s="58"/>
    </row>
    <row r="1063" spans="1:26">
      <c r="A1063" s="50" t="s">
        <v>55</v>
      </c>
      <c r="B1063" s="51" t="s">
        <v>787</v>
      </c>
      <c r="C1063" s="52"/>
      <c r="D1063" s="53">
        <v>2009</v>
      </c>
      <c r="E1063" s="37">
        <v>769949241</v>
      </c>
      <c r="F1063" s="37">
        <v>1071481528</v>
      </c>
      <c r="G1063" s="37">
        <v>1653824373</v>
      </c>
      <c r="H1063" s="37">
        <v>0</v>
      </c>
      <c r="I1063" s="55">
        <f t="shared" si="49"/>
        <v>3495255142</v>
      </c>
      <c r="J1063" s="54">
        <v>-1</v>
      </c>
      <c r="K1063" s="56">
        <f t="shared" si="48"/>
        <v>3495255141</v>
      </c>
      <c r="L1063" s="37">
        <v>0</v>
      </c>
      <c r="M1063" s="69"/>
      <c r="O1063" s="38" t="str">
        <f>IF([1]totrevprm!O1064="","",[1]totrevprm!O1064)</f>
        <v/>
      </c>
      <c r="V1063" s="38"/>
      <c r="W1063" s="58"/>
      <c r="X1063" s="58"/>
      <c r="Y1063" s="58"/>
      <c r="Z1063" s="58"/>
    </row>
    <row r="1064" spans="1:26">
      <c r="A1064" s="50" t="s">
        <v>55</v>
      </c>
      <c r="B1064" s="51" t="s">
        <v>787</v>
      </c>
      <c r="C1064" s="52"/>
      <c r="D1064" s="53">
        <v>2010</v>
      </c>
      <c r="E1064" s="37">
        <v>748015631</v>
      </c>
      <c r="F1064" s="37">
        <v>1008581875</v>
      </c>
      <c r="G1064" s="37">
        <v>1620890080</v>
      </c>
      <c r="H1064" s="37">
        <v>0</v>
      </c>
      <c r="I1064" s="55">
        <f t="shared" si="49"/>
        <v>3377487586</v>
      </c>
      <c r="J1064" s="54">
        <v>-21353</v>
      </c>
      <c r="K1064" s="56">
        <f t="shared" si="48"/>
        <v>3377466233</v>
      </c>
      <c r="L1064" s="37">
        <v>0</v>
      </c>
      <c r="M1064" s="69"/>
      <c r="O1064" s="38" t="str">
        <f>IF([1]totrevprm!O1065="","",[1]totrevprm!O1065)</f>
        <v/>
      </c>
      <c r="V1064" s="38"/>
      <c r="W1064" s="58"/>
      <c r="X1064" s="58"/>
      <c r="Y1064" s="58"/>
      <c r="Z1064" s="58"/>
    </row>
    <row r="1065" spans="1:26">
      <c r="A1065" s="50" t="s">
        <v>55</v>
      </c>
      <c r="B1065" s="51" t="s">
        <v>787</v>
      </c>
      <c r="C1065" s="52"/>
      <c r="D1065" s="53">
        <v>2011</v>
      </c>
      <c r="E1065" s="37">
        <v>790601447</v>
      </c>
      <c r="F1065" s="37">
        <v>803896979</v>
      </c>
      <c r="G1065" s="37">
        <v>1705079369</v>
      </c>
      <c r="H1065" s="37">
        <v>0</v>
      </c>
      <c r="I1065" s="55">
        <f t="shared" si="49"/>
        <v>3299577795</v>
      </c>
      <c r="J1065" s="54">
        <v>-1</v>
      </c>
      <c r="K1065" s="56">
        <f t="shared" si="48"/>
        <v>3299577794</v>
      </c>
      <c r="L1065" s="37">
        <v>0</v>
      </c>
      <c r="M1065" s="69"/>
      <c r="O1065" s="38" t="str">
        <f>IF([1]totrevprm!O1066="","",[1]totrevprm!O1066)</f>
        <v/>
      </c>
      <c r="V1065" s="38"/>
      <c r="W1065" s="58"/>
      <c r="X1065" s="58"/>
      <c r="Y1065" s="58"/>
      <c r="Z1065" s="58"/>
    </row>
    <row r="1066" spans="1:26">
      <c r="A1066" s="50" t="s">
        <v>55</v>
      </c>
      <c r="B1066" s="51" t="s">
        <v>787</v>
      </c>
      <c r="C1066" s="52"/>
      <c r="D1066" s="53">
        <v>2012</v>
      </c>
      <c r="E1066" s="37">
        <v>825350559</v>
      </c>
      <c r="F1066" s="37">
        <v>945278895</v>
      </c>
      <c r="G1066" s="37">
        <v>1788245669</v>
      </c>
      <c r="H1066" s="37">
        <v>0</v>
      </c>
      <c r="I1066" s="55">
        <f t="shared" si="49"/>
        <v>3558875123</v>
      </c>
      <c r="J1066" s="54">
        <v>-180604</v>
      </c>
      <c r="K1066" s="56">
        <f t="shared" si="48"/>
        <v>3558694519</v>
      </c>
      <c r="L1066" s="37">
        <v>0</v>
      </c>
      <c r="M1066" s="69"/>
      <c r="O1066" s="38" t="str">
        <f>IF([1]totrevprm!O1067="","",[1]totrevprm!O1067)</f>
        <v/>
      </c>
      <c r="V1066" s="38"/>
      <c r="W1066" s="58"/>
      <c r="X1066" s="58"/>
      <c r="Y1066" s="58"/>
      <c r="Z1066" s="58"/>
    </row>
    <row r="1067" spans="1:26">
      <c r="A1067" s="50" t="s">
        <v>55</v>
      </c>
      <c r="B1067" s="51" t="s">
        <v>787</v>
      </c>
      <c r="C1067" s="52"/>
      <c r="D1067" s="53">
        <v>2013</v>
      </c>
      <c r="E1067" s="37">
        <v>866612021</v>
      </c>
      <c r="F1067" s="37">
        <v>895473195</v>
      </c>
      <c r="G1067" s="37">
        <v>1654068269</v>
      </c>
      <c r="H1067" s="37">
        <v>0</v>
      </c>
      <c r="I1067" s="55">
        <f t="shared" si="49"/>
        <v>3416153485</v>
      </c>
      <c r="J1067" s="54">
        <v>-5</v>
      </c>
      <c r="K1067" s="56">
        <f t="shared" si="48"/>
        <v>3416153480</v>
      </c>
      <c r="L1067" s="37">
        <v>1858845</v>
      </c>
      <c r="M1067" s="69" t="s">
        <v>735</v>
      </c>
      <c r="N1067" t="s">
        <v>708</v>
      </c>
      <c r="O1067" s="38" t="str">
        <f>IF([1]totrevprm!O1068="","",[1]totrevprm!O1068)</f>
        <v/>
      </c>
      <c r="R1067" s="67"/>
      <c r="S1067" s="69"/>
      <c r="T1067" s="69"/>
      <c r="V1067" s="38"/>
      <c r="W1067" s="58"/>
      <c r="X1067" s="58"/>
      <c r="Y1067" s="58"/>
      <c r="Z1067" s="58"/>
    </row>
    <row r="1068" spans="1:26">
      <c r="A1068" s="50" t="s">
        <v>55</v>
      </c>
      <c r="B1068" s="51" t="s">
        <v>787</v>
      </c>
      <c r="C1068" s="52"/>
      <c r="D1068" s="53">
        <v>2014</v>
      </c>
      <c r="E1068" s="37">
        <v>901653618</v>
      </c>
      <c r="F1068" s="37">
        <v>1256518516</v>
      </c>
      <c r="G1068" s="37">
        <v>1735155742.1199999</v>
      </c>
      <c r="H1068" s="37">
        <v>0</v>
      </c>
      <c r="I1068" s="55">
        <f t="shared" si="49"/>
        <v>3893327876.1199999</v>
      </c>
      <c r="J1068" s="54">
        <v>-136994</v>
      </c>
      <c r="K1068" s="56">
        <f t="shared" si="48"/>
        <v>3893190882.1199999</v>
      </c>
      <c r="L1068" s="37">
        <v>7877785</v>
      </c>
      <c r="M1068" s="69" t="s">
        <v>735</v>
      </c>
      <c r="N1068" t="s">
        <v>708</v>
      </c>
      <c r="O1068" s="38" t="str">
        <f>IF([1]totrevprm!O1069="","",[1]totrevprm!O1069)</f>
        <v/>
      </c>
      <c r="R1068" s="67"/>
      <c r="S1068" s="69"/>
      <c r="T1068" s="69"/>
      <c r="V1068" s="38"/>
      <c r="W1068" s="58"/>
      <c r="X1068" s="58"/>
      <c r="Y1068" s="58"/>
      <c r="Z1068" s="58"/>
    </row>
    <row r="1069" spans="1:26">
      <c r="A1069" s="50" t="s">
        <v>55</v>
      </c>
      <c r="B1069" s="51" t="s">
        <v>787</v>
      </c>
      <c r="C1069" s="52"/>
      <c r="D1069" s="53">
        <v>2015</v>
      </c>
      <c r="E1069" s="37">
        <v>957451253</v>
      </c>
      <c r="F1069" s="37">
        <v>1326216717</v>
      </c>
      <c r="G1069" s="37">
        <v>1785726696</v>
      </c>
      <c r="H1069" s="37">
        <v>0</v>
      </c>
      <c r="I1069" s="55">
        <f t="shared" si="49"/>
        <v>4069394666</v>
      </c>
      <c r="J1069" s="54">
        <v>-2</v>
      </c>
      <c r="K1069" s="56">
        <f t="shared" si="48"/>
        <v>4069394664</v>
      </c>
      <c r="L1069" s="37">
        <v>4948634</v>
      </c>
      <c r="M1069" s="69" t="s">
        <v>735</v>
      </c>
      <c r="N1069" t="s">
        <v>708</v>
      </c>
      <c r="O1069" s="38" t="str">
        <f>IF([1]totrevprm!O1070="","",[1]totrevprm!O1070)</f>
        <v/>
      </c>
      <c r="P1069" s="35">
        <v>173492657.54561621</v>
      </c>
      <c r="Q1069" s="35">
        <v>49235001.0519403</v>
      </c>
      <c r="R1069" s="67"/>
      <c r="S1069" s="69"/>
      <c r="T1069" s="69"/>
      <c r="V1069" s="38"/>
      <c r="W1069" s="58"/>
      <c r="X1069" s="58"/>
      <c r="Y1069" s="58"/>
      <c r="Z1069" s="58"/>
    </row>
    <row r="1070" spans="1:26">
      <c r="A1070" s="50" t="s">
        <v>55</v>
      </c>
      <c r="B1070" s="51" t="s">
        <v>787</v>
      </c>
      <c r="C1070" s="52"/>
      <c r="D1070" s="53">
        <v>2016</v>
      </c>
      <c r="E1070" s="37">
        <v>1032137820</v>
      </c>
      <c r="F1070" s="37">
        <v>1255112293</v>
      </c>
      <c r="G1070" s="37">
        <v>1892633503</v>
      </c>
      <c r="H1070" s="37">
        <v>0</v>
      </c>
      <c r="I1070" s="55">
        <f t="shared" si="49"/>
        <v>4179883616</v>
      </c>
      <c r="J1070" s="54">
        <v>-146323</v>
      </c>
      <c r="K1070" s="56">
        <f t="shared" si="48"/>
        <v>4179737293</v>
      </c>
      <c r="L1070" s="37">
        <v>7323300</v>
      </c>
      <c r="M1070" s="69" t="s">
        <v>735</v>
      </c>
      <c r="N1070" t="s">
        <v>708</v>
      </c>
      <c r="O1070" s="38" t="str">
        <f>IF([1]totrevprm!O1071="","",[1]totrevprm!O1071)</f>
        <v/>
      </c>
      <c r="P1070" s="35">
        <v>183150800.01019624</v>
      </c>
      <c r="Q1070" s="35">
        <v>50535045.593834586</v>
      </c>
      <c r="R1070" s="67"/>
      <c r="S1070" s="69"/>
      <c r="T1070" s="69"/>
      <c r="V1070" s="38"/>
      <c r="W1070" s="58"/>
      <c r="X1070" s="58"/>
      <c r="Y1070" s="58"/>
      <c r="Z1070" s="58"/>
    </row>
    <row r="1071" spans="1:26">
      <c r="A1071" s="50" t="s">
        <v>55</v>
      </c>
      <c r="B1071" s="51" t="s">
        <v>787</v>
      </c>
      <c r="C1071" s="52"/>
      <c r="D1071" s="53">
        <v>2017</v>
      </c>
      <c r="E1071" s="37">
        <v>1195561044</v>
      </c>
      <c r="F1071" s="37">
        <v>1186738308</v>
      </c>
      <c r="G1071" s="37">
        <v>1809716037.98</v>
      </c>
      <c r="H1071" s="37">
        <v>0</v>
      </c>
      <c r="I1071" s="55">
        <f t="shared" si="49"/>
        <v>4192015389.98</v>
      </c>
      <c r="J1071" s="54">
        <v>-10744</v>
      </c>
      <c r="K1071" s="56">
        <f t="shared" si="48"/>
        <v>4192004645.98</v>
      </c>
      <c r="L1071" s="60">
        <v>3704804</v>
      </c>
      <c r="M1071" s="69" t="s">
        <v>735</v>
      </c>
      <c r="N1071" t="s">
        <v>708</v>
      </c>
      <c r="O1071" s="38" t="str">
        <f>IF([1]totrevprm!O1072="","",[1]totrevprm!O1072)</f>
        <v/>
      </c>
      <c r="P1071" s="35">
        <v>180819444.15260077</v>
      </c>
      <c r="Q1071" s="35">
        <v>51511011.224409446</v>
      </c>
      <c r="R1071" s="67"/>
      <c r="S1071" s="69"/>
      <c r="V1071" s="38"/>
      <c r="W1071" s="58"/>
      <c r="X1071" s="58"/>
      <c r="Y1071" s="58"/>
      <c r="Z1071" s="58"/>
    </row>
    <row r="1072" spans="1:26">
      <c r="A1072" s="50" t="s">
        <v>55</v>
      </c>
      <c r="B1072" s="51" t="s">
        <v>787</v>
      </c>
      <c r="C1072" s="52"/>
      <c r="D1072" s="53">
        <v>2018</v>
      </c>
      <c r="E1072" s="37">
        <v>1172990773</v>
      </c>
      <c r="F1072" s="37">
        <v>1475720935</v>
      </c>
      <c r="G1072" s="37">
        <v>1833870315.45</v>
      </c>
      <c r="H1072" s="35">
        <v>0</v>
      </c>
      <c r="I1072" s="55">
        <f t="shared" si="49"/>
        <v>4482582023.4499998</v>
      </c>
      <c r="J1072" s="81">
        <v>-416</v>
      </c>
      <c r="K1072" s="56">
        <f t="shared" si="48"/>
        <v>4482581607.4499998</v>
      </c>
      <c r="L1072" s="60">
        <v>5661889</v>
      </c>
      <c r="M1072" s="69" t="s">
        <v>735</v>
      </c>
      <c r="N1072" t="s">
        <v>708</v>
      </c>
      <c r="O1072" s="38" t="str">
        <f>IF([1]totrevprm!O1073="","",[1]totrevprm!O1073)</f>
        <v/>
      </c>
      <c r="P1072" s="35">
        <v>196825534.1287438</v>
      </c>
      <c r="Q1072" s="35">
        <v>51725746</v>
      </c>
      <c r="R1072" s="67"/>
      <c r="S1072" s="69"/>
      <c r="V1072" s="38"/>
      <c r="W1072" s="58"/>
      <c r="X1072" s="58"/>
      <c r="Y1072" s="58"/>
      <c r="Z1072" s="58"/>
    </row>
    <row r="1073" spans="1:26">
      <c r="A1073" s="50" t="s">
        <v>55</v>
      </c>
      <c r="B1073" s="51" t="s">
        <v>787</v>
      </c>
      <c r="C1073" s="52"/>
      <c r="D1073" s="53">
        <v>2019</v>
      </c>
      <c r="E1073" s="37">
        <v>1210349914</v>
      </c>
      <c r="F1073" s="37">
        <v>1521500884</v>
      </c>
      <c r="G1073" s="37">
        <v>1899828444.3367</v>
      </c>
      <c r="H1073" s="35">
        <v>0</v>
      </c>
      <c r="I1073" s="55">
        <f t="shared" si="49"/>
        <v>4631679242.3367004</v>
      </c>
      <c r="J1073" s="81">
        <v>-3728852</v>
      </c>
      <c r="K1073" s="56">
        <f t="shared" si="48"/>
        <v>4627950390.3367004</v>
      </c>
      <c r="L1073" s="60">
        <v>10159548</v>
      </c>
      <c r="M1073" s="69" t="s">
        <v>735</v>
      </c>
      <c r="N1073" t="s">
        <v>708</v>
      </c>
      <c r="O1073" s="38" t="str">
        <f>IF([1]totrevprm!O1074="","",[1]totrevprm!O1074)</f>
        <v/>
      </c>
      <c r="P1073" s="35">
        <v>201957764.95183223</v>
      </c>
      <c r="Q1073" s="35">
        <v>51965948.817405015</v>
      </c>
      <c r="R1073" s="67"/>
      <c r="S1073" s="69"/>
      <c r="V1073" s="38"/>
      <c r="W1073" s="58"/>
      <c r="X1073" s="58"/>
      <c r="Y1073" s="58"/>
      <c r="Z1073" s="58"/>
    </row>
    <row r="1074" spans="1:26">
      <c r="A1074" s="50" t="s">
        <v>55</v>
      </c>
      <c r="B1074" s="51" t="s">
        <v>787</v>
      </c>
      <c r="C1074" s="52"/>
      <c r="D1074" s="53">
        <v>2020</v>
      </c>
      <c r="E1074" s="37">
        <v>1275742342</v>
      </c>
      <c r="F1074" s="37">
        <v>1704634149</v>
      </c>
      <c r="G1074" s="37">
        <v>3412390700</v>
      </c>
      <c r="H1074" s="35">
        <v>0</v>
      </c>
      <c r="I1074" s="55">
        <f t="shared" si="49"/>
        <v>6392767191</v>
      </c>
      <c r="J1074" s="81">
        <v>-6764</v>
      </c>
      <c r="K1074" s="56">
        <f t="shared" si="48"/>
        <v>6392760427</v>
      </c>
      <c r="L1074" s="60">
        <v>117263048</v>
      </c>
      <c r="M1074" s="69" t="s">
        <v>783</v>
      </c>
      <c r="N1074" t="s">
        <v>708</v>
      </c>
      <c r="O1074" s="38" t="str">
        <f>IF([1]totrevprm!O1075="","",[1]totrevprm!O1075)</f>
        <v>Yes</v>
      </c>
      <c r="P1074" s="35">
        <v>198047086</v>
      </c>
      <c r="Q1074" s="35">
        <v>52045981</v>
      </c>
      <c r="R1074" s="67"/>
      <c r="S1074" s="69"/>
      <c r="V1074" s="38"/>
      <c r="W1074" s="58"/>
      <c r="X1074" s="58"/>
      <c r="Y1074" s="58"/>
      <c r="Z1074" s="58"/>
    </row>
    <row r="1075" spans="1:26">
      <c r="A1075" s="50" t="s">
        <v>55</v>
      </c>
      <c r="B1075" s="51" t="s">
        <v>787</v>
      </c>
      <c r="C1075" s="52"/>
      <c r="D1075" s="53">
        <v>2021</v>
      </c>
      <c r="E1075" s="37">
        <v>1444251432</v>
      </c>
      <c r="F1075" s="37">
        <v>1853701818</v>
      </c>
      <c r="G1075" s="37">
        <v>3791662914</v>
      </c>
      <c r="H1075" s="35">
        <v>0</v>
      </c>
      <c r="I1075" s="55">
        <f t="shared" si="49"/>
        <v>7089616164</v>
      </c>
      <c r="J1075" s="82">
        <v>-3</v>
      </c>
      <c r="K1075" s="56">
        <f t="shared" si="48"/>
        <v>7089616161</v>
      </c>
      <c r="L1075" s="37">
        <v>0</v>
      </c>
      <c r="M1075" s="69" t="s">
        <v>739</v>
      </c>
      <c r="N1075" t="s">
        <v>708</v>
      </c>
      <c r="O1075" s="38"/>
      <c r="P1075" s="35">
        <v>191977028.22</v>
      </c>
      <c r="Q1075" s="35">
        <v>54506819</v>
      </c>
      <c r="R1075" s="67"/>
      <c r="S1075" s="69"/>
      <c r="V1075" s="38"/>
      <c r="W1075" s="58"/>
      <c r="X1075" s="58"/>
      <c r="Y1075" s="58"/>
      <c r="Z1075" s="58"/>
    </row>
    <row r="1076" spans="1:26">
      <c r="A1076" s="50" t="s">
        <v>55</v>
      </c>
      <c r="B1076" s="51" t="s">
        <v>787</v>
      </c>
      <c r="C1076" s="52"/>
      <c r="D1076" s="53">
        <v>2022</v>
      </c>
      <c r="E1076" s="37">
        <v>1587962257</v>
      </c>
      <c r="F1076" s="37">
        <v>2941010694</v>
      </c>
      <c r="G1076" s="37">
        <v>4060004740</v>
      </c>
      <c r="H1076" s="35">
        <v>0</v>
      </c>
      <c r="I1076" s="55">
        <f t="shared" si="49"/>
        <v>8588977691</v>
      </c>
      <c r="J1076" s="82">
        <v>-38474</v>
      </c>
      <c r="K1076" s="56">
        <f t="shared" si="48"/>
        <v>8588939217</v>
      </c>
      <c r="L1076" s="37">
        <v>0</v>
      </c>
      <c r="M1076" s="69" t="s">
        <v>739</v>
      </c>
      <c r="N1076" t="s">
        <v>708</v>
      </c>
      <c r="O1076" s="38" t="str">
        <f>IF([1]totrevprm!O1079="","",[1]totrevprm!O1079)</f>
        <v/>
      </c>
      <c r="P1076" s="60">
        <v>205861674</v>
      </c>
      <c r="Q1076" s="60">
        <v>53836030</v>
      </c>
    </row>
    <row r="1077" spans="1:26">
      <c r="A1077" s="50" t="s">
        <v>55</v>
      </c>
      <c r="B1077" s="51" t="s">
        <v>787</v>
      </c>
      <c r="C1077" s="52"/>
      <c r="D1077" s="53">
        <v>2023</v>
      </c>
      <c r="E1077" s="37">
        <v>1607972581</v>
      </c>
      <c r="F1077" s="37">
        <v>2941736809.98</v>
      </c>
      <c r="G1077" s="37">
        <v>4038001907.6599998</v>
      </c>
      <c r="H1077" s="37">
        <v>0</v>
      </c>
      <c r="I1077" s="55">
        <f t="shared" si="49"/>
        <v>8587711298.6399994</v>
      </c>
      <c r="J1077" s="82">
        <v>-60021</v>
      </c>
      <c r="K1077" s="56">
        <f t="shared" si="48"/>
        <v>8587651277.6399994</v>
      </c>
      <c r="L1077" s="37">
        <v>0</v>
      </c>
      <c r="M1077" s="69" t="s">
        <v>739</v>
      </c>
      <c r="O1077" s="38"/>
      <c r="P1077" s="60">
        <v>224625629.41999999</v>
      </c>
      <c r="Q1077" s="60">
        <v>53182059</v>
      </c>
    </row>
    <row r="1078" spans="1:26">
      <c r="A1078" s="50"/>
      <c r="B1078" s="52"/>
      <c r="C1078" s="52"/>
      <c r="E1078" s="54"/>
      <c r="F1078" s="54"/>
      <c r="G1078" s="54"/>
      <c r="H1078" s="54"/>
      <c r="I1078" s="55"/>
      <c r="K1078" s="65"/>
      <c r="L1078" s="37"/>
      <c r="M1078" s="69"/>
      <c r="O1078" s="38"/>
    </row>
    <row r="1079" spans="1:26">
      <c r="A1079" s="50" t="s">
        <v>56</v>
      </c>
      <c r="B1079" s="51" t="s">
        <v>789</v>
      </c>
      <c r="C1079" s="52" t="s">
        <v>762</v>
      </c>
      <c r="D1079" s="53">
        <v>1988</v>
      </c>
      <c r="E1079" s="54">
        <v>252803488</v>
      </c>
      <c r="F1079" s="54">
        <v>119901061</v>
      </c>
      <c r="G1079" s="54">
        <v>203345399</v>
      </c>
      <c r="H1079" s="54">
        <v>87655124</v>
      </c>
      <c r="I1079" s="55">
        <f t="shared" si="49"/>
        <v>663705072</v>
      </c>
      <c r="J1079" s="54">
        <v>0</v>
      </c>
      <c r="K1079" s="56">
        <f>SUM(I1079:J1079)</f>
        <v>663705072</v>
      </c>
      <c r="L1079" s="37">
        <v>0</v>
      </c>
      <c r="M1079" s="69"/>
      <c r="O1079" s="38" t="str">
        <f>IF([1]totrevprm!O1080="","",[1]totrevprm!O1080)</f>
        <v/>
      </c>
    </row>
    <row r="1080" spans="1:26">
      <c r="A1080" s="50" t="s">
        <v>56</v>
      </c>
      <c r="B1080" s="51" t="s">
        <v>789</v>
      </c>
      <c r="C1080" s="52" t="s">
        <v>731</v>
      </c>
      <c r="D1080" s="53">
        <v>1989</v>
      </c>
      <c r="E1080" s="54">
        <v>234946765</v>
      </c>
      <c r="F1080" s="54">
        <v>217312983</v>
      </c>
      <c r="G1080" s="54">
        <v>235348015</v>
      </c>
      <c r="H1080" s="54">
        <v>75157619</v>
      </c>
      <c r="I1080" s="55">
        <f t="shared" si="49"/>
        <v>762765382</v>
      </c>
      <c r="J1080" s="54">
        <v>0</v>
      </c>
      <c r="K1080" s="56">
        <f t="shared" ref="K1080:K1114" si="50">SUM(I1080:J1080)</f>
        <v>762765382</v>
      </c>
      <c r="L1080" s="37">
        <v>0</v>
      </c>
      <c r="M1080" s="69"/>
      <c r="O1080" s="38" t="str">
        <f>IF([1]totrevprm!O1081="","",[1]totrevprm!O1081)</f>
        <v/>
      </c>
    </row>
    <row r="1081" spans="1:26">
      <c r="A1081" s="50" t="s">
        <v>56</v>
      </c>
      <c r="B1081" s="51" t="s">
        <v>789</v>
      </c>
      <c r="C1081" s="52" t="s">
        <v>731</v>
      </c>
      <c r="D1081" s="53">
        <v>1990</v>
      </c>
      <c r="E1081" s="54">
        <v>241536221</v>
      </c>
      <c r="F1081" s="54">
        <v>259760502.19999999</v>
      </c>
      <c r="G1081" s="54">
        <v>240900345</v>
      </c>
      <c r="H1081" s="54">
        <v>92438242</v>
      </c>
      <c r="I1081" s="55">
        <f t="shared" si="49"/>
        <v>834635310.20000005</v>
      </c>
      <c r="J1081" s="54">
        <v>0</v>
      </c>
      <c r="K1081" s="56">
        <f t="shared" si="50"/>
        <v>834635310.20000005</v>
      </c>
      <c r="L1081" s="37">
        <v>0</v>
      </c>
      <c r="M1081" s="69"/>
      <c r="O1081" s="38" t="str">
        <f>IF([1]totrevprm!O1082="","",[1]totrevprm!O1082)</f>
        <v/>
      </c>
    </row>
    <row r="1082" spans="1:26">
      <c r="A1082" s="50" t="s">
        <v>56</v>
      </c>
      <c r="B1082" s="51" t="s">
        <v>789</v>
      </c>
      <c r="C1082" s="52" t="s">
        <v>731</v>
      </c>
      <c r="D1082" s="53">
        <v>1991</v>
      </c>
      <c r="E1082" s="54">
        <v>260141719</v>
      </c>
      <c r="F1082" s="54">
        <v>205080765</v>
      </c>
      <c r="G1082" s="54">
        <v>241177952</v>
      </c>
      <c r="H1082" s="54">
        <v>82311078</v>
      </c>
      <c r="I1082" s="55">
        <f t="shared" si="49"/>
        <v>788711514</v>
      </c>
      <c r="J1082" s="54">
        <v>0</v>
      </c>
      <c r="K1082" s="56">
        <f t="shared" si="50"/>
        <v>788711514</v>
      </c>
      <c r="L1082" s="37">
        <v>0</v>
      </c>
      <c r="M1082" s="69"/>
      <c r="O1082" s="38" t="str">
        <f>IF([1]totrevprm!O1083="","",[1]totrevprm!O1083)</f>
        <v/>
      </c>
    </row>
    <row r="1083" spans="1:26">
      <c r="A1083" s="50" t="s">
        <v>56</v>
      </c>
      <c r="B1083" s="51" t="s">
        <v>789</v>
      </c>
      <c r="C1083" s="52" t="s">
        <v>731</v>
      </c>
      <c r="D1083" s="53">
        <v>1992</v>
      </c>
      <c r="E1083" s="54">
        <v>285808181</v>
      </c>
      <c r="F1083" s="54">
        <v>265144968.36000001</v>
      </c>
      <c r="G1083" s="54">
        <v>253737165</v>
      </c>
      <c r="H1083" s="54">
        <v>41944650</v>
      </c>
      <c r="I1083" s="55">
        <f t="shared" si="49"/>
        <v>846634964.36000001</v>
      </c>
      <c r="J1083" s="54">
        <v>0</v>
      </c>
      <c r="K1083" s="56">
        <f t="shared" si="50"/>
        <v>846634964.36000001</v>
      </c>
      <c r="L1083" s="37">
        <v>0</v>
      </c>
      <c r="M1083" s="69"/>
      <c r="O1083" s="38" t="str">
        <f>IF([1]totrevprm!O1084="","",[1]totrevprm!O1084)</f>
        <v/>
      </c>
    </row>
    <row r="1084" spans="1:26">
      <c r="A1084" s="50" t="s">
        <v>56</v>
      </c>
      <c r="B1084" s="51" t="s">
        <v>789</v>
      </c>
      <c r="C1084" s="52" t="s">
        <v>731</v>
      </c>
      <c r="D1084" s="53">
        <v>1993</v>
      </c>
      <c r="E1084" s="54">
        <v>279493617</v>
      </c>
      <c r="F1084" s="54">
        <v>264027730</v>
      </c>
      <c r="G1084" s="54">
        <v>283496014</v>
      </c>
      <c r="H1084" s="54">
        <v>74308335</v>
      </c>
      <c r="I1084" s="55">
        <f t="shared" si="49"/>
        <v>901325696</v>
      </c>
      <c r="J1084" s="54">
        <v>0</v>
      </c>
      <c r="K1084" s="56">
        <f t="shared" si="50"/>
        <v>901325696</v>
      </c>
      <c r="L1084" s="37">
        <v>0</v>
      </c>
      <c r="M1084" s="69"/>
      <c r="O1084" s="38" t="str">
        <f>IF([1]totrevprm!O1085="","",[1]totrevprm!O1085)</f>
        <v/>
      </c>
    </row>
    <row r="1085" spans="1:26">
      <c r="A1085" s="50" t="s">
        <v>56</v>
      </c>
      <c r="B1085" s="51" t="s">
        <v>789</v>
      </c>
      <c r="C1085" s="52" t="s">
        <v>731</v>
      </c>
      <c r="D1085" s="53">
        <v>1994</v>
      </c>
      <c r="E1085" s="54">
        <v>314086073</v>
      </c>
      <c r="F1085" s="54">
        <v>284405162</v>
      </c>
      <c r="G1085" s="54">
        <v>286147819</v>
      </c>
      <c r="H1085" s="54">
        <v>42554564</v>
      </c>
      <c r="I1085" s="55">
        <f t="shared" si="49"/>
        <v>927193618</v>
      </c>
      <c r="J1085" s="54">
        <v>0</v>
      </c>
      <c r="K1085" s="56">
        <f t="shared" si="50"/>
        <v>927193618</v>
      </c>
      <c r="L1085" s="37">
        <v>0</v>
      </c>
      <c r="M1085" s="69"/>
      <c r="O1085" s="38" t="str">
        <f>IF([1]totrevprm!O1086="","",[1]totrevprm!O1086)</f>
        <v/>
      </c>
    </row>
    <row r="1086" spans="1:26">
      <c r="A1086" s="50" t="s">
        <v>56</v>
      </c>
      <c r="B1086" s="51" t="s">
        <v>789</v>
      </c>
      <c r="C1086" s="52" t="s">
        <v>731</v>
      </c>
      <c r="D1086" s="53">
        <v>1995</v>
      </c>
      <c r="E1086" s="54">
        <v>332373812</v>
      </c>
      <c r="F1086" s="54">
        <v>272400511</v>
      </c>
      <c r="G1086" s="54">
        <v>298025547</v>
      </c>
      <c r="H1086" s="54">
        <v>28369697</v>
      </c>
      <c r="I1086" s="55">
        <f t="shared" si="49"/>
        <v>931169567</v>
      </c>
      <c r="J1086" s="54">
        <v>0</v>
      </c>
      <c r="K1086" s="56">
        <f t="shared" si="50"/>
        <v>931169567</v>
      </c>
      <c r="L1086" s="37">
        <v>0</v>
      </c>
      <c r="M1086" s="69"/>
      <c r="O1086" s="38" t="str">
        <f>IF([1]totrevprm!O1087="","",[1]totrevprm!O1087)</f>
        <v/>
      </c>
    </row>
    <row r="1087" spans="1:26">
      <c r="A1087" s="50" t="s">
        <v>56</v>
      </c>
      <c r="B1087" s="51" t="s">
        <v>789</v>
      </c>
      <c r="C1087" s="52" t="s">
        <v>759</v>
      </c>
      <c r="D1087" s="53">
        <v>1996</v>
      </c>
      <c r="E1087" s="54">
        <v>356329729</v>
      </c>
      <c r="F1087" s="54">
        <v>202957008</v>
      </c>
      <c r="G1087" s="54">
        <v>306213178</v>
      </c>
      <c r="H1087" s="54">
        <v>38576938</v>
      </c>
      <c r="I1087" s="55">
        <f t="shared" si="49"/>
        <v>904076853</v>
      </c>
      <c r="J1087" s="54">
        <v>0</v>
      </c>
      <c r="K1087" s="56">
        <f t="shared" si="50"/>
        <v>904076853</v>
      </c>
      <c r="L1087" s="37">
        <v>0</v>
      </c>
      <c r="M1087" s="69"/>
      <c r="O1087" s="38" t="str">
        <f>IF([1]totrevprm!O1088="","",[1]totrevprm!O1088)</f>
        <v/>
      </c>
    </row>
    <row r="1088" spans="1:26">
      <c r="A1088" s="50" t="s">
        <v>56</v>
      </c>
      <c r="B1088" s="51" t="s">
        <v>789</v>
      </c>
      <c r="C1088" s="52" t="s">
        <v>731</v>
      </c>
      <c r="D1088" s="53">
        <v>1997</v>
      </c>
      <c r="E1088" s="54">
        <v>327085853</v>
      </c>
      <c r="F1088" s="54">
        <v>269116727</v>
      </c>
      <c r="G1088" s="54">
        <v>295343014</v>
      </c>
      <c r="H1088" s="54">
        <v>66111619</v>
      </c>
      <c r="I1088" s="55">
        <f t="shared" si="49"/>
        <v>957657213</v>
      </c>
      <c r="J1088" s="54">
        <v>0</v>
      </c>
      <c r="K1088" s="56">
        <f t="shared" si="50"/>
        <v>957657213</v>
      </c>
      <c r="L1088" s="37">
        <v>0</v>
      </c>
      <c r="M1088" s="69"/>
      <c r="O1088" s="38" t="str">
        <f>IF([1]totrevprm!O1089="","",[1]totrevprm!O1089)</f>
        <v/>
      </c>
    </row>
    <row r="1089" spans="1:26">
      <c r="A1089" s="50" t="s">
        <v>56</v>
      </c>
      <c r="B1089" s="51" t="s">
        <v>789</v>
      </c>
      <c r="C1089" s="52" t="s">
        <v>731</v>
      </c>
      <c r="D1089" s="53">
        <v>1998</v>
      </c>
      <c r="E1089" s="54">
        <v>379340368</v>
      </c>
      <c r="F1089" s="54">
        <v>273163517</v>
      </c>
      <c r="G1089" s="54">
        <v>296275080</v>
      </c>
      <c r="H1089" s="54">
        <v>102922212</v>
      </c>
      <c r="I1089" s="55">
        <f t="shared" si="49"/>
        <v>1051701177</v>
      </c>
      <c r="J1089" s="54">
        <v>0</v>
      </c>
      <c r="K1089" s="56">
        <f t="shared" si="50"/>
        <v>1051701177</v>
      </c>
      <c r="L1089" s="37">
        <v>0</v>
      </c>
      <c r="M1089" s="69"/>
      <c r="O1089" s="38" t="str">
        <f>IF([1]totrevprm!O1090="","",[1]totrevprm!O1090)</f>
        <v/>
      </c>
    </row>
    <row r="1090" spans="1:26">
      <c r="A1090" s="50" t="s">
        <v>56</v>
      </c>
      <c r="B1090" s="51" t="s">
        <v>789</v>
      </c>
      <c r="C1090" s="52" t="s">
        <v>731</v>
      </c>
      <c r="D1090" s="53">
        <v>1999</v>
      </c>
      <c r="E1090" s="54">
        <v>383399884</v>
      </c>
      <c r="F1090" s="54">
        <v>353550676</v>
      </c>
      <c r="G1090" s="54">
        <v>311830778</v>
      </c>
      <c r="H1090" s="54">
        <v>85811125</v>
      </c>
      <c r="I1090" s="55">
        <f t="shared" si="49"/>
        <v>1134592463</v>
      </c>
      <c r="J1090" s="54">
        <v>0</v>
      </c>
      <c r="K1090" s="56">
        <f t="shared" si="50"/>
        <v>1134592463</v>
      </c>
      <c r="L1090" s="37">
        <v>0</v>
      </c>
      <c r="M1090" s="69"/>
      <c r="O1090" s="38" t="str">
        <f>IF([1]totrevprm!O1091="","",[1]totrevprm!O1091)</f>
        <v/>
      </c>
    </row>
    <row r="1091" spans="1:26">
      <c r="A1091" s="50" t="s">
        <v>56</v>
      </c>
      <c r="B1091" s="51" t="s">
        <v>789</v>
      </c>
      <c r="C1091" s="52" t="s">
        <v>731</v>
      </c>
      <c r="D1091" s="53">
        <v>2000</v>
      </c>
      <c r="E1091" s="54">
        <v>371612555</v>
      </c>
      <c r="F1091" s="54">
        <v>356810727</v>
      </c>
      <c r="G1091" s="54">
        <v>327324467</v>
      </c>
      <c r="H1091" s="54">
        <v>49837913</v>
      </c>
      <c r="I1091" s="55">
        <f t="shared" si="49"/>
        <v>1105585662</v>
      </c>
      <c r="J1091" s="54">
        <v>0</v>
      </c>
      <c r="K1091" s="56">
        <f t="shared" si="50"/>
        <v>1105585662</v>
      </c>
      <c r="L1091" s="37">
        <v>0</v>
      </c>
      <c r="M1091" s="69"/>
      <c r="O1091" s="38" t="str">
        <f>IF([1]totrevprm!O1092="","",[1]totrevprm!O1092)</f>
        <v/>
      </c>
      <c r="V1091" s="38" t="s">
        <v>789</v>
      </c>
      <c r="W1091" s="58">
        <v>42281</v>
      </c>
      <c r="X1091" s="58">
        <v>4532220</v>
      </c>
      <c r="Y1091" s="58">
        <v>4765296</v>
      </c>
      <c r="Z1091" s="58">
        <v>0</v>
      </c>
    </row>
    <row r="1092" spans="1:26">
      <c r="A1092" s="50" t="s">
        <v>56</v>
      </c>
      <c r="B1092" s="51" t="s">
        <v>789</v>
      </c>
      <c r="C1092" s="52" t="s">
        <v>731</v>
      </c>
      <c r="D1092" s="53">
        <v>2001</v>
      </c>
      <c r="E1092" s="54">
        <v>363577918</v>
      </c>
      <c r="F1092" s="54">
        <v>493492136</v>
      </c>
      <c r="G1092" s="54">
        <v>327779405</v>
      </c>
      <c r="H1092" s="54">
        <v>39427603</v>
      </c>
      <c r="I1092" s="55">
        <f t="shared" si="49"/>
        <v>1224277062</v>
      </c>
      <c r="J1092" s="54">
        <v>0</v>
      </c>
      <c r="K1092" s="56">
        <f t="shared" si="50"/>
        <v>1224277062</v>
      </c>
      <c r="L1092" s="37">
        <v>0</v>
      </c>
      <c r="M1092" s="69"/>
      <c r="O1092" s="38" t="str">
        <f>IF([1]totrevprm!O1093="","",[1]totrevprm!O1093)</f>
        <v/>
      </c>
      <c r="V1092" s="38"/>
      <c r="W1092" s="58"/>
      <c r="X1092" s="58"/>
      <c r="Y1092" s="58"/>
      <c r="Z1092" s="58"/>
    </row>
    <row r="1093" spans="1:26">
      <c r="A1093" s="50" t="s">
        <v>56</v>
      </c>
      <c r="B1093" s="51" t="s">
        <v>789</v>
      </c>
      <c r="C1093" s="52" t="s">
        <v>731</v>
      </c>
      <c r="D1093" s="53">
        <v>2002</v>
      </c>
      <c r="E1093" s="54">
        <v>346960375</v>
      </c>
      <c r="F1093" s="54">
        <v>774499331</v>
      </c>
      <c r="G1093" s="54">
        <v>339227506</v>
      </c>
      <c r="H1093" s="54">
        <v>110238020</v>
      </c>
      <c r="I1093" s="55">
        <f t="shared" si="49"/>
        <v>1570925232</v>
      </c>
      <c r="J1093" s="54">
        <v>0</v>
      </c>
      <c r="K1093" s="56">
        <f t="shared" si="50"/>
        <v>1570925232</v>
      </c>
      <c r="L1093" s="37">
        <v>0</v>
      </c>
      <c r="M1093" s="69"/>
      <c r="O1093" s="38" t="str">
        <f>IF([1]totrevprm!O1094="","",[1]totrevprm!O1094)</f>
        <v/>
      </c>
      <c r="V1093" s="38"/>
      <c r="W1093" s="58"/>
      <c r="X1093" s="58"/>
      <c r="Y1093" s="58"/>
      <c r="Z1093" s="58"/>
    </row>
    <row r="1094" spans="1:26">
      <c r="A1094" s="50" t="s">
        <v>56</v>
      </c>
      <c r="B1094" s="51" t="s">
        <v>789</v>
      </c>
      <c r="C1094" s="52" t="s">
        <v>731</v>
      </c>
      <c r="D1094" s="53">
        <v>2003</v>
      </c>
      <c r="E1094" s="59">
        <v>383633208</v>
      </c>
      <c r="F1094" s="59">
        <v>686958663</v>
      </c>
      <c r="G1094" s="59">
        <v>358910278</v>
      </c>
      <c r="H1094" s="59">
        <v>74796393</v>
      </c>
      <c r="I1094" s="55">
        <f t="shared" si="49"/>
        <v>1504298542</v>
      </c>
      <c r="J1094" s="54">
        <v>0</v>
      </c>
      <c r="K1094" s="56">
        <f t="shared" si="50"/>
        <v>1504298542</v>
      </c>
      <c r="L1094" s="37">
        <v>0</v>
      </c>
      <c r="M1094" s="69"/>
      <c r="O1094" s="38" t="str">
        <f>IF([1]totrevprm!O1095="","",[1]totrevprm!O1095)</f>
        <v/>
      </c>
      <c r="V1094" s="38"/>
      <c r="W1094" s="58"/>
      <c r="X1094" s="58"/>
      <c r="Y1094" s="58"/>
      <c r="Z1094" s="58"/>
    </row>
    <row r="1095" spans="1:26">
      <c r="A1095" s="50" t="s">
        <v>56</v>
      </c>
      <c r="B1095" s="51" t="s">
        <v>789</v>
      </c>
      <c r="C1095" s="52" t="s">
        <v>731</v>
      </c>
      <c r="D1095" s="53">
        <v>2004</v>
      </c>
      <c r="E1095" s="59">
        <v>381166967</v>
      </c>
      <c r="F1095" s="59">
        <v>641007904</v>
      </c>
      <c r="G1095" s="59">
        <v>394769423</v>
      </c>
      <c r="H1095" s="59">
        <v>91170299</v>
      </c>
      <c r="I1095" s="55">
        <f t="shared" si="49"/>
        <v>1508114593</v>
      </c>
      <c r="J1095" s="54">
        <v>0</v>
      </c>
      <c r="K1095" s="56">
        <f t="shared" si="50"/>
        <v>1508114593</v>
      </c>
      <c r="L1095" s="37">
        <v>0</v>
      </c>
      <c r="M1095" s="69"/>
      <c r="O1095" s="38" t="str">
        <f>IF([1]totrevprm!O1096="","",[1]totrevprm!O1096)</f>
        <v/>
      </c>
      <c r="V1095" s="38"/>
      <c r="W1095" s="58"/>
      <c r="X1095" s="58"/>
      <c r="Y1095" s="58"/>
      <c r="Z1095" s="58"/>
    </row>
    <row r="1096" spans="1:26">
      <c r="A1096" s="50" t="s">
        <v>56</v>
      </c>
      <c r="B1096" s="51" t="s">
        <v>789</v>
      </c>
      <c r="C1096" s="52"/>
      <c r="D1096" s="53">
        <v>2005</v>
      </c>
      <c r="E1096" s="59">
        <v>412156500</v>
      </c>
      <c r="F1096" s="59">
        <v>593862991</v>
      </c>
      <c r="G1096" s="59">
        <v>428512325.73000002</v>
      </c>
      <c r="H1096" s="59">
        <v>129230456</v>
      </c>
      <c r="I1096" s="55">
        <f t="shared" si="49"/>
        <v>1563762272.73</v>
      </c>
      <c r="J1096" s="54">
        <v>0</v>
      </c>
      <c r="K1096" s="56">
        <f t="shared" si="50"/>
        <v>1563762272.73</v>
      </c>
      <c r="L1096" s="37">
        <v>0</v>
      </c>
      <c r="M1096" s="69"/>
      <c r="O1096" s="38" t="str">
        <f>IF([1]totrevprm!O1097="","",[1]totrevprm!O1097)</f>
        <v/>
      </c>
      <c r="V1096" s="38"/>
      <c r="W1096" s="58"/>
      <c r="X1096" s="58"/>
      <c r="Y1096" s="58"/>
      <c r="Z1096" s="58"/>
    </row>
    <row r="1097" spans="1:26">
      <c r="A1097" s="50" t="s">
        <v>56</v>
      </c>
      <c r="B1097" s="51" t="s">
        <v>789</v>
      </c>
      <c r="C1097" s="52"/>
      <c r="D1097" s="53">
        <v>2006</v>
      </c>
      <c r="E1097" s="37">
        <v>444502774</v>
      </c>
      <c r="F1097" s="37">
        <v>558130092</v>
      </c>
      <c r="G1097" s="37">
        <v>496838075</v>
      </c>
      <c r="H1097" s="37">
        <v>168348202</v>
      </c>
      <c r="I1097" s="55">
        <f t="shared" si="49"/>
        <v>1667819143</v>
      </c>
      <c r="J1097" s="54">
        <v>0</v>
      </c>
      <c r="K1097" s="56">
        <f t="shared" si="50"/>
        <v>1667819143</v>
      </c>
      <c r="L1097" s="37">
        <v>0</v>
      </c>
      <c r="M1097" s="69"/>
      <c r="O1097" s="38" t="str">
        <f>IF([1]totrevprm!O1098="","",[1]totrevprm!O1098)</f>
        <v/>
      </c>
      <c r="V1097" s="38"/>
      <c r="W1097" s="58"/>
      <c r="X1097" s="58"/>
      <c r="Y1097" s="58"/>
      <c r="Z1097" s="58"/>
    </row>
    <row r="1098" spans="1:26">
      <c r="A1098" s="50" t="s">
        <v>56</v>
      </c>
      <c r="B1098" s="51" t="s">
        <v>789</v>
      </c>
      <c r="C1098" s="52"/>
      <c r="D1098" s="53">
        <v>2007</v>
      </c>
      <c r="E1098" s="37">
        <v>477497084</v>
      </c>
      <c r="F1098" s="37">
        <v>559526907</v>
      </c>
      <c r="G1098" s="37">
        <v>868271880</v>
      </c>
      <c r="H1098" s="37">
        <v>80082857</v>
      </c>
      <c r="I1098" s="55">
        <f t="shared" si="49"/>
        <v>1985378728</v>
      </c>
      <c r="J1098" s="54">
        <v>0</v>
      </c>
      <c r="K1098" s="56">
        <f t="shared" si="50"/>
        <v>1985378728</v>
      </c>
      <c r="L1098" s="37">
        <v>0</v>
      </c>
      <c r="M1098" s="69"/>
      <c r="O1098" s="38" t="str">
        <f>IF([1]totrevprm!O1099="","",[1]totrevprm!O1099)</f>
        <v/>
      </c>
      <c r="V1098" s="38"/>
      <c r="W1098" s="58"/>
      <c r="X1098" s="58"/>
      <c r="Y1098" s="58"/>
      <c r="Z1098" s="58"/>
    </row>
    <row r="1099" spans="1:26">
      <c r="A1099" s="50" t="s">
        <v>56</v>
      </c>
      <c r="B1099" s="51" t="s">
        <v>789</v>
      </c>
      <c r="C1099" s="52"/>
      <c r="D1099" s="53">
        <v>2008</v>
      </c>
      <c r="E1099" s="37">
        <v>471342822</v>
      </c>
      <c r="F1099" s="37">
        <v>795665312</v>
      </c>
      <c r="G1099" s="37">
        <v>1037783684</v>
      </c>
      <c r="H1099" s="37">
        <v>261653876</v>
      </c>
      <c r="I1099" s="55">
        <f t="shared" si="49"/>
        <v>2566445694</v>
      </c>
      <c r="J1099" s="54">
        <v>0</v>
      </c>
      <c r="K1099" s="56">
        <f t="shared" si="50"/>
        <v>2566445694</v>
      </c>
      <c r="L1099" s="37">
        <v>0</v>
      </c>
      <c r="M1099" s="69"/>
      <c r="O1099" s="38" t="str">
        <f>IF([1]totrevprm!O1100="","",[1]totrevprm!O1100)</f>
        <v/>
      </c>
      <c r="V1099" s="38"/>
      <c r="W1099" s="58"/>
      <c r="X1099" s="58"/>
      <c r="Y1099" s="58"/>
      <c r="Z1099" s="58"/>
    </row>
    <row r="1100" spans="1:26">
      <c r="A1100" s="50" t="s">
        <v>56</v>
      </c>
      <c r="B1100" s="51" t="s">
        <v>789</v>
      </c>
      <c r="C1100" s="52"/>
      <c r="D1100" s="53">
        <v>2009</v>
      </c>
      <c r="E1100" s="37">
        <v>501259480</v>
      </c>
      <c r="F1100" s="37">
        <v>828000435</v>
      </c>
      <c r="G1100" s="37">
        <v>1097122149</v>
      </c>
      <c r="H1100" s="37">
        <v>282328023</v>
      </c>
      <c r="I1100" s="55">
        <f t="shared" si="49"/>
        <v>2708710087</v>
      </c>
      <c r="J1100" s="54">
        <v>0</v>
      </c>
      <c r="K1100" s="56">
        <f t="shared" si="50"/>
        <v>2708710087</v>
      </c>
      <c r="L1100" s="37">
        <v>0</v>
      </c>
      <c r="M1100" s="69"/>
      <c r="O1100" s="38" t="str">
        <f>IF([1]totrevprm!O1101="","",[1]totrevprm!O1101)</f>
        <v/>
      </c>
      <c r="V1100" s="38"/>
      <c r="W1100" s="58"/>
      <c r="X1100" s="58"/>
      <c r="Y1100" s="58"/>
      <c r="Z1100" s="58"/>
    </row>
    <row r="1101" spans="1:26">
      <c r="A1101" s="50" t="s">
        <v>56</v>
      </c>
      <c r="B1101" s="51" t="s">
        <v>789</v>
      </c>
      <c r="C1101" s="52"/>
      <c r="D1101" s="53">
        <v>2010</v>
      </c>
      <c r="E1101" s="37">
        <v>513799242</v>
      </c>
      <c r="F1101" s="37">
        <v>763154173</v>
      </c>
      <c r="G1101" s="37">
        <v>1173877203</v>
      </c>
      <c r="H1101" s="37">
        <v>494814110</v>
      </c>
      <c r="I1101" s="55">
        <f t="shared" si="49"/>
        <v>2945644728</v>
      </c>
      <c r="J1101" s="54">
        <v>0</v>
      </c>
      <c r="K1101" s="56">
        <f t="shared" si="50"/>
        <v>2945644728</v>
      </c>
      <c r="L1101" s="37">
        <v>0</v>
      </c>
      <c r="M1101" s="69"/>
      <c r="O1101" s="38" t="str">
        <f>IF([1]totrevprm!O1102="","",[1]totrevprm!O1102)</f>
        <v/>
      </c>
      <c r="V1101" s="38"/>
      <c r="W1101" s="58"/>
      <c r="X1101" s="58"/>
      <c r="Y1101" s="58"/>
      <c r="Z1101" s="58"/>
    </row>
    <row r="1102" spans="1:26">
      <c r="A1102" s="50" t="s">
        <v>56</v>
      </c>
      <c r="B1102" s="51" t="s">
        <v>789</v>
      </c>
      <c r="C1102" s="52"/>
      <c r="D1102" s="53">
        <v>2011</v>
      </c>
      <c r="E1102" s="37">
        <v>522619402</v>
      </c>
      <c r="F1102" s="37">
        <v>606420884</v>
      </c>
      <c r="G1102" s="37">
        <v>1356175416.9400001</v>
      </c>
      <c r="H1102" s="37">
        <v>482548453</v>
      </c>
      <c r="I1102" s="55">
        <f t="shared" si="49"/>
        <v>2967764155.9400001</v>
      </c>
      <c r="J1102" s="54">
        <v>0</v>
      </c>
      <c r="K1102" s="56">
        <f t="shared" si="50"/>
        <v>2967764155.9400001</v>
      </c>
      <c r="L1102" s="37">
        <v>0</v>
      </c>
      <c r="M1102" s="69"/>
      <c r="O1102" s="38" t="str">
        <f>IF([1]totrevprm!O1103="","",[1]totrevprm!O1103)</f>
        <v/>
      </c>
      <c r="V1102" s="38"/>
      <c r="W1102" s="58"/>
      <c r="X1102" s="58"/>
      <c r="Y1102" s="58"/>
      <c r="Z1102" s="58"/>
    </row>
    <row r="1103" spans="1:26">
      <c r="A1103" s="50" t="s">
        <v>56</v>
      </c>
      <c r="B1103" s="51" t="s">
        <v>789</v>
      </c>
      <c r="C1103" s="52"/>
      <c r="D1103" s="53">
        <v>2012</v>
      </c>
      <c r="E1103" s="37">
        <v>593175594</v>
      </c>
      <c r="F1103" s="37">
        <v>849596896</v>
      </c>
      <c r="G1103" s="37">
        <v>1086540751</v>
      </c>
      <c r="H1103" s="37">
        <v>167588601</v>
      </c>
      <c r="I1103" s="55">
        <f t="shared" si="49"/>
        <v>2696901842</v>
      </c>
      <c r="J1103" s="54">
        <v>0</v>
      </c>
      <c r="K1103" s="56">
        <f t="shared" si="50"/>
        <v>2696901842</v>
      </c>
      <c r="L1103" s="37">
        <v>0</v>
      </c>
      <c r="M1103" s="69"/>
      <c r="O1103" s="38" t="str">
        <f>IF([1]totrevprm!O1104="","",[1]totrevprm!O1104)</f>
        <v/>
      </c>
      <c r="V1103" s="38"/>
      <c r="W1103" s="58"/>
      <c r="X1103" s="58"/>
      <c r="Y1103" s="58"/>
      <c r="Z1103" s="58"/>
    </row>
    <row r="1104" spans="1:26">
      <c r="A1104" s="50" t="s">
        <v>56</v>
      </c>
      <c r="B1104" s="51" t="s">
        <v>789</v>
      </c>
      <c r="C1104" s="52"/>
      <c r="D1104" s="53">
        <v>2013</v>
      </c>
      <c r="E1104" s="37">
        <v>546481681</v>
      </c>
      <c r="F1104" s="37">
        <v>870464239</v>
      </c>
      <c r="G1104" s="37">
        <v>1105719793</v>
      </c>
      <c r="H1104" s="37">
        <v>582879699</v>
      </c>
      <c r="I1104" s="55">
        <f t="shared" si="49"/>
        <v>3105545412</v>
      </c>
      <c r="J1104" s="54">
        <v>0</v>
      </c>
      <c r="K1104" s="56">
        <f t="shared" si="50"/>
        <v>3105545412</v>
      </c>
      <c r="L1104" s="37">
        <v>0</v>
      </c>
      <c r="M1104" s="69"/>
      <c r="O1104" s="38" t="str">
        <f>IF([1]totrevprm!O1105="","",[1]totrevprm!O1105)</f>
        <v/>
      </c>
      <c r="V1104" s="38"/>
      <c r="W1104" s="58"/>
      <c r="X1104" s="58"/>
      <c r="Y1104" s="58"/>
      <c r="Z1104" s="58"/>
    </row>
    <row r="1105" spans="1:26">
      <c r="A1105" s="50" t="s">
        <v>56</v>
      </c>
      <c r="B1105" s="51" t="s">
        <v>789</v>
      </c>
      <c r="C1105" s="52"/>
      <c r="D1105" s="53">
        <v>2014</v>
      </c>
      <c r="E1105" s="37">
        <v>560684666</v>
      </c>
      <c r="F1105" s="37">
        <v>923133517</v>
      </c>
      <c r="G1105" s="37">
        <v>1071736115.95</v>
      </c>
      <c r="H1105" s="37">
        <v>409692612</v>
      </c>
      <c r="I1105" s="55">
        <f t="shared" si="49"/>
        <v>2965246910.9499998</v>
      </c>
      <c r="J1105" s="54">
        <v>0</v>
      </c>
      <c r="K1105" s="56">
        <f t="shared" si="50"/>
        <v>2965246910.9499998</v>
      </c>
      <c r="L1105" s="37">
        <v>0</v>
      </c>
      <c r="M1105" s="69"/>
      <c r="O1105" s="38" t="str">
        <f>IF([1]totrevprm!O1106="","",[1]totrevprm!O1106)</f>
        <v/>
      </c>
      <c r="V1105" s="38"/>
      <c r="W1105" s="58"/>
      <c r="X1105" s="58"/>
      <c r="Y1105" s="58"/>
      <c r="Z1105" s="58"/>
    </row>
    <row r="1106" spans="1:26">
      <c r="A1106" s="50" t="s">
        <v>56</v>
      </c>
      <c r="B1106" s="51" t="s">
        <v>789</v>
      </c>
      <c r="C1106" s="52"/>
      <c r="D1106" s="53">
        <v>2015</v>
      </c>
      <c r="E1106" s="37">
        <v>582507540</v>
      </c>
      <c r="F1106" s="37">
        <v>1644751861</v>
      </c>
      <c r="G1106" s="37">
        <v>910142634</v>
      </c>
      <c r="H1106" s="37">
        <v>19433854</v>
      </c>
      <c r="I1106" s="55">
        <f t="shared" si="49"/>
        <v>3156835889</v>
      </c>
      <c r="J1106" s="54">
        <v>0</v>
      </c>
      <c r="K1106" s="56">
        <f t="shared" si="50"/>
        <v>3156835889</v>
      </c>
      <c r="L1106" s="37">
        <v>357523045</v>
      </c>
      <c r="M1106" s="69" t="s">
        <v>735</v>
      </c>
      <c r="N1106" t="s">
        <v>708</v>
      </c>
      <c r="O1106" s="38" t="str">
        <f>IF([1]totrevprm!O1107="","",[1]totrevprm!O1107)</f>
        <v/>
      </c>
      <c r="P1106" s="35">
        <v>117778713.63853712</v>
      </c>
      <c r="Q1106" s="35">
        <v>59012960.350000001</v>
      </c>
      <c r="R1106" s="67"/>
      <c r="S1106" s="69"/>
      <c r="T1106" s="69"/>
      <c r="V1106" s="38"/>
      <c r="W1106" s="58"/>
      <c r="X1106" s="58"/>
      <c r="Y1106" s="58"/>
      <c r="Z1106" s="58"/>
    </row>
    <row r="1107" spans="1:26">
      <c r="A1107" s="50" t="s">
        <v>56</v>
      </c>
      <c r="B1107" s="51" t="s">
        <v>789</v>
      </c>
      <c r="C1107" s="52"/>
      <c r="D1107" s="53">
        <v>2016</v>
      </c>
      <c r="E1107" s="37">
        <v>585963246</v>
      </c>
      <c r="F1107" s="37">
        <v>2842885065</v>
      </c>
      <c r="G1107" s="37">
        <v>971656243</v>
      </c>
      <c r="H1107" s="37">
        <v>35871328</v>
      </c>
      <c r="I1107" s="55">
        <f t="shared" si="49"/>
        <v>4436375882</v>
      </c>
      <c r="J1107" s="54">
        <v>0</v>
      </c>
      <c r="K1107" s="56">
        <f t="shared" si="50"/>
        <v>4436375882</v>
      </c>
      <c r="L1107" s="37">
        <v>1112223913</v>
      </c>
      <c r="M1107" s="69" t="s">
        <v>735</v>
      </c>
      <c r="N1107" t="s">
        <v>708</v>
      </c>
      <c r="O1107" s="38" t="str">
        <f>IF([1]totrevprm!O1108="","",[1]totrevprm!O1108)</f>
        <v/>
      </c>
      <c r="P1107" s="35">
        <v>126430483.77376795</v>
      </c>
      <c r="Q1107" s="35">
        <v>59823566.219999999</v>
      </c>
      <c r="R1107" s="67"/>
      <c r="S1107" s="69"/>
      <c r="T1107" s="69"/>
      <c r="V1107" s="38"/>
      <c r="W1107" s="58"/>
      <c r="X1107" s="58"/>
      <c r="Y1107" s="58"/>
      <c r="Z1107" s="58"/>
    </row>
    <row r="1108" spans="1:26">
      <c r="A1108" s="50" t="s">
        <v>56</v>
      </c>
      <c r="B1108" s="51" t="s">
        <v>789</v>
      </c>
      <c r="C1108" s="52"/>
      <c r="D1108" s="53">
        <v>2017</v>
      </c>
      <c r="E1108" s="37">
        <v>615949350</v>
      </c>
      <c r="F1108" s="37">
        <v>1587534776</v>
      </c>
      <c r="G1108" s="37">
        <v>1032567372.05</v>
      </c>
      <c r="H1108" s="37">
        <v>25842955</v>
      </c>
      <c r="I1108" s="55">
        <f t="shared" si="49"/>
        <v>3261894453.0500002</v>
      </c>
      <c r="J1108" s="54">
        <v>0</v>
      </c>
      <c r="K1108" s="56">
        <f t="shared" si="50"/>
        <v>3261894453.0500002</v>
      </c>
      <c r="L1108" s="60">
        <v>68593659</v>
      </c>
      <c r="M1108" s="69" t="s">
        <v>735</v>
      </c>
      <c r="N1108" t="s">
        <v>708</v>
      </c>
      <c r="O1108" s="38" t="str">
        <f>IF([1]totrevprm!O1109="","",[1]totrevprm!O1109)</f>
        <v/>
      </c>
      <c r="P1108" s="35">
        <v>129626725.7166363</v>
      </c>
      <c r="Q1108" s="35">
        <v>59048531.960000001</v>
      </c>
      <c r="R1108" s="67"/>
      <c r="S1108" s="69"/>
      <c r="T1108" s="69"/>
      <c r="V1108" s="38"/>
      <c r="W1108" s="58"/>
      <c r="X1108" s="58"/>
      <c r="Y1108" s="58"/>
      <c r="Z1108" s="58"/>
    </row>
    <row r="1109" spans="1:26">
      <c r="A1109" s="50" t="s">
        <v>56</v>
      </c>
      <c r="B1109" s="51" t="s">
        <v>789</v>
      </c>
      <c r="C1109" s="52"/>
      <c r="D1109" s="53">
        <v>2018</v>
      </c>
      <c r="E1109" s="37">
        <v>604866184</v>
      </c>
      <c r="F1109" s="37">
        <v>2102923927</v>
      </c>
      <c r="G1109" s="37">
        <v>1187734254.23</v>
      </c>
      <c r="H1109" s="37">
        <v>17998315</v>
      </c>
      <c r="I1109" s="55">
        <f t="shared" si="49"/>
        <v>3913522680.23</v>
      </c>
      <c r="J1109" s="54">
        <v>0</v>
      </c>
      <c r="K1109" s="56">
        <f t="shared" si="50"/>
        <v>3913522680.23</v>
      </c>
      <c r="L1109" s="60">
        <v>56794683</v>
      </c>
      <c r="M1109" s="69" t="s">
        <v>735</v>
      </c>
      <c r="N1109" t="s">
        <v>708</v>
      </c>
      <c r="O1109" s="38" t="str">
        <f>IF([1]totrevprm!O1110="","",[1]totrevprm!O1110)</f>
        <v/>
      </c>
      <c r="P1109" s="35">
        <v>132813558.51171269</v>
      </c>
      <c r="Q1109" s="35">
        <v>57372993.57</v>
      </c>
      <c r="R1109" s="67"/>
      <c r="S1109" s="69"/>
      <c r="T1109" s="69"/>
      <c r="V1109" s="38"/>
      <c r="W1109" s="58"/>
      <c r="X1109" s="58"/>
      <c r="Y1109" s="58"/>
      <c r="Z1109" s="58"/>
    </row>
    <row r="1110" spans="1:26">
      <c r="A1110" s="50" t="s">
        <v>56</v>
      </c>
      <c r="B1110" s="51" t="s">
        <v>789</v>
      </c>
      <c r="C1110" s="52"/>
      <c r="D1110" s="53">
        <v>2019</v>
      </c>
      <c r="E1110" s="37">
        <v>621693544</v>
      </c>
      <c r="F1110" s="37">
        <v>1748911845</v>
      </c>
      <c r="G1110" s="37">
        <v>1130072575.75</v>
      </c>
      <c r="H1110" s="37">
        <v>21552986</v>
      </c>
      <c r="I1110" s="55">
        <f t="shared" si="49"/>
        <v>3522230950.75</v>
      </c>
      <c r="J1110" s="54">
        <v>0</v>
      </c>
      <c r="K1110" s="56">
        <f t="shared" si="50"/>
        <v>3522230950.75</v>
      </c>
      <c r="L1110" s="60">
        <v>9573430</v>
      </c>
      <c r="M1110" s="69" t="s">
        <v>735</v>
      </c>
      <c r="N1110" t="s">
        <v>708</v>
      </c>
      <c r="O1110" s="38" t="str">
        <f>IF([1]totrevprm!O1111="","",[1]totrevprm!O1111)</f>
        <v/>
      </c>
      <c r="P1110" s="35">
        <v>138762150.16696852</v>
      </c>
      <c r="Q1110" s="35">
        <v>57496555.594471455</v>
      </c>
      <c r="R1110" s="67"/>
      <c r="S1110" s="69"/>
      <c r="T1110" s="69"/>
      <c r="V1110" s="38"/>
      <c r="W1110" s="58"/>
      <c r="X1110" s="58"/>
      <c r="Y1110" s="58"/>
      <c r="Z1110" s="58"/>
    </row>
    <row r="1111" spans="1:26">
      <c r="A1111" s="50" t="s">
        <v>56</v>
      </c>
      <c r="B1111" s="51" t="s">
        <v>789</v>
      </c>
      <c r="C1111" s="52"/>
      <c r="D1111" s="53">
        <v>2020</v>
      </c>
      <c r="E1111" s="37">
        <v>643762230</v>
      </c>
      <c r="F1111" s="37">
        <v>2105994542</v>
      </c>
      <c r="G1111" s="37">
        <v>2110548885</v>
      </c>
      <c r="H1111" s="37">
        <v>182987978</v>
      </c>
      <c r="I1111" s="55">
        <f t="shared" si="49"/>
        <v>5043293635</v>
      </c>
      <c r="J1111" s="54">
        <v>0</v>
      </c>
      <c r="K1111" s="56">
        <f t="shared" si="50"/>
        <v>5043293635</v>
      </c>
      <c r="L1111" s="60">
        <v>119097179</v>
      </c>
      <c r="M1111" s="69" t="s">
        <v>783</v>
      </c>
      <c r="N1111" t="s">
        <v>708</v>
      </c>
      <c r="O1111" s="38" t="str">
        <f>IF([1]totrevprm!O1112="","",[1]totrevprm!O1112)</f>
        <v>Yes</v>
      </c>
      <c r="P1111" s="35">
        <v>136384120</v>
      </c>
      <c r="Q1111" s="35">
        <v>55465755</v>
      </c>
      <c r="R1111" s="67"/>
      <c r="S1111" s="69"/>
      <c r="T1111" s="69"/>
      <c r="V1111" s="38"/>
      <c r="W1111" s="58"/>
      <c r="X1111" s="58"/>
      <c r="Y1111" s="58"/>
      <c r="Z1111" s="58"/>
    </row>
    <row r="1112" spans="1:26">
      <c r="A1112" s="50" t="s">
        <v>56</v>
      </c>
      <c r="B1112" s="51" t="s">
        <v>789</v>
      </c>
      <c r="C1112" s="52"/>
      <c r="D1112" s="53">
        <v>2021</v>
      </c>
      <c r="E1112" s="37">
        <v>714149054</v>
      </c>
      <c r="F1112" s="37">
        <v>2254865195</v>
      </c>
      <c r="G1112" s="37">
        <v>2133645539</v>
      </c>
      <c r="H1112" s="37">
        <v>57078357</v>
      </c>
      <c r="I1112" s="55">
        <f t="shared" si="49"/>
        <v>5159738145</v>
      </c>
      <c r="J1112" s="54">
        <v>0</v>
      </c>
      <c r="K1112" s="56">
        <f t="shared" si="50"/>
        <v>5159738145</v>
      </c>
      <c r="L1112" s="54">
        <v>0</v>
      </c>
      <c r="M1112" s="69" t="s">
        <v>739</v>
      </c>
      <c r="N1112" t="s">
        <v>708</v>
      </c>
      <c r="O1112" s="38"/>
      <c r="P1112" s="35">
        <v>128733937.69</v>
      </c>
      <c r="Q1112" s="35">
        <v>60589186</v>
      </c>
      <c r="R1112" s="67"/>
      <c r="S1112" s="69"/>
      <c r="T1112" s="69"/>
      <c r="V1112" s="38"/>
      <c r="W1112" s="58"/>
      <c r="X1112" s="58"/>
      <c r="Y1112" s="58"/>
      <c r="Z1112" s="58"/>
    </row>
    <row r="1113" spans="1:26">
      <c r="A1113" s="50" t="s">
        <v>56</v>
      </c>
      <c r="B1113" s="51" t="s">
        <v>789</v>
      </c>
      <c r="C1113" s="52"/>
      <c r="D1113" s="53">
        <v>2022</v>
      </c>
      <c r="E1113" s="37">
        <v>698215637</v>
      </c>
      <c r="F1113" s="37">
        <v>2547014677</v>
      </c>
      <c r="G1113" s="37">
        <v>2200680692</v>
      </c>
      <c r="H1113" s="37">
        <v>59772088</v>
      </c>
      <c r="I1113" s="55">
        <f t="shared" si="49"/>
        <v>5505683094</v>
      </c>
      <c r="J1113" s="54">
        <v>0</v>
      </c>
      <c r="K1113" s="56">
        <f t="shared" si="50"/>
        <v>5505683094</v>
      </c>
      <c r="L1113" s="54">
        <v>0</v>
      </c>
      <c r="M1113" s="69" t="s">
        <v>739</v>
      </c>
      <c r="N1113" t="s">
        <v>708</v>
      </c>
      <c r="O1113" s="38" t="str">
        <f>IF([1]totrevprm!O1116="","",[1]totrevprm!O1116)</f>
        <v/>
      </c>
      <c r="P1113" s="60">
        <v>144017116</v>
      </c>
      <c r="Q1113" s="60">
        <v>59549604</v>
      </c>
    </row>
    <row r="1114" spans="1:26">
      <c r="A1114" s="50" t="s">
        <v>56</v>
      </c>
      <c r="B1114" s="51" t="s">
        <v>789</v>
      </c>
      <c r="C1114" s="52"/>
      <c r="D1114" s="53">
        <v>2023</v>
      </c>
      <c r="E1114" s="37">
        <v>705600203</v>
      </c>
      <c r="F1114" s="37">
        <v>2766367173.7248998</v>
      </c>
      <c r="G1114" s="37">
        <v>2302997628.2990999</v>
      </c>
      <c r="H1114" s="37">
        <v>32550519</v>
      </c>
      <c r="I1114" s="55">
        <f t="shared" si="49"/>
        <v>5807515524.0240002</v>
      </c>
      <c r="K1114" s="56">
        <f t="shared" si="50"/>
        <v>5807515524.0240002</v>
      </c>
      <c r="L1114" s="37">
        <v>0</v>
      </c>
      <c r="M1114" s="69" t="s">
        <v>739</v>
      </c>
      <c r="O1114" s="38"/>
      <c r="P1114" s="60">
        <v>149889954.51999998</v>
      </c>
      <c r="Q1114" s="60">
        <v>59908586</v>
      </c>
    </row>
    <row r="1115" spans="1:26">
      <c r="A1115" s="50"/>
      <c r="B1115" s="52"/>
      <c r="C1115" s="52"/>
      <c r="E1115" s="54"/>
      <c r="F1115" s="54"/>
      <c r="G1115" s="54"/>
      <c r="H1115" s="54"/>
      <c r="I1115" s="55"/>
      <c r="K1115" s="65"/>
      <c r="L1115" s="37"/>
      <c r="M1115" s="69"/>
      <c r="O1115" s="38"/>
    </row>
    <row r="1116" spans="1:26">
      <c r="A1116" s="50" t="s">
        <v>57</v>
      </c>
      <c r="B1116" s="51" t="s">
        <v>301</v>
      </c>
      <c r="C1116" s="52" t="s">
        <v>790</v>
      </c>
      <c r="D1116" s="53">
        <v>1988</v>
      </c>
      <c r="E1116" s="54">
        <v>2073109199</v>
      </c>
      <c r="F1116" s="54">
        <v>1731834873</v>
      </c>
      <c r="G1116" s="54">
        <v>4227426164</v>
      </c>
      <c r="H1116" s="54">
        <v>1108412108</v>
      </c>
      <c r="I1116" s="55">
        <f t="shared" si="49"/>
        <v>9140782344</v>
      </c>
      <c r="J1116" s="54">
        <v>0</v>
      </c>
      <c r="K1116" s="56">
        <f>SUM(I1116:J1116)</f>
        <v>9140782344</v>
      </c>
      <c r="L1116" s="37">
        <v>0</v>
      </c>
      <c r="M1116" s="69"/>
      <c r="O1116" s="38" t="str">
        <f>IF([1]totrevprm!O1117="","",[1]totrevprm!O1117)</f>
        <v/>
      </c>
    </row>
    <row r="1117" spans="1:26">
      <c r="A1117" s="50" t="s">
        <v>57</v>
      </c>
      <c r="B1117" s="51" t="s">
        <v>301</v>
      </c>
      <c r="C1117" s="52" t="s">
        <v>791</v>
      </c>
      <c r="D1117" s="53">
        <v>1989</v>
      </c>
      <c r="E1117" s="54">
        <v>2183764728</v>
      </c>
      <c r="F1117" s="54">
        <v>1974007514</v>
      </c>
      <c r="G1117" s="54">
        <v>4745054555</v>
      </c>
      <c r="H1117" s="54">
        <v>969808889</v>
      </c>
      <c r="I1117" s="55">
        <f t="shared" si="49"/>
        <v>9872635686</v>
      </c>
      <c r="J1117" s="54">
        <v>0</v>
      </c>
      <c r="K1117" s="56">
        <f t="shared" ref="K1117:K1151" si="51">SUM(I1117:J1117)</f>
        <v>9872635686</v>
      </c>
      <c r="L1117" s="37">
        <v>0</v>
      </c>
      <c r="M1117" s="69"/>
      <c r="O1117" s="38" t="str">
        <f>IF([1]totrevprm!O1118="","",[1]totrevprm!O1118)</f>
        <v/>
      </c>
    </row>
    <row r="1118" spans="1:26">
      <c r="A1118" s="50" t="s">
        <v>57</v>
      </c>
      <c r="B1118" s="51" t="s">
        <v>301</v>
      </c>
      <c r="C1118" s="52" t="s">
        <v>792</v>
      </c>
      <c r="D1118" s="53">
        <v>1990</v>
      </c>
      <c r="E1118" s="54">
        <v>2364265442</v>
      </c>
      <c r="F1118" s="54">
        <v>2550437378.9200001</v>
      </c>
      <c r="G1118" s="54">
        <v>4888106724</v>
      </c>
      <c r="H1118" s="54">
        <v>1133655124</v>
      </c>
      <c r="I1118" s="55">
        <f t="shared" si="49"/>
        <v>10936464668.92</v>
      </c>
      <c r="J1118" s="54">
        <v>0</v>
      </c>
      <c r="K1118" s="56">
        <f t="shared" si="51"/>
        <v>10936464668.92</v>
      </c>
      <c r="L1118" s="37">
        <v>0</v>
      </c>
      <c r="M1118" s="69"/>
      <c r="O1118" s="38" t="str">
        <f>IF([1]totrevprm!O1119="","",[1]totrevprm!O1119)</f>
        <v/>
      </c>
    </row>
    <row r="1119" spans="1:26">
      <c r="A1119" s="50" t="s">
        <v>57</v>
      </c>
      <c r="B1119" s="51" t="s">
        <v>301</v>
      </c>
      <c r="C1119" s="52" t="s">
        <v>793</v>
      </c>
      <c r="D1119" s="53">
        <v>1991</v>
      </c>
      <c r="E1119" s="54">
        <v>2444151278</v>
      </c>
      <c r="F1119" s="54">
        <v>2481827275</v>
      </c>
      <c r="G1119" s="54">
        <v>4397986945</v>
      </c>
      <c r="H1119" s="54">
        <v>877253188</v>
      </c>
      <c r="I1119" s="55">
        <f t="shared" si="49"/>
        <v>10201218686</v>
      </c>
      <c r="J1119" s="54">
        <v>0</v>
      </c>
      <c r="K1119" s="56">
        <f t="shared" si="51"/>
        <v>10201218686</v>
      </c>
      <c r="L1119" s="37">
        <v>0</v>
      </c>
      <c r="M1119" s="69"/>
      <c r="O1119" s="38" t="str">
        <f>IF([1]totrevprm!O1120="","",[1]totrevprm!O1120)</f>
        <v/>
      </c>
    </row>
    <row r="1120" spans="1:26">
      <c r="A1120" s="50" t="s">
        <v>57</v>
      </c>
      <c r="B1120" s="51" t="s">
        <v>301</v>
      </c>
      <c r="C1120" s="52" t="s">
        <v>731</v>
      </c>
      <c r="D1120" s="53">
        <v>1992</v>
      </c>
      <c r="E1120" s="54">
        <v>2689828543</v>
      </c>
      <c r="F1120" s="54">
        <v>2929192389.8000002</v>
      </c>
      <c r="G1120" s="54">
        <v>4327663715</v>
      </c>
      <c r="H1120" s="54">
        <v>575311765</v>
      </c>
      <c r="I1120" s="55">
        <f t="shared" ref="I1120:I1183" si="52">SUM(E1120:H1120)</f>
        <v>10521996412.799999</v>
      </c>
      <c r="J1120" s="54">
        <v>0</v>
      </c>
      <c r="K1120" s="56">
        <f t="shared" si="51"/>
        <v>10521996412.799999</v>
      </c>
      <c r="L1120" s="37">
        <v>0</v>
      </c>
      <c r="M1120" s="69"/>
      <c r="O1120" s="38" t="str">
        <f>IF([1]totrevprm!O1121="","",[1]totrevprm!O1121)</f>
        <v/>
      </c>
    </row>
    <row r="1121" spans="1:26">
      <c r="A1121" s="50" t="s">
        <v>57</v>
      </c>
      <c r="B1121" s="51" t="s">
        <v>301</v>
      </c>
      <c r="C1121" s="52" t="s">
        <v>731</v>
      </c>
      <c r="D1121" s="53">
        <v>1993</v>
      </c>
      <c r="E1121" s="54">
        <v>2996718589</v>
      </c>
      <c r="F1121" s="54">
        <v>2532350985</v>
      </c>
      <c r="G1121" s="54">
        <v>4245833860</v>
      </c>
      <c r="H1121" s="54">
        <v>593521279</v>
      </c>
      <c r="I1121" s="55">
        <f t="shared" si="52"/>
        <v>10368424713</v>
      </c>
      <c r="J1121" s="54">
        <v>0</v>
      </c>
      <c r="K1121" s="56">
        <f t="shared" si="51"/>
        <v>10368424713</v>
      </c>
      <c r="L1121" s="37">
        <v>0</v>
      </c>
      <c r="M1121" s="69"/>
      <c r="O1121" s="38" t="str">
        <f>IF([1]totrevprm!O1122="","",[1]totrevprm!O1122)</f>
        <v/>
      </c>
    </row>
    <row r="1122" spans="1:26">
      <c r="A1122" s="50" t="s">
        <v>57</v>
      </c>
      <c r="B1122" s="51" t="s">
        <v>301</v>
      </c>
      <c r="C1122" s="52" t="s">
        <v>794</v>
      </c>
      <c r="D1122" s="53">
        <v>1994</v>
      </c>
      <c r="E1122" s="54">
        <v>3231932887</v>
      </c>
      <c r="F1122" s="54">
        <v>2957910836</v>
      </c>
      <c r="G1122" s="54">
        <v>4269926095</v>
      </c>
      <c r="H1122" s="54">
        <v>639234053</v>
      </c>
      <c r="I1122" s="55">
        <f t="shared" si="52"/>
        <v>11099003871</v>
      </c>
      <c r="J1122" s="54">
        <v>0</v>
      </c>
      <c r="K1122" s="56">
        <f t="shared" si="51"/>
        <v>11099003871</v>
      </c>
      <c r="L1122" s="37">
        <v>0</v>
      </c>
      <c r="M1122" s="69"/>
      <c r="O1122" s="38" t="str">
        <f>IF([1]totrevprm!O1123="","",[1]totrevprm!O1123)</f>
        <v/>
      </c>
    </row>
    <row r="1123" spans="1:26">
      <c r="A1123" s="50" t="s">
        <v>57</v>
      </c>
      <c r="B1123" s="51" t="s">
        <v>301</v>
      </c>
      <c r="C1123" s="52" t="s">
        <v>731</v>
      </c>
      <c r="D1123" s="53">
        <v>1995</v>
      </c>
      <c r="E1123" s="54">
        <v>3175155312</v>
      </c>
      <c r="F1123" s="54">
        <v>2682124713</v>
      </c>
      <c r="G1123" s="54">
        <v>4157029058</v>
      </c>
      <c r="H1123" s="54">
        <v>491233902</v>
      </c>
      <c r="I1123" s="55">
        <f t="shared" si="52"/>
        <v>10505542985</v>
      </c>
      <c r="J1123" s="54">
        <v>0</v>
      </c>
      <c r="K1123" s="56">
        <f t="shared" si="51"/>
        <v>10505542985</v>
      </c>
      <c r="L1123" s="37">
        <v>0</v>
      </c>
      <c r="M1123" s="69"/>
      <c r="O1123" s="38" t="str">
        <f>IF([1]totrevprm!O1124="","",[1]totrevprm!O1124)</f>
        <v/>
      </c>
    </row>
    <row r="1124" spans="1:26">
      <c r="A1124" s="50" t="s">
        <v>57</v>
      </c>
      <c r="B1124" s="51" t="s">
        <v>301</v>
      </c>
      <c r="C1124" s="52" t="s">
        <v>731</v>
      </c>
      <c r="D1124" s="53">
        <v>1996</v>
      </c>
      <c r="E1124" s="54">
        <v>2999224711</v>
      </c>
      <c r="F1124" s="54">
        <v>2302871125</v>
      </c>
      <c r="G1124" s="54">
        <v>4252812116</v>
      </c>
      <c r="H1124" s="54">
        <v>640455344</v>
      </c>
      <c r="I1124" s="55">
        <f t="shared" si="52"/>
        <v>10195363296</v>
      </c>
      <c r="J1124" s="54">
        <v>0</v>
      </c>
      <c r="K1124" s="56">
        <f t="shared" si="51"/>
        <v>10195363296</v>
      </c>
      <c r="L1124" s="37">
        <v>0</v>
      </c>
      <c r="M1124" s="69"/>
      <c r="O1124" s="38" t="str">
        <f>IF([1]totrevprm!O1125="","",[1]totrevprm!O1125)</f>
        <v/>
      </c>
    </row>
    <row r="1125" spans="1:26">
      <c r="A1125" s="50" t="s">
        <v>57</v>
      </c>
      <c r="B1125" s="51" t="s">
        <v>301</v>
      </c>
      <c r="C1125" s="52" t="s">
        <v>731</v>
      </c>
      <c r="D1125" s="53">
        <v>1997</v>
      </c>
      <c r="E1125" s="54">
        <v>3196860901</v>
      </c>
      <c r="F1125" s="54">
        <v>2545256440</v>
      </c>
      <c r="G1125" s="54">
        <v>4294005693</v>
      </c>
      <c r="H1125" s="54">
        <v>479246708</v>
      </c>
      <c r="I1125" s="55">
        <f t="shared" si="52"/>
        <v>10515369742</v>
      </c>
      <c r="J1125" s="54">
        <v>0</v>
      </c>
      <c r="K1125" s="56">
        <f t="shared" si="51"/>
        <v>10515369742</v>
      </c>
      <c r="L1125" s="37">
        <v>0</v>
      </c>
      <c r="M1125" s="69"/>
      <c r="O1125" s="38" t="str">
        <f>IF([1]totrevprm!O1126="","",[1]totrevprm!O1126)</f>
        <v/>
      </c>
    </row>
    <row r="1126" spans="1:26">
      <c r="A1126" s="50" t="s">
        <v>57</v>
      </c>
      <c r="B1126" s="51" t="s">
        <v>301</v>
      </c>
      <c r="C1126" s="52" t="s">
        <v>731</v>
      </c>
      <c r="D1126" s="53">
        <v>1998</v>
      </c>
      <c r="E1126" s="54">
        <v>3594018956</v>
      </c>
      <c r="F1126" s="54">
        <v>2346820388</v>
      </c>
      <c r="G1126" s="54">
        <v>4391742488</v>
      </c>
      <c r="H1126" s="54">
        <v>303854623</v>
      </c>
      <c r="I1126" s="55">
        <f t="shared" si="52"/>
        <v>10636436455</v>
      </c>
      <c r="J1126" s="54">
        <v>0</v>
      </c>
      <c r="K1126" s="56">
        <f t="shared" si="51"/>
        <v>10636436455</v>
      </c>
      <c r="L1126" s="37">
        <v>0</v>
      </c>
      <c r="M1126" s="69"/>
      <c r="O1126" s="38" t="str">
        <f>IF([1]totrevprm!O1127="","",[1]totrevprm!O1127)</f>
        <v/>
      </c>
    </row>
    <row r="1127" spans="1:26">
      <c r="A1127" s="50" t="s">
        <v>57</v>
      </c>
      <c r="B1127" s="51" t="s">
        <v>301</v>
      </c>
      <c r="C1127" s="52" t="s">
        <v>731</v>
      </c>
      <c r="D1127" s="53">
        <v>1999</v>
      </c>
      <c r="E1127" s="54">
        <v>3131582842</v>
      </c>
      <c r="F1127" s="54">
        <v>2744233755</v>
      </c>
      <c r="G1127" s="54">
        <v>4524544981</v>
      </c>
      <c r="H1127" s="54">
        <v>643538393</v>
      </c>
      <c r="I1127" s="55">
        <f t="shared" si="52"/>
        <v>11043899971</v>
      </c>
      <c r="J1127" s="54">
        <v>0</v>
      </c>
      <c r="K1127" s="56">
        <f t="shared" si="51"/>
        <v>11043899971</v>
      </c>
      <c r="L1127" s="37">
        <v>0</v>
      </c>
      <c r="M1127" s="69"/>
      <c r="O1127" s="38" t="str">
        <f>IF([1]totrevprm!O1128="","",[1]totrevprm!O1128)</f>
        <v/>
      </c>
    </row>
    <row r="1128" spans="1:26">
      <c r="A1128" s="50" t="s">
        <v>57</v>
      </c>
      <c r="B1128" s="51" t="s">
        <v>301</v>
      </c>
      <c r="C1128" s="52" t="s">
        <v>731</v>
      </c>
      <c r="D1128" s="53">
        <v>2000</v>
      </c>
      <c r="E1128" s="54">
        <v>3336450761</v>
      </c>
      <c r="F1128" s="54">
        <v>3602748260</v>
      </c>
      <c r="G1128" s="54">
        <v>4697743590</v>
      </c>
      <c r="H1128" s="54">
        <v>667276739</v>
      </c>
      <c r="I1128" s="55">
        <f t="shared" si="52"/>
        <v>12304219350</v>
      </c>
      <c r="J1128" s="54">
        <v>0</v>
      </c>
      <c r="K1128" s="56">
        <f t="shared" si="51"/>
        <v>12304219350</v>
      </c>
      <c r="L1128" s="37">
        <v>0</v>
      </c>
      <c r="M1128" s="69"/>
      <c r="O1128" s="38" t="str">
        <f>IF([1]totrevprm!O1129="","",[1]totrevprm!O1129)</f>
        <v/>
      </c>
      <c r="V1128" s="38" t="s">
        <v>301</v>
      </c>
      <c r="W1128" s="58">
        <v>214750</v>
      </c>
      <c r="X1128" s="58">
        <v>17808099</v>
      </c>
      <c r="Y1128" s="58">
        <v>33478848</v>
      </c>
      <c r="Z1128" s="58">
        <v>200000000</v>
      </c>
    </row>
    <row r="1129" spans="1:26">
      <c r="A1129" s="50" t="s">
        <v>57</v>
      </c>
      <c r="B1129" s="51" t="s">
        <v>301</v>
      </c>
      <c r="C1129" s="52" t="s">
        <v>731</v>
      </c>
      <c r="D1129" s="53">
        <v>2001</v>
      </c>
      <c r="E1129" s="54">
        <v>3254615957</v>
      </c>
      <c r="F1129" s="54">
        <v>5163369591</v>
      </c>
      <c r="G1129" s="54">
        <v>5059968369</v>
      </c>
      <c r="H1129" s="54">
        <v>470562350</v>
      </c>
      <c r="I1129" s="55">
        <f t="shared" si="52"/>
        <v>13948516267</v>
      </c>
      <c r="J1129" s="54">
        <v>0</v>
      </c>
      <c r="K1129" s="56">
        <f t="shared" si="51"/>
        <v>13948516267</v>
      </c>
      <c r="L1129" s="37">
        <v>0</v>
      </c>
      <c r="M1129" s="69"/>
      <c r="O1129" s="38" t="str">
        <f>IF([1]totrevprm!O1130="","",[1]totrevprm!O1130)</f>
        <v/>
      </c>
      <c r="V1129" s="38"/>
      <c r="W1129" s="58"/>
      <c r="X1129" s="58"/>
      <c r="Y1129" s="58"/>
      <c r="Z1129" s="58"/>
    </row>
    <row r="1130" spans="1:26">
      <c r="A1130" s="50" t="s">
        <v>57</v>
      </c>
      <c r="B1130" s="51" t="s">
        <v>301</v>
      </c>
      <c r="C1130" s="52" t="s">
        <v>731</v>
      </c>
      <c r="D1130" s="53">
        <v>2002</v>
      </c>
      <c r="E1130" s="54">
        <v>3524610093</v>
      </c>
      <c r="F1130" s="54">
        <v>6900012912</v>
      </c>
      <c r="G1130" s="54">
        <v>5110299481</v>
      </c>
      <c r="H1130" s="54">
        <v>379130839</v>
      </c>
      <c r="I1130" s="55">
        <f t="shared" si="52"/>
        <v>15914053325</v>
      </c>
      <c r="J1130" s="54">
        <v>0</v>
      </c>
      <c r="K1130" s="56">
        <f t="shared" si="51"/>
        <v>15914053325</v>
      </c>
      <c r="L1130" s="37">
        <v>0</v>
      </c>
      <c r="M1130" s="69"/>
      <c r="O1130" s="38" t="str">
        <f>IF([1]totrevprm!O1131="","",[1]totrevprm!O1131)</f>
        <v/>
      </c>
      <c r="V1130" s="38"/>
      <c r="W1130" s="58"/>
      <c r="X1130" s="58"/>
      <c r="Y1130" s="58"/>
      <c r="Z1130" s="58"/>
    </row>
    <row r="1131" spans="1:26">
      <c r="A1131" s="50" t="s">
        <v>57</v>
      </c>
      <c r="B1131" s="51" t="s">
        <v>301</v>
      </c>
      <c r="C1131" s="52" t="s">
        <v>731</v>
      </c>
      <c r="D1131" s="53">
        <v>2003</v>
      </c>
      <c r="E1131" s="59">
        <v>3772083713</v>
      </c>
      <c r="F1131" s="59">
        <v>6399872712</v>
      </c>
      <c r="G1131" s="59">
        <v>5390004672</v>
      </c>
      <c r="H1131" s="59">
        <v>634576551</v>
      </c>
      <c r="I1131" s="55">
        <f t="shared" si="52"/>
        <v>16196537648</v>
      </c>
      <c r="J1131" s="54">
        <v>0</v>
      </c>
      <c r="K1131" s="56">
        <f t="shared" si="51"/>
        <v>16196537648</v>
      </c>
      <c r="L1131" s="37">
        <v>0</v>
      </c>
      <c r="M1131" s="69"/>
      <c r="O1131" s="38" t="str">
        <f>IF([1]totrevprm!O1132="","",[1]totrevprm!O1132)</f>
        <v/>
      </c>
      <c r="V1131" s="38"/>
      <c r="W1131" s="58"/>
      <c r="X1131" s="58"/>
      <c r="Y1131" s="58"/>
      <c r="Z1131" s="58"/>
    </row>
    <row r="1132" spans="1:26">
      <c r="A1132" s="50" t="s">
        <v>57</v>
      </c>
      <c r="B1132" s="51" t="s">
        <v>301</v>
      </c>
      <c r="C1132" s="52" t="s">
        <v>731</v>
      </c>
      <c r="D1132" s="53">
        <v>2004</v>
      </c>
      <c r="E1132" s="59">
        <v>4204052289</v>
      </c>
      <c r="F1132" s="59">
        <v>5294540755</v>
      </c>
      <c r="G1132" s="59">
        <v>5722735424</v>
      </c>
      <c r="H1132" s="59">
        <v>815329692</v>
      </c>
      <c r="I1132" s="55">
        <f t="shared" si="52"/>
        <v>16036658160</v>
      </c>
      <c r="J1132" s="54">
        <v>0</v>
      </c>
      <c r="K1132" s="56">
        <f t="shared" si="51"/>
        <v>16036658160</v>
      </c>
      <c r="L1132" s="37">
        <v>0</v>
      </c>
      <c r="M1132" s="69"/>
      <c r="O1132" s="38" t="str">
        <f>IF([1]totrevprm!O1133="","",[1]totrevprm!O1133)</f>
        <v/>
      </c>
      <c r="V1132" s="38"/>
      <c r="W1132" s="58"/>
      <c r="X1132" s="58"/>
      <c r="Y1132" s="58"/>
      <c r="Z1132" s="58"/>
    </row>
    <row r="1133" spans="1:26">
      <c r="A1133" s="50" t="s">
        <v>57</v>
      </c>
      <c r="B1133" s="51" t="s">
        <v>301</v>
      </c>
      <c r="C1133" s="52"/>
      <c r="D1133" s="53">
        <v>2005</v>
      </c>
      <c r="E1133" s="59">
        <v>4002026439</v>
      </c>
      <c r="F1133" s="59">
        <v>4959483318</v>
      </c>
      <c r="G1133" s="59">
        <v>6161664883.3599997</v>
      </c>
      <c r="H1133" s="59">
        <v>1319921261</v>
      </c>
      <c r="I1133" s="55">
        <f t="shared" si="52"/>
        <v>16443095901.360001</v>
      </c>
      <c r="J1133" s="54">
        <v>0</v>
      </c>
      <c r="K1133" s="56">
        <f t="shared" si="51"/>
        <v>16443095901.360001</v>
      </c>
      <c r="L1133" s="37">
        <v>0</v>
      </c>
      <c r="M1133" s="69"/>
      <c r="O1133" s="38" t="str">
        <f>IF([1]totrevprm!O1134="","",[1]totrevprm!O1134)</f>
        <v/>
      </c>
      <c r="V1133" s="38"/>
      <c r="W1133" s="58"/>
      <c r="X1133" s="58"/>
      <c r="Y1133" s="58"/>
      <c r="Z1133" s="58"/>
    </row>
    <row r="1134" spans="1:26">
      <c r="A1134" s="50" t="s">
        <v>57</v>
      </c>
      <c r="B1134" s="51" t="s">
        <v>301</v>
      </c>
      <c r="C1134" s="52"/>
      <c r="D1134" s="53">
        <v>2006</v>
      </c>
      <c r="E1134" s="37">
        <v>4547140561</v>
      </c>
      <c r="F1134" s="37">
        <v>5470434982</v>
      </c>
      <c r="G1134" s="37">
        <v>7343310219</v>
      </c>
      <c r="H1134" s="37">
        <v>1214023392</v>
      </c>
      <c r="I1134" s="55">
        <f t="shared" si="52"/>
        <v>18574909154</v>
      </c>
      <c r="J1134" s="54">
        <v>0</v>
      </c>
      <c r="K1134" s="56">
        <f t="shared" si="51"/>
        <v>18574909154</v>
      </c>
      <c r="L1134" s="37">
        <v>0</v>
      </c>
      <c r="M1134" s="69"/>
      <c r="O1134" s="38" t="str">
        <f>IF([1]totrevprm!O1135="","",[1]totrevprm!O1135)</f>
        <v/>
      </c>
      <c r="V1134" s="38"/>
      <c r="W1134" s="58"/>
      <c r="X1134" s="58"/>
      <c r="Y1134" s="58"/>
      <c r="Z1134" s="58"/>
    </row>
    <row r="1135" spans="1:26">
      <c r="A1135" s="50" t="s">
        <v>57</v>
      </c>
      <c r="B1135" s="51" t="s">
        <v>301</v>
      </c>
      <c r="C1135" s="52"/>
      <c r="D1135" s="53">
        <v>2007</v>
      </c>
      <c r="E1135" s="37">
        <v>4441444134</v>
      </c>
      <c r="F1135" s="37">
        <v>5079390399</v>
      </c>
      <c r="G1135" s="37">
        <v>9335690450</v>
      </c>
      <c r="H1135" s="37">
        <v>836012711</v>
      </c>
      <c r="I1135" s="55">
        <f t="shared" si="52"/>
        <v>19692537694</v>
      </c>
      <c r="J1135" s="54">
        <v>0</v>
      </c>
      <c r="K1135" s="56">
        <f t="shared" si="51"/>
        <v>19692537694</v>
      </c>
      <c r="L1135" s="37">
        <v>0</v>
      </c>
      <c r="M1135" s="69"/>
      <c r="O1135" s="38" t="str">
        <f>IF([1]totrevprm!O1136="","",[1]totrevprm!O1136)</f>
        <v/>
      </c>
      <c r="V1135" s="38"/>
      <c r="W1135" s="58"/>
      <c r="X1135" s="58"/>
      <c r="Y1135" s="58"/>
      <c r="Z1135" s="58"/>
    </row>
    <row r="1136" spans="1:26">
      <c r="A1136" s="50" t="s">
        <v>57</v>
      </c>
      <c r="B1136" s="51" t="s">
        <v>301</v>
      </c>
      <c r="C1136" s="52"/>
      <c r="D1136" s="53">
        <v>2008</v>
      </c>
      <c r="E1136" s="37">
        <v>4338367211</v>
      </c>
      <c r="F1136" s="37">
        <v>7272418925</v>
      </c>
      <c r="G1136" s="37">
        <v>9853696947</v>
      </c>
      <c r="H1136" s="37">
        <v>846436484</v>
      </c>
      <c r="I1136" s="55">
        <f t="shared" si="52"/>
        <v>22310919567</v>
      </c>
      <c r="J1136" s="54">
        <v>0</v>
      </c>
      <c r="K1136" s="56">
        <f t="shared" si="51"/>
        <v>22310919567</v>
      </c>
      <c r="L1136" s="37">
        <v>0</v>
      </c>
      <c r="M1136" s="69"/>
      <c r="O1136" s="38" t="str">
        <f>IF([1]totrevprm!O1137="","",[1]totrevprm!O1137)</f>
        <v/>
      </c>
      <c r="V1136" s="38"/>
      <c r="W1136" s="58"/>
      <c r="X1136" s="58"/>
      <c r="Y1136" s="58"/>
      <c r="Z1136" s="58"/>
    </row>
    <row r="1137" spans="1:26">
      <c r="A1137" s="50" t="s">
        <v>57</v>
      </c>
      <c r="B1137" s="51" t="s">
        <v>301</v>
      </c>
      <c r="C1137" s="52"/>
      <c r="D1137" s="53">
        <v>2009</v>
      </c>
      <c r="E1137" s="37">
        <v>4569693896</v>
      </c>
      <c r="F1137" s="37">
        <v>7571069258</v>
      </c>
      <c r="G1137" s="37">
        <v>10028229272</v>
      </c>
      <c r="H1137" s="37">
        <v>390155994</v>
      </c>
      <c r="I1137" s="55">
        <f t="shared" si="52"/>
        <v>22559148420</v>
      </c>
      <c r="J1137" s="54">
        <v>0</v>
      </c>
      <c r="K1137" s="56">
        <f t="shared" si="51"/>
        <v>22559148420</v>
      </c>
      <c r="L1137" s="37">
        <v>0</v>
      </c>
      <c r="M1137" s="69"/>
      <c r="O1137" s="38" t="str">
        <f>IF([1]totrevprm!O1138="","",[1]totrevprm!O1138)</f>
        <v/>
      </c>
      <c r="V1137" s="38"/>
      <c r="W1137" s="58"/>
      <c r="X1137" s="58"/>
      <c r="Y1137" s="58"/>
      <c r="Z1137" s="58"/>
    </row>
    <row r="1138" spans="1:26">
      <c r="A1138" s="50" t="s">
        <v>57</v>
      </c>
      <c r="B1138" s="51" t="s">
        <v>301</v>
      </c>
      <c r="C1138" s="52"/>
      <c r="D1138" s="53">
        <v>2010</v>
      </c>
      <c r="E1138" s="37">
        <v>5113558117</v>
      </c>
      <c r="F1138" s="37">
        <v>7355793524</v>
      </c>
      <c r="G1138" s="37">
        <v>10197728285</v>
      </c>
      <c r="H1138" s="37">
        <v>329361195</v>
      </c>
      <c r="I1138" s="55">
        <f t="shared" si="52"/>
        <v>22996441121</v>
      </c>
      <c r="J1138" s="54">
        <v>0</v>
      </c>
      <c r="K1138" s="56">
        <f t="shared" si="51"/>
        <v>22996441121</v>
      </c>
      <c r="L1138" s="37">
        <v>0</v>
      </c>
      <c r="M1138" s="69"/>
      <c r="O1138" s="38" t="str">
        <f>IF([1]totrevprm!O1139="","",[1]totrevprm!O1139)</f>
        <v/>
      </c>
      <c r="V1138" s="38"/>
      <c r="W1138" s="58"/>
      <c r="X1138" s="58"/>
      <c r="Y1138" s="58"/>
      <c r="Z1138" s="58"/>
    </row>
    <row r="1139" spans="1:26">
      <c r="A1139" s="50" t="s">
        <v>57</v>
      </c>
      <c r="B1139" s="51" t="s">
        <v>301</v>
      </c>
      <c r="C1139" s="52"/>
      <c r="D1139" s="53">
        <v>2011</v>
      </c>
      <c r="E1139" s="37">
        <v>5103001172</v>
      </c>
      <c r="F1139" s="37">
        <v>6408280560</v>
      </c>
      <c r="G1139" s="37">
        <v>10012552908.869999</v>
      </c>
      <c r="H1139" s="37">
        <v>835585846</v>
      </c>
      <c r="I1139" s="55">
        <f t="shared" si="52"/>
        <v>22359420486.869999</v>
      </c>
      <c r="J1139" s="54">
        <v>0</v>
      </c>
      <c r="K1139" s="56">
        <f t="shared" si="51"/>
        <v>22359420486.869999</v>
      </c>
      <c r="L1139" s="37">
        <v>0</v>
      </c>
      <c r="M1139" s="69"/>
      <c r="O1139" s="38" t="str">
        <f>IF([1]totrevprm!O1140="","",[1]totrevprm!O1140)</f>
        <v/>
      </c>
      <c r="V1139" s="38"/>
      <c r="W1139" s="58"/>
      <c r="X1139" s="58"/>
      <c r="Y1139" s="58"/>
      <c r="Z1139" s="58"/>
    </row>
    <row r="1140" spans="1:26">
      <c r="A1140" s="50" t="s">
        <v>57</v>
      </c>
      <c r="B1140" s="51" t="s">
        <v>301</v>
      </c>
      <c r="C1140" s="52"/>
      <c r="D1140" s="53">
        <v>2012</v>
      </c>
      <c r="E1140" s="37">
        <v>5352968466</v>
      </c>
      <c r="F1140" s="37">
        <v>7067272327</v>
      </c>
      <c r="G1140" s="37">
        <v>10800997005</v>
      </c>
      <c r="H1140" s="37">
        <v>1436345116</v>
      </c>
      <c r="I1140" s="55">
        <f t="shared" si="52"/>
        <v>24657582914</v>
      </c>
      <c r="J1140" s="54">
        <v>0</v>
      </c>
      <c r="K1140" s="56">
        <f t="shared" si="51"/>
        <v>24657582914</v>
      </c>
      <c r="L1140" s="37">
        <v>0</v>
      </c>
      <c r="M1140" s="69"/>
      <c r="O1140" s="38" t="str">
        <f>IF([1]totrevprm!O1141="","",[1]totrevprm!O1141)</f>
        <v/>
      </c>
      <c r="V1140" s="38"/>
      <c r="W1140" s="58"/>
      <c r="X1140" s="58"/>
      <c r="Y1140" s="58"/>
      <c r="Z1140" s="58"/>
    </row>
    <row r="1141" spans="1:26">
      <c r="A1141" s="50" t="s">
        <v>57</v>
      </c>
      <c r="B1141" s="51" t="s">
        <v>301</v>
      </c>
      <c r="C1141" s="52"/>
      <c r="D1141" s="53">
        <v>2013</v>
      </c>
      <c r="E1141" s="37">
        <v>5341790634</v>
      </c>
      <c r="F1141" s="37">
        <v>6099173020</v>
      </c>
      <c r="G1141" s="37">
        <v>11613834126</v>
      </c>
      <c r="H1141" s="37">
        <v>1147324864</v>
      </c>
      <c r="I1141" s="55">
        <f t="shared" si="52"/>
        <v>24202122644</v>
      </c>
      <c r="J1141" s="54">
        <v>0</v>
      </c>
      <c r="K1141" s="56">
        <f t="shared" si="51"/>
        <v>24202122644</v>
      </c>
      <c r="L1141" s="37">
        <v>0</v>
      </c>
      <c r="M1141" s="69"/>
      <c r="O1141" s="38" t="str">
        <f>IF([1]totrevprm!O1142="","",[1]totrevprm!O1142)</f>
        <v/>
      </c>
      <c r="V1141" s="38"/>
      <c r="W1141" s="58"/>
      <c r="X1141" s="58"/>
      <c r="Y1141" s="58"/>
      <c r="Z1141" s="58"/>
    </row>
    <row r="1142" spans="1:26">
      <c r="A1142" s="50" t="s">
        <v>57</v>
      </c>
      <c r="B1142" s="51" t="s">
        <v>301</v>
      </c>
      <c r="C1142" s="52"/>
      <c r="D1142" s="53">
        <v>2014</v>
      </c>
      <c r="E1142" s="37">
        <v>5777934813</v>
      </c>
      <c r="F1142" s="37">
        <v>6862035694</v>
      </c>
      <c r="G1142" s="37">
        <v>13776185262.459999</v>
      </c>
      <c r="H1142" s="37">
        <v>723722493</v>
      </c>
      <c r="I1142" s="55">
        <f t="shared" si="52"/>
        <v>27139878262.459999</v>
      </c>
      <c r="J1142" s="54">
        <v>0</v>
      </c>
      <c r="K1142" s="56">
        <f t="shared" si="51"/>
        <v>27139878262.459999</v>
      </c>
      <c r="L1142" s="37">
        <v>0</v>
      </c>
      <c r="M1142" s="69"/>
      <c r="O1142" s="38" t="str">
        <f>IF([1]totrevprm!O1143="","",[1]totrevprm!O1143)</f>
        <v/>
      </c>
      <c r="V1142" s="38"/>
      <c r="W1142" s="58"/>
      <c r="X1142" s="58"/>
      <c r="Y1142" s="58"/>
      <c r="Z1142" s="58"/>
    </row>
    <row r="1143" spans="1:26">
      <c r="A1143" s="50" t="s">
        <v>57</v>
      </c>
      <c r="B1143" s="51" t="s">
        <v>301</v>
      </c>
      <c r="C1143" s="52"/>
      <c r="D1143" s="53">
        <v>2015</v>
      </c>
      <c r="E1143" s="37">
        <v>5865691132</v>
      </c>
      <c r="F1143" s="37">
        <v>7830102790</v>
      </c>
      <c r="G1143" s="37">
        <v>15209260591</v>
      </c>
      <c r="H1143" s="37">
        <v>529223102</v>
      </c>
      <c r="I1143" s="55">
        <f t="shared" si="52"/>
        <v>29434277615</v>
      </c>
      <c r="J1143" s="54">
        <v>0</v>
      </c>
      <c r="K1143" s="56">
        <f t="shared" si="51"/>
        <v>29434277615</v>
      </c>
      <c r="L1143" s="37">
        <v>0</v>
      </c>
      <c r="M1143" s="69"/>
      <c r="O1143" s="38" t="str">
        <f>IF([1]totrevprm!O1144="","",[1]totrevprm!O1144)</f>
        <v/>
      </c>
      <c r="P1143" s="35">
        <v>849471785.63717818</v>
      </c>
      <c r="Q1143" s="35">
        <v>397060485.26522386</v>
      </c>
      <c r="V1143" s="38"/>
      <c r="W1143" s="58"/>
      <c r="X1143" s="58"/>
      <c r="Y1143" s="58"/>
      <c r="Z1143" s="58"/>
    </row>
    <row r="1144" spans="1:26">
      <c r="A1144" s="50" t="s">
        <v>57</v>
      </c>
      <c r="B1144" s="51" t="s">
        <v>301</v>
      </c>
      <c r="C1144" s="52"/>
      <c r="D1144" s="53">
        <v>2016</v>
      </c>
      <c r="E1144" s="37">
        <v>5944666518</v>
      </c>
      <c r="F1144" s="37">
        <v>7648289245</v>
      </c>
      <c r="G1144" s="37">
        <v>15921741881</v>
      </c>
      <c r="H1144" s="37">
        <v>435299380</v>
      </c>
      <c r="I1144" s="55">
        <f t="shared" si="52"/>
        <v>29949997024</v>
      </c>
      <c r="J1144" s="54">
        <v>0</v>
      </c>
      <c r="K1144" s="56">
        <f t="shared" si="51"/>
        <v>29949997024</v>
      </c>
      <c r="L1144" s="37">
        <v>0</v>
      </c>
      <c r="M1144" s="69"/>
      <c r="O1144" s="38" t="str">
        <f>IF([1]totrevprm!O1145="","",[1]totrevprm!O1145)</f>
        <v/>
      </c>
      <c r="P1144" s="35">
        <v>884302998.98458445</v>
      </c>
      <c r="Q1144" s="35">
        <v>405023814.02067667</v>
      </c>
      <c r="S1144" s="60"/>
      <c r="V1144" s="38"/>
      <c r="W1144" s="58"/>
      <c r="X1144" s="58"/>
      <c r="Y1144" s="58"/>
      <c r="Z1144" s="58"/>
    </row>
    <row r="1145" spans="1:26">
      <c r="A1145" s="50" t="s">
        <v>57</v>
      </c>
      <c r="B1145" s="51" t="s">
        <v>301</v>
      </c>
      <c r="C1145" s="52"/>
      <c r="D1145" s="53">
        <v>2017</v>
      </c>
      <c r="E1145" s="37">
        <v>6403695519</v>
      </c>
      <c r="F1145" s="37">
        <v>7795921347</v>
      </c>
      <c r="G1145" s="37">
        <v>13660955868.889999</v>
      </c>
      <c r="H1145" s="37">
        <v>469491409</v>
      </c>
      <c r="I1145" s="55">
        <f t="shared" si="52"/>
        <v>28330064143.889999</v>
      </c>
      <c r="J1145" s="54">
        <v>0</v>
      </c>
      <c r="K1145" s="56">
        <f t="shared" si="51"/>
        <v>28330064143.889999</v>
      </c>
      <c r="L1145" s="37">
        <v>0</v>
      </c>
      <c r="M1145" s="69" t="s">
        <v>749</v>
      </c>
      <c r="N1145" t="s">
        <v>708</v>
      </c>
      <c r="O1145" s="38" t="str">
        <f>IF([1]totrevprm!O1146="","",[1]totrevprm!O1146)</f>
        <v/>
      </c>
      <c r="P1145" s="35">
        <v>895794607.69267309</v>
      </c>
      <c r="Q1145" s="35">
        <v>401062657.55393708</v>
      </c>
      <c r="R1145" s="72"/>
      <c r="S1145" s="60">
        <v>458750599</v>
      </c>
      <c r="T1145" s="36" t="s">
        <v>717</v>
      </c>
      <c r="U1145" s="36">
        <v>15</v>
      </c>
      <c r="V1145" s="38"/>
      <c r="W1145" s="58"/>
      <c r="X1145" s="58"/>
      <c r="Y1145" s="60">
        <v>14119706467.889999</v>
      </c>
      <c r="Z1145" s="58"/>
    </row>
    <row r="1146" spans="1:26">
      <c r="A1146" s="50" t="s">
        <v>57</v>
      </c>
      <c r="B1146" s="51" t="s">
        <v>301</v>
      </c>
      <c r="C1146" s="52"/>
      <c r="D1146" s="53">
        <v>2018</v>
      </c>
      <c r="E1146" s="37">
        <v>6250222990</v>
      </c>
      <c r="F1146" s="37">
        <v>9855656320</v>
      </c>
      <c r="G1146" s="37">
        <v>13589645403.41</v>
      </c>
      <c r="H1146" s="37">
        <v>519412755</v>
      </c>
      <c r="I1146" s="55">
        <f t="shared" si="52"/>
        <v>30214937468.41</v>
      </c>
      <c r="J1146" s="54">
        <v>0</v>
      </c>
      <c r="K1146" s="56">
        <f t="shared" si="51"/>
        <v>30214937468.41</v>
      </c>
      <c r="L1146" s="60">
        <v>0</v>
      </c>
      <c r="M1146" s="69" t="s">
        <v>749</v>
      </c>
      <c r="N1146" t="s">
        <v>708</v>
      </c>
      <c r="O1146" s="38" t="str">
        <f>IF([1]totrevprm!O1147="","",[1]totrevprm!O1147)</f>
        <v/>
      </c>
      <c r="P1146" s="35">
        <v>886422946.72362173</v>
      </c>
      <c r="Q1146" s="35">
        <v>388006705.29000002</v>
      </c>
      <c r="R1146" s="72"/>
      <c r="S1146" s="60">
        <v>448633903</v>
      </c>
      <c r="V1146" s="38"/>
      <c r="W1146" s="58"/>
      <c r="X1146" s="58"/>
      <c r="Y1146" s="60">
        <v>14119706467.889999</v>
      </c>
      <c r="Z1146" s="58"/>
    </row>
    <row r="1147" spans="1:26">
      <c r="A1147" s="50" t="s">
        <v>57</v>
      </c>
      <c r="B1147" s="51" t="s">
        <v>301</v>
      </c>
      <c r="C1147" s="52"/>
      <c r="D1147" s="53">
        <v>2019</v>
      </c>
      <c r="E1147" s="37">
        <v>6540927269</v>
      </c>
      <c r="F1147" s="37">
        <v>10895249636</v>
      </c>
      <c r="G1147" s="37">
        <v>13617600875.023001</v>
      </c>
      <c r="H1147" s="37">
        <v>830446394</v>
      </c>
      <c r="I1147" s="55">
        <f t="shared" si="52"/>
        <v>31884224174.023003</v>
      </c>
      <c r="J1147" s="54">
        <v>0</v>
      </c>
      <c r="K1147" s="56">
        <f t="shared" si="51"/>
        <v>31884224174.023003</v>
      </c>
      <c r="L1147" s="60">
        <v>0</v>
      </c>
      <c r="M1147" s="69"/>
      <c r="N1147" s="72"/>
      <c r="O1147" s="38" t="str">
        <f>IF([1]totrevprm!O1148="","",[1]totrevprm!O1148)</f>
        <v/>
      </c>
      <c r="P1147" s="35">
        <v>920268216.12529624</v>
      </c>
      <c r="Q1147" s="35">
        <v>399797542.15338254</v>
      </c>
      <c r="R1147" s="72"/>
      <c r="S1147" s="58"/>
      <c r="V1147" s="38"/>
      <c r="W1147" s="58"/>
      <c r="X1147" s="58"/>
      <c r="Y1147" s="58"/>
      <c r="Z1147" s="58"/>
    </row>
    <row r="1148" spans="1:26">
      <c r="A1148" s="50" t="s">
        <v>57</v>
      </c>
      <c r="B1148" s="51" t="s">
        <v>301</v>
      </c>
      <c r="C1148" s="52"/>
      <c r="D1148" s="53">
        <v>2020</v>
      </c>
      <c r="E1148" s="37">
        <v>6613642363</v>
      </c>
      <c r="F1148" s="37">
        <v>9966243723</v>
      </c>
      <c r="G1148" s="37">
        <v>13720050889</v>
      </c>
      <c r="H1148" s="37">
        <v>908884723</v>
      </c>
      <c r="I1148" s="55">
        <f t="shared" si="52"/>
        <v>31208821698</v>
      </c>
      <c r="J1148" s="54">
        <v>0</v>
      </c>
      <c r="K1148" s="56">
        <f t="shared" si="51"/>
        <v>31208821698</v>
      </c>
      <c r="L1148" s="60">
        <v>0</v>
      </c>
      <c r="M1148" s="69"/>
      <c r="N1148" s="72"/>
      <c r="O1148" s="38" t="str">
        <f>IF([1]totrevprm!O1149="","",[1]totrevprm!O1149)</f>
        <v/>
      </c>
      <c r="P1148" s="35">
        <v>902424939</v>
      </c>
      <c r="Q1148" s="35">
        <v>384669099</v>
      </c>
      <c r="R1148" s="72"/>
      <c r="S1148" s="58"/>
      <c r="V1148" s="38"/>
      <c r="W1148" s="58"/>
      <c r="X1148" s="58"/>
      <c r="Y1148" s="58"/>
      <c r="Z1148" s="58"/>
    </row>
    <row r="1149" spans="1:26">
      <c r="A1149" s="50" t="s">
        <v>57</v>
      </c>
      <c r="B1149" s="51" t="s">
        <v>301</v>
      </c>
      <c r="C1149" s="52"/>
      <c r="D1149" s="53">
        <v>2021</v>
      </c>
      <c r="E1149" s="37">
        <v>6970264872</v>
      </c>
      <c r="F1149" s="37">
        <v>10347754763</v>
      </c>
      <c r="G1149" s="37">
        <v>13861377799.880001</v>
      </c>
      <c r="H1149" s="37">
        <v>152084053</v>
      </c>
      <c r="I1149" s="55">
        <f t="shared" si="52"/>
        <v>31331481487.880001</v>
      </c>
      <c r="J1149" s="54">
        <v>0</v>
      </c>
      <c r="K1149" s="56">
        <f t="shared" si="51"/>
        <v>31331481487.880001</v>
      </c>
      <c r="L1149" s="60">
        <v>0</v>
      </c>
      <c r="M1149" s="69"/>
      <c r="N1149" s="72"/>
      <c r="O1149" s="38"/>
      <c r="P1149" s="35">
        <v>1029692728.4200001</v>
      </c>
      <c r="Q1149" s="35">
        <v>415253852</v>
      </c>
      <c r="R1149" s="72"/>
      <c r="S1149" s="58"/>
      <c r="V1149" s="38"/>
      <c r="W1149" s="58"/>
      <c r="X1149" s="58"/>
      <c r="Y1149" s="58"/>
      <c r="Z1149" s="58"/>
    </row>
    <row r="1150" spans="1:26">
      <c r="A1150" s="50" t="s">
        <v>57</v>
      </c>
      <c r="B1150" s="51" t="s">
        <v>301</v>
      </c>
      <c r="C1150" s="52"/>
      <c r="D1150" s="53">
        <v>2022</v>
      </c>
      <c r="E1150" s="37">
        <v>7098187927</v>
      </c>
      <c r="F1150" s="37">
        <v>14157458652</v>
      </c>
      <c r="G1150" s="37">
        <v>14129621569</v>
      </c>
      <c r="H1150" s="37">
        <v>359084517</v>
      </c>
      <c r="I1150" s="55">
        <f t="shared" si="52"/>
        <v>35744352665</v>
      </c>
      <c r="J1150" s="54">
        <v>0</v>
      </c>
      <c r="K1150" s="56">
        <f t="shared" si="51"/>
        <v>35744352665</v>
      </c>
      <c r="L1150" s="60">
        <v>0</v>
      </c>
      <c r="M1150" s="67" t="s">
        <v>739</v>
      </c>
      <c r="O1150" s="38" t="str">
        <f>IF([1]totrevprm!O1153="","",[1]totrevprm!O1153)</f>
        <v/>
      </c>
      <c r="P1150" s="60">
        <v>1066750873</v>
      </c>
      <c r="Q1150" s="60">
        <v>402532336</v>
      </c>
    </row>
    <row r="1151" spans="1:26">
      <c r="A1151" s="50" t="s">
        <v>57</v>
      </c>
      <c r="B1151" s="51" t="s">
        <v>301</v>
      </c>
      <c r="C1151" s="52"/>
      <c r="D1151" s="53">
        <v>2023</v>
      </c>
      <c r="E1151" s="37">
        <v>7019493564</v>
      </c>
      <c r="F1151" s="37">
        <v>18652879658.3452</v>
      </c>
      <c r="G1151" s="37">
        <v>14549801759</v>
      </c>
      <c r="H1151" s="37">
        <v>171777858</v>
      </c>
      <c r="I1151" s="55">
        <f t="shared" si="52"/>
        <v>40393952839.3452</v>
      </c>
      <c r="K1151" s="56">
        <f t="shared" si="51"/>
        <v>40393952839.3452</v>
      </c>
      <c r="L1151" s="37">
        <v>0</v>
      </c>
      <c r="M1151" s="67" t="s">
        <v>739</v>
      </c>
      <c r="O1151" s="38"/>
      <c r="P1151" s="60">
        <v>1147695129.5900002</v>
      </c>
      <c r="Q1151" s="60">
        <v>392877233</v>
      </c>
    </row>
    <row r="1152" spans="1:26">
      <c r="A1152" s="50"/>
      <c r="B1152" s="52"/>
      <c r="C1152" s="52"/>
      <c r="E1152" s="54"/>
      <c r="F1152" s="54"/>
      <c r="G1152" s="54"/>
      <c r="H1152" s="54"/>
      <c r="I1152" s="55"/>
      <c r="K1152" s="65"/>
      <c r="L1152" s="37"/>
      <c r="M1152" s="69"/>
      <c r="O1152" s="38"/>
    </row>
    <row r="1153" spans="1:26">
      <c r="A1153" s="50" t="s">
        <v>58</v>
      </c>
      <c r="B1153" s="51" t="s">
        <v>795</v>
      </c>
      <c r="C1153" s="52" t="s">
        <v>730</v>
      </c>
      <c r="D1153" s="53">
        <v>1988</v>
      </c>
      <c r="E1153" s="54">
        <v>263207485</v>
      </c>
      <c r="F1153" s="54">
        <v>499770760</v>
      </c>
      <c r="G1153" s="54">
        <v>260588388</v>
      </c>
      <c r="H1153" s="54">
        <v>0</v>
      </c>
      <c r="I1153" s="55">
        <f t="shared" si="52"/>
        <v>1023566633</v>
      </c>
      <c r="J1153" s="54">
        <v>-20101</v>
      </c>
      <c r="K1153" s="56">
        <f>SUM(I1153:J1153)</f>
        <v>1023546532</v>
      </c>
      <c r="L1153" s="37">
        <v>0</v>
      </c>
      <c r="M1153" s="69"/>
      <c r="O1153" s="38" t="str">
        <f>IF([1]totrevprm!O1154="","",[1]totrevprm!O1154)</f>
        <v/>
      </c>
    </row>
    <row r="1154" spans="1:26">
      <c r="A1154" s="50" t="s">
        <v>58</v>
      </c>
      <c r="B1154" s="51" t="s">
        <v>795</v>
      </c>
      <c r="C1154" s="52" t="s">
        <v>731</v>
      </c>
      <c r="D1154" s="53">
        <v>1989</v>
      </c>
      <c r="E1154" s="54">
        <v>254044968</v>
      </c>
      <c r="F1154" s="54">
        <v>531730200</v>
      </c>
      <c r="G1154" s="54">
        <v>288935513</v>
      </c>
      <c r="H1154" s="54">
        <v>0</v>
      </c>
      <c r="I1154" s="55">
        <f t="shared" si="52"/>
        <v>1074710681</v>
      </c>
      <c r="J1154" s="54">
        <v>-607077</v>
      </c>
      <c r="K1154" s="56">
        <f t="shared" ref="K1154:K1183" si="53">SUM(I1154:J1154)</f>
        <v>1074103604</v>
      </c>
      <c r="L1154" s="37">
        <v>0</v>
      </c>
      <c r="M1154" s="69"/>
      <c r="O1154" s="38" t="str">
        <f>IF([1]totrevprm!O1155="","",[1]totrevprm!O1155)</f>
        <v/>
      </c>
    </row>
    <row r="1155" spans="1:26">
      <c r="A1155" s="50" t="s">
        <v>58</v>
      </c>
      <c r="B1155" s="51" t="s">
        <v>795</v>
      </c>
      <c r="C1155" s="52" t="s">
        <v>731</v>
      </c>
      <c r="D1155" s="53">
        <v>1990</v>
      </c>
      <c r="E1155" s="54">
        <v>266559874</v>
      </c>
      <c r="F1155" s="54">
        <v>614125627.08000004</v>
      </c>
      <c r="G1155" s="54">
        <v>298043034</v>
      </c>
      <c r="H1155" s="54">
        <v>0</v>
      </c>
      <c r="I1155" s="55">
        <f t="shared" si="52"/>
        <v>1178728535.0799999</v>
      </c>
      <c r="J1155" s="54">
        <v>-1044359</v>
      </c>
      <c r="K1155" s="56">
        <f t="shared" si="53"/>
        <v>1177684176.0799999</v>
      </c>
      <c r="L1155" s="37">
        <v>0</v>
      </c>
      <c r="M1155" s="69"/>
      <c r="O1155" s="38" t="str">
        <f>IF([1]totrevprm!O1156="","",[1]totrevprm!O1156)</f>
        <v/>
      </c>
    </row>
    <row r="1156" spans="1:26">
      <c r="A1156" s="50" t="s">
        <v>58</v>
      </c>
      <c r="B1156" s="51" t="s">
        <v>795</v>
      </c>
      <c r="C1156" s="52" t="s">
        <v>731</v>
      </c>
      <c r="D1156" s="53">
        <v>1991</v>
      </c>
      <c r="E1156" s="54">
        <v>290120028</v>
      </c>
      <c r="F1156" s="54">
        <v>544216464</v>
      </c>
      <c r="G1156" s="54">
        <v>313454917</v>
      </c>
      <c r="H1156" s="54">
        <v>0</v>
      </c>
      <c r="I1156" s="55">
        <f t="shared" si="52"/>
        <v>1147791409</v>
      </c>
      <c r="J1156" s="54">
        <v>-167259</v>
      </c>
      <c r="K1156" s="56">
        <f t="shared" si="53"/>
        <v>1147624150</v>
      </c>
      <c r="L1156" s="37">
        <v>0</v>
      </c>
      <c r="M1156" s="69"/>
      <c r="O1156" s="38" t="str">
        <f>IF([1]totrevprm!O1157="","",[1]totrevprm!O1157)</f>
        <v/>
      </c>
    </row>
    <row r="1157" spans="1:26">
      <c r="A1157" s="50" t="s">
        <v>58</v>
      </c>
      <c r="B1157" s="51" t="s">
        <v>795</v>
      </c>
      <c r="C1157" s="52" t="s">
        <v>731</v>
      </c>
      <c r="D1157" s="53">
        <v>1992</v>
      </c>
      <c r="E1157" s="54">
        <v>307678533</v>
      </c>
      <c r="F1157" s="54">
        <v>564487300.03999996</v>
      </c>
      <c r="G1157" s="54">
        <v>321008873</v>
      </c>
      <c r="H1157" s="54">
        <v>0</v>
      </c>
      <c r="I1157" s="55">
        <f t="shared" si="52"/>
        <v>1193174706.04</v>
      </c>
      <c r="J1157" s="54">
        <v>-117685</v>
      </c>
      <c r="K1157" s="56">
        <f t="shared" si="53"/>
        <v>1193057021.04</v>
      </c>
      <c r="L1157" s="37">
        <v>0</v>
      </c>
      <c r="M1157" s="69"/>
      <c r="O1157" s="38" t="str">
        <f>IF([1]totrevprm!O1158="","",[1]totrevprm!O1158)</f>
        <v/>
      </c>
    </row>
    <row r="1158" spans="1:26">
      <c r="A1158" s="50" t="s">
        <v>58</v>
      </c>
      <c r="B1158" s="51" t="s">
        <v>795</v>
      </c>
      <c r="C1158" s="52" t="s">
        <v>731</v>
      </c>
      <c r="D1158" s="53">
        <v>1993</v>
      </c>
      <c r="E1158" s="54">
        <v>320672161</v>
      </c>
      <c r="F1158" s="54">
        <v>645253299</v>
      </c>
      <c r="G1158" s="54">
        <v>296303291</v>
      </c>
      <c r="H1158" s="54">
        <v>0</v>
      </c>
      <c r="I1158" s="55">
        <f t="shared" si="52"/>
        <v>1262228751</v>
      </c>
      <c r="J1158" s="54">
        <v>-932</v>
      </c>
      <c r="K1158" s="56">
        <f t="shared" si="53"/>
        <v>1262227819</v>
      </c>
      <c r="L1158" s="37">
        <v>0</v>
      </c>
      <c r="M1158" s="69"/>
      <c r="O1158" s="38" t="str">
        <f>IF([1]totrevprm!O1159="","",[1]totrevprm!O1159)</f>
        <v/>
      </c>
    </row>
    <row r="1159" spans="1:26">
      <c r="A1159" s="50" t="s">
        <v>58</v>
      </c>
      <c r="B1159" s="51" t="s">
        <v>795</v>
      </c>
      <c r="C1159" s="52" t="s">
        <v>731</v>
      </c>
      <c r="D1159" s="53">
        <v>1994</v>
      </c>
      <c r="E1159" s="54">
        <v>371393695</v>
      </c>
      <c r="F1159" s="54">
        <v>547626406</v>
      </c>
      <c r="G1159" s="54">
        <v>307732891</v>
      </c>
      <c r="H1159" s="54">
        <v>0</v>
      </c>
      <c r="I1159" s="55">
        <f t="shared" si="52"/>
        <v>1226752992</v>
      </c>
      <c r="J1159" s="54">
        <v>-1356152</v>
      </c>
      <c r="K1159" s="56">
        <f t="shared" si="53"/>
        <v>1225396840</v>
      </c>
      <c r="L1159" s="37">
        <v>0</v>
      </c>
      <c r="M1159" s="69"/>
      <c r="O1159" s="38" t="str">
        <f>IF([1]totrevprm!O1160="","",[1]totrevprm!O1160)</f>
        <v/>
      </c>
    </row>
    <row r="1160" spans="1:26">
      <c r="A1160" s="50" t="s">
        <v>58</v>
      </c>
      <c r="B1160" s="51" t="s">
        <v>795</v>
      </c>
      <c r="C1160" s="52" t="s">
        <v>731</v>
      </c>
      <c r="D1160" s="53">
        <v>1995</v>
      </c>
      <c r="E1160" s="54">
        <v>370546476</v>
      </c>
      <c r="F1160" s="54">
        <v>640618306</v>
      </c>
      <c r="G1160" s="54">
        <v>316965441</v>
      </c>
      <c r="H1160" s="54">
        <v>0</v>
      </c>
      <c r="I1160" s="55">
        <f t="shared" si="52"/>
        <v>1328130223</v>
      </c>
      <c r="J1160" s="54">
        <v>-1303166</v>
      </c>
      <c r="K1160" s="56">
        <f t="shared" si="53"/>
        <v>1326827057</v>
      </c>
      <c r="L1160" s="37">
        <v>0</v>
      </c>
      <c r="M1160" s="69"/>
      <c r="O1160" s="38" t="str">
        <f>IF([1]totrevprm!O1161="","",[1]totrevprm!O1161)</f>
        <v/>
      </c>
    </row>
    <row r="1161" spans="1:26">
      <c r="A1161" s="50" t="s">
        <v>58</v>
      </c>
      <c r="B1161" s="51" t="s">
        <v>795</v>
      </c>
      <c r="C1161" s="52" t="s">
        <v>731</v>
      </c>
      <c r="D1161" s="53">
        <v>1996</v>
      </c>
      <c r="E1161" s="54">
        <v>381363681</v>
      </c>
      <c r="F1161" s="54">
        <v>444425140</v>
      </c>
      <c r="G1161" s="54">
        <v>342582739</v>
      </c>
      <c r="H1161" s="54">
        <v>0</v>
      </c>
      <c r="I1161" s="55">
        <f t="shared" si="52"/>
        <v>1168371560</v>
      </c>
      <c r="J1161" s="54">
        <v>-10</v>
      </c>
      <c r="K1161" s="56">
        <f t="shared" si="53"/>
        <v>1168371550</v>
      </c>
      <c r="L1161" s="37">
        <v>0</v>
      </c>
      <c r="M1161" s="69"/>
      <c r="O1161" s="38" t="str">
        <f>IF([1]totrevprm!O1162="","",[1]totrevprm!O1162)</f>
        <v/>
      </c>
    </row>
    <row r="1162" spans="1:26">
      <c r="A1162" s="50" t="s">
        <v>58</v>
      </c>
      <c r="B1162" s="51" t="s">
        <v>795</v>
      </c>
      <c r="C1162" s="52" t="s">
        <v>731</v>
      </c>
      <c r="D1162" s="53">
        <v>1997</v>
      </c>
      <c r="E1162" s="54">
        <v>315623262</v>
      </c>
      <c r="F1162" s="54">
        <v>375216289</v>
      </c>
      <c r="G1162" s="54">
        <v>325511693</v>
      </c>
      <c r="H1162" s="54">
        <v>0</v>
      </c>
      <c r="I1162" s="55">
        <f t="shared" si="52"/>
        <v>1016351244</v>
      </c>
      <c r="J1162" s="54">
        <v>-105046</v>
      </c>
      <c r="K1162" s="56">
        <f t="shared" si="53"/>
        <v>1016246198</v>
      </c>
      <c r="L1162" s="37">
        <v>0</v>
      </c>
      <c r="M1162" s="69"/>
      <c r="O1162" s="38" t="str">
        <f>IF([1]totrevprm!O1163="","",[1]totrevprm!O1163)</f>
        <v/>
      </c>
    </row>
    <row r="1163" spans="1:26">
      <c r="A1163" s="50" t="s">
        <v>58</v>
      </c>
      <c r="B1163" s="51" t="s">
        <v>795</v>
      </c>
      <c r="C1163" s="52" t="s">
        <v>731</v>
      </c>
      <c r="D1163" s="53">
        <v>1998</v>
      </c>
      <c r="E1163" s="54">
        <v>372791582</v>
      </c>
      <c r="F1163" s="54">
        <v>259460467</v>
      </c>
      <c r="G1163" s="54">
        <v>321391930</v>
      </c>
      <c r="H1163" s="54">
        <v>0</v>
      </c>
      <c r="I1163" s="55">
        <f t="shared" si="52"/>
        <v>953643979</v>
      </c>
      <c r="J1163" s="54">
        <v>-6723</v>
      </c>
      <c r="K1163" s="56">
        <f t="shared" si="53"/>
        <v>953637256</v>
      </c>
      <c r="L1163" s="37">
        <v>0</v>
      </c>
      <c r="M1163" s="69"/>
      <c r="O1163" s="38" t="str">
        <f>IF([1]totrevprm!O1164="","",[1]totrevprm!O1164)</f>
        <v/>
      </c>
    </row>
    <row r="1164" spans="1:26">
      <c r="A1164" s="50" t="s">
        <v>58</v>
      </c>
      <c r="B1164" s="51" t="s">
        <v>795</v>
      </c>
      <c r="C1164" s="52" t="s">
        <v>731</v>
      </c>
      <c r="D1164" s="53">
        <v>1999</v>
      </c>
      <c r="E1164" s="54">
        <v>369365242</v>
      </c>
      <c r="F1164" s="54">
        <v>298302823</v>
      </c>
      <c r="G1164" s="54">
        <v>341133219</v>
      </c>
      <c r="H1164" s="54">
        <v>0</v>
      </c>
      <c r="I1164" s="55">
        <f t="shared" si="52"/>
        <v>1008801284</v>
      </c>
      <c r="J1164" s="54">
        <v>-18771</v>
      </c>
      <c r="K1164" s="56">
        <f t="shared" si="53"/>
        <v>1008782513</v>
      </c>
      <c r="L1164" s="37">
        <v>0</v>
      </c>
      <c r="M1164" s="69"/>
      <c r="O1164" s="38" t="str">
        <f>IF([1]totrevprm!O1165="","",[1]totrevprm!O1165)</f>
        <v/>
      </c>
    </row>
    <row r="1165" spans="1:26">
      <c r="A1165" s="50" t="s">
        <v>58</v>
      </c>
      <c r="B1165" s="51" t="s">
        <v>795</v>
      </c>
      <c r="C1165" s="52" t="s">
        <v>731</v>
      </c>
      <c r="D1165" s="53">
        <v>2000</v>
      </c>
      <c r="E1165" s="54">
        <v>401247610</v>
      </c>
      <c r="F1165" s="54">
        <v>308241290</v>
      </c>
      <c r="G1165" s="54">
        <v>378298654</v>
      </c>
      <c r="H1165" s="54">
        <v>0</v>
      </c>
      <c r="I1165" s="55">
        <f t="shared" si="52"/>
        <v>1087787554</v>
      </c>
      <c r="J1165" s="54">
        <v>-188416</v>
      </c>
      <c r="K1165" s="56">
        <f t="shared" si="53"/>
        <v>1087599138</v>
      </c>
      <c r="L1165" s="37">
        <v>0</v>
      </c>
      <c r="M1165" s="69"/>
      <c r="O1165" s="38" t="str">
        <f>IF([1]totrevprm!O1166="","",[1]totrevprm!O1166)</f>
        <v/>
      </c>
      <c r="V1165" s="38" t="s">
        <v>795</v>
      </c>
      <c r="W1165" s="58">
        <v>225575</v>
      </c>
      <c r="X1165" s="58">
        <v>2178683</v>
      </c>
      <c r="Y1165" s="58">
        <v>6159509</v>
      </c>
      <c r="Z1165" s="58">
        <v>0</v>
      </c>
    </row>
    <row r="1166" spans="1:26">
      <c r="A1166" s="50" t="s">
        <v>58</v>
      </c>
      <c r="B1166" s="51" t="s">
        <v>795</v>
      </c>
      <c r="C1166" s="52" t="s">
        <v>731</v>
      </c>
      <c r="D1166" s="53">
        <v>2001</v>
      </c>
      <c r="E1166" s="54">
        <v>399776120</v>
      </c>
      <c r="F1166" s="54">
        <v>419768711</v>
      </c>
      <c r="G1166" s="54">
        <v>442798369</v>
      </c>
      <c r="H1166" s="54">
        <v>0</v>
      </c>
      <c r="I1166" s="55">
        <f t="shared" si="52"/>
        <v>1262343200</v>
      </c>
      <c r="J1166" s="54">
        <v>-2574731</v>
      </c>
      <c r="K1166" s="56">
        <f t="shared" si="53"/>
        <v>1259768469</v>
      </c>
      <c r="L1166" s="37">
        <v>0</v>
      </c>
      <c r="M1166" s="69"/>
      <c r="O1166" s="38" t="str">
        <f>IF([1]totrevprm!O1167="","",[1]totrevprm!O1167)</f>
        <v/>
      </c>
      <c r="V1166" s="38"/>
      <c r="W1166" s="58"/>
      <c r="X1166" s="58"/>
      <c r="Y1166" s="58"/>
      <c r="Z1166" s="58"/>
    </row>
    <row r="1167" spans="1:26">
      <c r="A1167" s="50" t="s">
        <v>58</v>
      </c>
      <c r="B1167" s="51" t="s">
        <v>795</v>
      </c>
      <c r="C1167" s="52" t="s">
        <v>731</v>
      </c>
      <c r="D1167" s="53">
        <v>2002</v>
      </c>
      <c r="E1167" s="54">
        <v>395877531</v>
      </c>
      <c r="F1167" s="54">
        <v>514913400</v>
      </c>
      <c r="G1167" s="54">
        <v>513015519</v>
      </c>
      <c r="H1167" s="54">
        <v>0</v>
      </c>
      <c r="I1167" s="55">
        <f t="shared" si="52"/>
        <v>1423806450</v>
      </c>
      <c r="J1167" s="54">
        <v>-2430</v>
      </c>
      <c r="K1167" s="56">
        <f t="shared" si="53"/>
        <v>1423804020</v>
      </c>
      <c r="L1167" s="37">
        <v>0</v>
      </c>
      <c r="M1167" s="69"/>
      <c r="O1167" s="38" t="str">
        <f>IF([1]totrevprm!O1168="","",[1]totrevprm!O1168)</f>
        <v/>
      </c>
      <c r="V1167" s="38"/>
      <c r="W1167" s="58"/>
      <c r="X1167" s="58"/>
      <c r="Y1167" s="58"/>
      <c r="Z1167" s="58"/>
    </row>
    <row r="1168" spans="1:26">
      <c r="A1168" s="50" t="s">
        <v>58</v>
      </c>
      <c r="B1168" s="51" t="s">
        <v>795</v>
      </c>
      <c r="C1168" s="52" t="s">
        <v>731</v>
      </c>
      <c r="D1168" s="53">
        <v>2003</v>
      </c>
      <c r="E1168" s="59">
        <v>416199293</v>
      </c>
      <c r="F1168" s="59">
        <v>490942012</v>
      </c>
      <c r="G1168" s="59">
        <v>522800002</v>
      </c>
      <c r="H1168" s="54">
        <v>0</v>
      </c>
      <c r="I1168" s="55">
        <f t="shared" si="52"/>
        <v>1429941307</v>
      </c>
      <c r="J1168" s="54">
        <v>-35655</v>
      </c>
      <c r="K1168" s="56">
        <f t="shared" si="53"/>
        <v>1429905652</v>
      </c>
      <c r="L1168" s="37">
        <v>0</v>
      </c>
      <c r="M1168" s="69"/>
      <c r="O1168" s="38" t="str">
        <f>IF([1]totrevprm!O1169="","",[1]totrevprm!O1169)</f>
        <v/>
      </c>
      <c r="V1168" s="38"/>
      <c r="W1168" s="58"/>
      <c r="X1168" s="58"/>
      <c r="Y1168" s="58"/>
      <c r="Z1168" s="58"/>
    </row>
    <row r="1169" spans="1:26">
      <c r="A1169" s="50" t="s">
        <v>58</v>
      </c>
      <c r="B1169" s="51" t="s">
        <v>795</v>
      </c>
      <c r="C1169" s="52" t="s">
        <v>731</v>
      </c>
      <c r="D1169" s="53">
        <v>2004</v>
      </c>
      <c r="E1169" s="59">
        <v>424722865</v>
      </c>
      <c r="F1169" s="59">
        <v>439336806</v>
      </c>
      <c r="G1169" s="59">
        <v>525965504</v>
      </c>
      <c r="H1169" s="54">
        <v>0</v>
      </c>
      <c r="I1169" s="55">
        <f t="shared" si="52"/>
        <v>1390025175</v>
      </c>
      <c r="J1169" s="54">
        <v>-687847</v>
      </c>
      <c r="K1169" s="56">
        <f t="shared" si="53"/>
        <v>1389337328</v>
      </c>
      <c r="L1169" s="37">
        <v>0</v>
      </c>
      <c r="M1169" s="69"/>
      <c r="O1169" s="38" t="str">
        <f>IF([1]totrevprm!O1170="","",[1]totrevprm!O1170)</f>
        <v/>
      </c>
      <c r="V1169" s="38"/>
      <c r="W1169" s="58"/>
      <c r="X1169" s="58"/>
      <c r="Y1169" s="58"/>
      <c r="Z1169" s="58"/>
    </row>
    <row r="1170" spans="1:26">
      <c r="A1170" s="50" t="s">
        <v>58</v>
      </c>
      <c r="B1170" s="51" t="s">
        <v>795</v>
      </c>
      <c r="C1170" s="52"/>
      <c r="D1170" s="53">
        <v>2005</v>
      </c>
      <c r="E1170" s="59">
        <v>448972517</v>
      </c>
      <c r="F1170" s="59">
        <v>412759260</v>
      </c>
      <c r="G1170" s="59">
        <v>573230872.63</v>
      </c>
      <c r="H1170" s="54">
        <v>0</v>
      </c>
      <c r="I1170" s="55">
        <f t="shared" si="52"/>
        <v>1434962649.6300001</v>
      </c>
      <c r="J1170" s="54">
        <v>-2</v>
      </c>
      <c r="K1170" s="56">
        <f t="shared" si="53"/>
        <v>1434962647.6300001</v>
      </c>
      <c r="L1170" s="37">
        <v>0</v>
      </c>
      <c r="M1170" s="69"/>
      <c r="O1170" s="38" t="str">
        <f>IF([1]totrevprm!O1171="","",[1]totrevprm!O1171)</f>
        <v/>
      </c>
      <c r="V1170" s="38"/>
      <c r="W1170" s="58"/>
      <c r="X1170" s="58"/>
      <c r="Y1170" s="58"/>
      <c r="Z1170" s="58"/>
    </row>
    <row r="1171" spans="1:26">
      <c r="A1171" s="50" t="s">
        <v>58</v>
      </c>
      <c r="B1171" s="51" t="s">
        <v>795</v>
      </c>
      <c r="C1171" s="52"/>
      <c r="D1171" s="53">
        <v>2006</v>
      </c>
      <c r="E1171" s="37">
        <v>476542909</v>
      </c>
      <c r="F1171" s="37">
        <v>453719971</v>
      </c>
      <c r="G1171" s="37">
        <v>699489440</v>
      </c>
      <c r="H1171" s="37">
        <v>0</v>
      </c>
      <c r="I1171" s="55">
        <f t="shared" si="52"/>
        <v>1629752320</v>
      </c>
      <c r="J1171" s="54">
        <v>-866033</v>
      </c>
      <c r="K1171" s="56">
        <f t="shared" si="53"/>
        <v>1628886287</v>
      </c>
      <c r="L1171" s="37">
        <v>0</v>
      </c>
      <c r="M1171" s="69"/>
      <c r="O1171" s="38" t="str">
        <f>IF([1]totrevprm!O1172="","",[1]totrevprm!O1172)</f>
        <v/>
      </c>
      <c r="V1171" s="38"/>
      <c r="W1171" s="58"/>
      <c r="X1171" s="58"/>
      <c r="Y1171" s="58"/>
      <c r="Z1171" s="58"/>
    </row>
    <row r="1172" spans="1:26">
      <c r="A1172" s="50" t="s">
        <v>58</v>
      </c>
      <c r="B1172" s="51" t="s">
        <v>795</v>
      </c>
      <c r="C1172" s="52"/>
      <c r="D1172" s="53">
        <v>2007</v>
      </c>
      <c r="E1172" s="37">
        <v>496065345</v>
      </c>
      <c r="F1172" s="37">
        <v>439507333</v>
      </c>
      <c r="G1172" s="37">
        <v>858165100</v>
      </c>
      <c r="H1172" s="37">
        <v>0</v>
      </c>
      <c r="I1172" s="55">
        <f t="shared" si="52"/>
        <v>1793737778</v>
      </c>
      <c r="J1172" s="54">
        <v>-2</v>
      </c>
      <c r="K1172" s="56">
        <f t="shared" si="53"/>
        <v>1793737776</v>
      </c>
      <c r="L1172" s="37">
        <v>0</v>
      </c>
      <c r="M1172" s="69"/>
      <c r="O1172" s="38" t="str">
        <f>IF([1]totrevprm!O1173="","",[1]totrevprm!O1173)</f>
        <v/>
      </c>
      <c r="V1172" s="38"/>
      <c r="W1172" s="58"/>
      <c r="X1172" s="58"/>
      <c r="Y1172" s="58"/>
      <c r="Z1172" s="58"/>
    </row>
    <row r="1173" spans="1:26">
      <c r="A1173" s="50" t="s">
        <v>58</v>
      </c>
      <c r="B1173" s="51" t="s">
        <v>795</v>
      </c>
      <c r="C1173" s="52"/>
      <c r="D1173" s="53">
        <v>2008</v>
      </c>
      <c r="E1173" s="37">
        <v>504550468</v>
      </c>
      <c r="F1173" s="37">
        <v>556534610</v>
      </c>
      <c r="G1173" s="37">
        <v>1295299338</v>
      </c>
      <c r="H1173" s="37">
        <v>0</v>
      </c>
      <c r="I1173" s="55">
        <f t="shared" si="52"/>
        <v>2356384416</v>
      </c>
      <c r="J1173" s="54">
        <v>-3</v>
      </c>
      <c r="K1173" s="56">
        <f t="shared" si="53"/>
        <v>2356384413</v>
      </c>
      <c r="L1173" s="37">
        <v>0</v>
      </c>
      <c r="M1173" s="69"/>
      <c r="O1173" s="38" t="str">
        <f>IF([1]totrevprm!O1174="","",[1]totrevprm!O1174)</f>
        <v/>
      </c>
      <c r="V1173" s="38"/>
      <c r="W1173" s="58"/>
      <c r="X1173" s="58"/>
      <c r="Y1173" s="58"/>
      <c r="Z1173" s="58"/>
    </row>
    <row r="1174" spans="1:26">
      <c r="A1174" s="50" t="s">
        <v>58</v>
      </c>
      <c r="B1174" s="51" t="s">
        <v>795</v>
      </c>
      <c r="C1174" s="52"/>
      <c r="D1174" s="53">
        <v>2009</v>
      </c>
      <c r="E1174" s="59">
        <v>578469695</v>
      </c>
      <c r="F1174" s="37">
        <v>581539791</v>
      </c>
      <c r="G1174" s="37">
        <v>1385110720</v>
      </c>
      <c r="H1174" s="37">
        <v>0</v>
      </c>
      <c r="I1174" s="55">
        <f t="shared" si="52"/>
        <v>2545120206</v>
      </c>
      <c r="J1174" s="54">
        <v>0</v>
      </c>
      <c r="K1174" s="56">
        <f t="shared" si="53"/>
        <v>2545120206</v>
      </c>
      <c r="L1174" s="37">
        <v>0</v>
      </c>
      <c r="M1174" s="69"/>
      <c r="O1174" s="38" t="str">
        <f>IF([1]totrevprm!O1175="","",[1]totrevprm!O1175)</f>
        <v/>
      </c>
      <c r="V1174" s="38"/>
      <c r="W1174" s="58"/>
      <c r="X1174" s="58"/>
      <c r="Y1174" s="58"/>
      <c r="Z1174" s="58"/>
    </row>
    <row r="1175" spans="1:26">
      <c r="A1175" s="50" t="s">
        <v>58</v>
      </c>
      <c r="B1175" s="51" t="s">
        <v>795</v>
      </c>
      <c r="C1175" s="52"/>
      <c r="D1175" s="53">
        <v>2010</v>
      </c>
      <c r="E1175" s="59">
        <v>598295452</v>
      </c>
      <c r="F1175" s="37">
        <v>500597871</v>
      </c>
      <c r="G1175" s="37">
        <v>1327280737</v>
      </c>
      <c r="H1175" s="37">
        <v>0</v>
      </c>
      <c r="I1175" s="55">
        <f t="shared" si="52"/>
        <v>2426174060</v>
      </c>
      <c r="J1175" s="54">
        <v>-55067</v>
      </c>
      <c r="K1175" s="56">
        <f t="shared" si="53"/>
        <v>2426118993</v>
      </c>
      <c r="L1175" s="37">
        <v>0</v>
      </c>
      <c r="M1175" s="69"/>
      <c r="O1175" s="38" t="str">
        <f>IF([1]totrevprm!O1176="","",[1]totrevprm!O1176)</f>
        <v/>
      </c>
      <c r="V1175" s="38"/>
      <c r="W1175" s="58"/>
      <c r="X1175" s="58"/>
      <c r="Y1175" s="58"/>
      <c r="Z1175" s="58"/>
    </row>
    <row r="1176" spans="1:26">
      <c r="A1176" s="50" t="s">
        <v>58</v>
      </c>
      <c r="B1176" s="51" t="s">
        <v>795</v>
      </c>
      <c r="C1176" s="52"/>
      <c r="D1176" s="53">
        <v>2011</v>
      </c>
      <c r="E1176" s="59">
        <v>608966980</v>
      </c>
      <c r="F1176" s="37">
        <v>519299365</v>
      </c>
      <c r="G1176" s="37">
        <v>1469603606.9200001</v>
      </c>
      <c r="H1176" s="37">
        <v>0</v>
      </c>
      <c r="I1176" s="55">
        <f t="shared" si="52"/>
        <v>2597869951.9200001</v>
      </c>
      <c r="J1176" s="54">
        <v>-128673</v>
      </c>
      <c r="K1176" s="56">
        <f t="shared" si="53"/>
        <v>2597741278.9200001</v>
      </c>
      <c r="L1176" s="37">
        <v>0</v>
      </c>
      <c r="M1176" s="69"/>
      <c r="O1176" s="38" t="str">
        <f>IF([1]totrevprm!O1177="","",[1]totrevprm!O1177)</f>
        <v/>
      </c>
      <c r="V1176" s="38"/>
      <c r="W1176" s="58"/>
      <c r="X1176" s="58"/>
      <c r="Y1176" s="58"/>
      <c r="Z1176" s="58"/>
    </row>
    <row r="1177" spans="1:26">
      <c r="A1177" s="50" t="s">
        <v>58</v>
      </c>
      <c r="B1177" s="51" t="s">
        <v>795</v>
      </c>
      <c r="C1177" s="52"/>
      <c r="D1177" s="53">
        <v>2012</v>
      </c>
      <c r="E1177" s="59">
        <v>638070785</v>
      </c>
      <c r="F1177" s="37">
        <v>590553977</v>
      </c>
      <c r="G1177" s="37">
        <v>1505448760</v>
      </c>
      <c r="H1177" s="37">
        <v>24715538</v>
      </c>
      <c r="I1177" s="55">
        <f t="shared" si="52"/>
        <v>2758789060</v>
      </c>
      <c r="J1177" s="54">
        <v>0</v>
      </c>
      <c r="K1177" s="56">
        <f t="shared" si="53"/>
        <v>2758789060</v>
      </c>
      <c r="L1177" s="37">
        <v>1860970</v>
      </c>
      <c r="M1177" s="69" t="s">
        <v>735</v>
      </c>
      <c r="N1177" t="s">
        <v>708</v>
      </c>
      <c r="O1177" s="38" t="str">
        <f>IF([1]totrevprm!O1178="","",[1]totrevprm!O1178)</f>
        <v/>
      </c>
      <c r="R1177" s="67"/>
      <c r="S1177" s="69"/>
      <c r="T1177" s="69"/>
      <c r="V1177" s="38"/>
      <c r="W1177" s="58"/>
      <c r="X1177" s="58"/>
      <c r="Y1177" s="58"/>
      <c r="Z1177" s="58"/>
    </row>
    <row r="1178" spans="1:26">
      <c r="A1178" s="50" t="s">
        <v>58</v>
      </c>
      <c r="B1178" s="51" t="s">
        <v>795</v>
      </c>
      <c r="C1178" s="52"/>
      <c r="D1178" s="53">
        <v>2013</v>
      </c>
      <c r="E1178" s="59">
        <v>655677042</v>
      </c>
      <c r="F1178" s="37">
        <v>593082126</v>
      </c>
      <c r="G1178" s="37">
        <v>1369852557</v>
      </c>
      <c r="H1178" s="37">
        <v>33023776</v>
      </c>
      <c r="I1178" s="55">
        <f t="shared" si="52"/>
        <v>2651635501</v>
      </c>
      <c r="J1178" s="54">
        <v>0</v>
      </c>
      <c r="K1178" s="56">
        <f t="shared" si="53"/>
        <v>2651635501</v>
      </c>
      <c r="L1178" s="37">
        <v>1277965</v>
      </c>
      <c r="M1178" s="69" t="s">
        <v>735</v>
      </c>
      <c r="N1178" t="s">
        <v>708</v>
      </c>
      <c r="O1178" s="38" t="str">
        <f>IF([1]totrevprm!O1179="","",[1]totrevprm!O1179)</f>
        <v/>
      </c>
      <c r="R1178" s="67"/>
      <c r="S1178" s="69"/>
      <c r="T1178" s="69"/>
      <c r="V1178" s="38"/>
      <c r="W1178" s="58"/>
      <c r="X1178" s="58"/>
      <c r="Y1178" s="58"/>
      <c r="Z1178" s="58"/>
    </row>
    <row r="1179" spans="1:26">
      <c r="A1179" s="50" t="s">
        <v>58</v>
      </c>
      <c r="B1179" s="51" t="s">
        <v>795</v>
      </c>
      <c r="C1179" s="52"/>
      <c r="D1179" s="53">
        <v>2014</v>
      </c>
      <c r="E1179" s="37">
        <v>645822640</v>
      </c>
      <c r="F1179" s="37">
        <v>690778862</v>
      </c>
      <c r="G1179" s="37">
        <v>1686194410</v>
      </c>
      <c r="H1179" s="37">
        <v>32508659</v>
      </c>
      <c r="I1179" s="55">
        <f t="shared" si="52"/>
        <v>3055304571</v>
      </c>
      <c r="J1179" s="54">
        <v>0</v>
      </c>
      <c r="K1179" s="56">
        <f t="shared" si="53"/>
        <v>3055304571</v>
      </c>
      <c r="L1179" s="37">
        <v>26363846</v>
      </c>
      <c r="M1179" s="69" t="s">
        <v>735</v>
      </c>
      <c r="N1179" t="s">
        <v>708</v>
      </c>
      <c r="O1179" s="38" t="str">
        <f>IF([1]totrevprm!O1180="","",[1]totrevprm!O1180)</f>
        <v/>
      </c>
      <c r="R1179" s="67"/>
      <c r="S1179" s="69"/>
      <c r="T1179" s="69"/>
      <c r="V1179" s="38"/>
      <c r="W1179" s="58"/>
      <c r="X1179" s="58"/>
      <c r="Y1179" s="58"/>
      <c r="Z1179" s="58"/>
    </row>
    <row r="1180" spans="1:26">
      <c r="A1180" s="50" t="s">
        <v>58</v>
      </c>
      <c r="B1180" s="51" t="s">
        <v>795</v>
      </c>
      <c r="C1180" s="52"/>
      <c r="D1180" s="53">
        <v>2015</v>
      </c>
      <c r="E1180" s="37">
        <v>656402675</v>
      </c>
      <c r="F1180" s="37">
        <v>701163890</v>
      </c>
      <c r="G1180" s="37">
        <v>1858055338</v>
      </c>
      <c r="H1180" s="37">
        <v>18771174</v>
      </c>
      <c r="I1180" s="55">
        <f t="shared" si="52"/>
        <v>3234393077</v>
      </c>
      <c r="J1180" s="54">
        <v>0</v>
      </c>
      <c r="K1180" s="56">
        <f t="shared" si="53"/>
        <v>3234393077</v>
      </c>
      <c r="L1180" s="37">
        <v>12544821</v>
      </c>
      <c r="M1180" s="69" t="s">
        <v>735</v>
      </c>
      <c r="N1180" t="s">
        <v>708</v>
      </c>
      <c r="O1180" s="38" t="str">
        <f>IF([1]totrevprm!O1181="","",[1]totrevprm!O1181)</f>
        <v/>
      </c>
      <c r="P1180" s="35">
        <v>91449685.681381881</v>
      </c>
      <c r="Q1180" s="35">
        <v>48677111.240000002</v>
      </c>
      <c r="R1180" s="67"/>
      <c r="S1180" s="69"/>
      <c r="T1180" s="69"/>
      <c r="V1180" s="38"/>
      <c r="W1180" s="58"/>
      <c r="X1180" s="58"/>
      <c r="Y1180" s="58"/>
      <c r="Z1180" s="58"/>
    </row>
    <row r="1181" spans="1:26">
      <c r="A1181" s="50" t="s">
        <v>58</v>
      </c>
      <c r="B1181" s="51" t="s">
        <v>795</v>
      </c>
      <c r="C1181" s="52"/>
      <c r="D1181" s="53">
        <v>2016</v>
      </c>
      <c r="E1181" s="37">
        <v>708441165</v>
      </c>
      <c r="F1181" s="37">
        <v>793513382</v>
      </c>
      <c r="G1181" s="37">
        <v>892718175</v>
      </c>
      <c r="H1181" s="37">
        <v>24593014</v>
      </c>
      <c r="I1181" s="55">
        <f t="shared" si="52"/>
        <v>2419265736</v>
      </c>
      <c r="J1181" s="54">
        <v>0</v>
      </c>
      <c r="K1181" s="56">
        <f t="shared" si="53"/>
        <v>2419265736</v>
      </c>
      <c r="L1181" s="37">
        <v>8242847</v>
      </c>
      <c r="M1181" s="69" t="s">
        <v>735</v>
      </c>
      <c r="N1181" t="s">
        <v>708</v>
      </c>
      <c r="O1181" s="38" t="str">
        <f>IF([1]totrevprm!O1182="","",[1]totrevprm!O1182)</f>
        <v/>
      </c>
      <c r="P1181" s="35">
        <v>93912217.212966532</v>
      </c>
      <c r="Q1181" s="35">
        <v>49027656.033909775</v>
      </c>
      <c r="R1181" s="67"/>
      <c r="S1181" s="69"/>
      <c r="T1181" s="69"/>
      <c r="V1181" s="38"/>
      <c r="W1181" s="58"/>
      <c r="X1181" s="58"/>
      <c r="Y1181" s="58"/>
      <c r="Z1181" s="58"/>
    </row>
    <row r="1182" spans="1:26">
      <c r="A1182" s="50" t="s">
        <v>58</v>
      </c>
      <c r="B1182" s="51" t="s">
        <v>795</v>
      </c>
      <c r="C1182" s="52"/>
      <c r="D1182" s="53">
        <v>2017</v>
      </c>
      <c r="E1182" s="37">
        <v>713796158</v>
      </c>
      <c r="F1182" s="37">
        <v>738550467</v>
      </c>
      <c r="G1182" s="37">
        <v>933882300</v>
      </c>
      <c r="H1182" s="37">
        <v>25973661</v>
      </c>
      <c r="I1182" s="55">
        <f t="shared" si="52"/>
        <v>2412202586</v>
      </c>
      <c r="J1182" s="54">
        <v>0</v>
      </c>
      <c r="K1182" s="56">
        <f t="shared" si="53"/>
        <v>2412202586</v>
      </c>
      <c r="L1182" s="60">
        <v>5062155</v>
      </c>
      <c r="M1182" s="69" t="s">
        <v>735</v>
      </c>
      <c r="N1182" t="s">
        <v>708</v>
      </c>
      <c r="O1182" s="38" t="str">
        <f>IF([1]totrevprm!O1183="","",[1]totrevprm!O1183)</f>
        <v/>
      </c>
      <c r="P1182" s="35">
        <v>98869969.586618572</v>
      </c>
      <c r="Q1182" s="35">
        <v>47865842.510787405</v>
      </c>
      <c r="R1182" s="67"/>
      <c r="S1182" s="69"/>
      <c r="T1182" s="69"/>
      <c r="V1182" s="38"/>
      <c r="W1182" s="58"/>
      <c r="X1182" s="58"/>
      <c r="Y1182" s="58"/>
      <c r="Z1182" s="58"/>
    </row>
    <row r="1183" spans="1:26">
      <c r="A1183" s="50" t="s">
        <v>58</v>
      </c>
      <c r="B1183" s="51" t="s">
        <v>795</v>
      </c>
      <c r="C1183" s="52"/>
      <c r="D1183" s="53">
        <v>2018</v>
      </c>
      <c r="E1183" s="37">
        <v>697636445</v>
      </c>
      <c r="F1183" s="37">
        <v>908266078</v>
      </c>
      <c r="G1183" s="37">
        <v>1056109714.98</v>
      </c>
      <c r="H1183" s="37">
        <v>21076379</v>
      </c>
      <c r="I1183" s="55">
        <f t="shared" si="52"/>
        <v>2683088616.98</v>
      </c>
      <c r="J1183" s="54">
        <v>0</v>
      </c>
      <c r="K1183" s="56">
        <f t="shared" si="53"/>
        <v>2683088616.98</v>
      </c>
      <c r="L1183" s="60">
        <v>3853744</v>
      </c>
      <c r="M1183" s="69" t="s">
        <v>735</v>
      </c>
      <c r="N1183" t="s">
        <v>708</v>
      </c>
      <c r="O1183" s="38" t="str">
        <f>IF([1]totrevprm!O1184="","",[1]totrevprm!O1184)</f>
        <v/>
      </c>
      <c r="P1183" s="35">
        <v>94288631.901391119</v>
      </c>
      <c r="Q1183" s="35">
        <v>48006847.266298875</v>
      </c>
      <c r="R1183" s="67"/>
      <c r="S1183" s="69"/>
      <c r="T1183" s="69"/>
      <c r="V1183" s="38"/>
      <c r="W1183" s="58"/>
      <c r="X1183" s="58"/>
      <c r="Y1183" s="58"/>
      <c r="Z1183" s="58"/>
    </row>
    <row r="1184" spans="1:26">
      <c r="A1184" s="50" t="s">
        <v>58</v>
      </c>
      <c r="B1184" s="51" t="s">
        <v>795</v>
      </c>
      <c r="C1184" s="52"/>
      <c r="D1184" s="53">
        <v>2019</v>
      </c>
      <c r="E1184" s="37">
        <v>700362508</v>
      </c>
      <c r="F1184" s="37">
        <v>944160783</v>
      </c>
      <c r="G1184" s="37">
        <v>975431583</v>
      </c>
      <c r="H1184" s="37">
        <v>29616613</v>
      </c>
      <c r="I1184" s="55">
        <f t="shared" ref="I1184:I1247" si="54">SUM(E1184:H1184)</f>
        <v>2649571487</v>
      </c>
      <c r="J1184" s="54">
        <v>0</v>
      </c>
      <c r="K1184" s="56">
        <f t="shared" ref="K1184:K1188" si="55">SUM(I1184:J1184)</f>
        <v>2649571487</v>
      </c>
      <c r="L1184" s="60">
        <v>7609220</v>
      </c>
      <c r="M1184" s="69" t="s">
        <v>735</v>
      </c>
      <c r="N1184" t="s">
        <v>708</v>
      </c>
      <c r="O1184" s="38" t="str">
        <f>IF([1]totrevprm!O1185="","",[1]totrevprm!O1185)</f>
        <v/>
      </c>
      <c r="P1184" s="35">
        <v>99103011.222352087</v>
      </c>
      <c r="Q1184" s="35">
        <v>47911586.450000003</v>
      </c>
      <c r="R1184" s="67"/>
      <c r="S1184" s="69"/>
      <c r="T1184" s="69"/>
      <c r="V1184" s="38"/>
      <c r="W1184" s="58"/>
      <c r="X1184" s="58"/>
      <c r="Y1184" s="58"/>
      <c r="Z1184" s="58"/>
    </row>
    <row r="1185" spans="1:26">
      <c r="A1185" s="50" t="s">
        <v>58</v>
      </c>
      <c r="B1185" s="51" t="s">
        <v>795</v>
      </c>
      <c r="C1185" s="52"/>
      <c r="D1185" s="53">
        <v>2020</v>
      </c>
      <c r="E1185" s="37">
        <v>726987826</v>
      </c>
      <c r="F1185" s="37">
        <v>1031892193</v>
      </c>
      <c r="G1185" s="37">
        <v>975507551</v>
      </c>
      <c r="H1185" s="37">
        <v>27479861</v>
      </c>
      <c r="I1185" s="55">
        <f t="shared" si="54"/>
        <v>2761867431</v>
      </c>
      <c r="J1185" s="54">
        <v>0</v>
      </c>
      <c r="K1185" s="56">
        <f t="shared" si="55"/>
        <v>2761867431</v>
      </c>
      <c r="L1185" s="60">
        <v>8436940</v>
      </c>
      <c r="M1185" s="69" t="s">
        <v>735</v>
      </c>
      <c r="N1185" t="s">
        <v>708</v>
      </c>
      <c r="O1185" s="38" t="str">
        <f>IF([1]totrevprm!O1186="","",[1]totrevprm!O1186)</f>
        <v/>
      </c>
      <c r="P1185" s="35">
        <v>101096717</v>
      </c>
      <c r="Q1185" s="35">
        <v>46881942</v>
      </c>
      <c r="R1185" s="67"/>
      <c r="S1185" s="69"/>
      <c r="T1185" s="69"/>
      <c r="V1185" s="38"/>
      <c r="W1185" s="58"/>
      <c r="X1185" s="58"/>
      <c r="Y1185" s="58"/>
      <c r="Z1185" s="58"/>
    </row>
    <row r="1186" spans="1:26">
      <c r="A1186" s="50" t="s">
        <v>58</v>
      </c>
      <c r="B1186" s="51" t="s">
        <v>795</v>
      </c>
      <c r="C1186" s="52"/>
      <c r="D1186" s="53">
        <v>2021</v>
      </c>
      <c r="E1186" s="37">
        <v>745581597</v>
      </c>
      <c r="F1186" s="37">
        <v>977458417</v>
      </c>
      <c r="G1186" s="37">
        <v>961170903</v>
      </c>
      <c r="H1186" s="37">
        <v>15332378</v>
      </c>
      <c r="I1186" s="55">
        <f t="shared" si="54"/>
        <v>2699543295</v>
      </c>
      <c r="J1186" s="54">
        <v>0</v>
      </c>
      <c r="K1186" s="56">
        <f t="shared" si="55"/>
        <v>2699543295</v>
      </c>
      <c r="L1186" s="37">
        <v>0</v>
      </c>
      <c r="M1186" s="69"/>
      <c r="N1186" t="s">
        <v>708</v>
      </c>
      <c r="O1186" s="38"/>
      <c r="P1186" s="35">
        <v>93883840.069999993</v>
      </c>
      <c r="Q1186" s="35">
        <v>49475592</v>
      </c>
      <c r="R1186" s="67"/>
      <c r="S1186" s="69"/>
      <c r="T1186" s="69"/>
      <c r="V1186" s="38"/>
      <c r="W1186" s="58"/>
      <c r="X1186" s="58"/>
      <c r="Y1186" s="58"/>
      <c r="Z1186" s="58"/>
    </row>
    <row r="1187" spans="1:26">
      <c r="A1187" s="50" t="s">
        <v>58</v>
      </c>
      <c r="B1187" s="51" t="s">
        <v>795</v>
      </c>
      <c r="C1187" s="52"/>
      <c r="D1187" s="53">
        <v>2022</v>
      </c>
      <c r="E1187" s="37">
        <v>782216686</v>
      </c>
      <c r="F1187" s="37">
        <v>1159892613</v>
      </c>
      <c r="G1187" s="37">
        <v>1021110861</v>
      </c>
      <c r="H1187" s="37">
        <v>26369656</v>
      </c>
      <c r="I1187" s="55">
        <f t="shared" si="54"/>
        <v>2989589816</v>
      </c>
      <c r="J1187" s="54">
        <v>0</v>
      </c>
      <c r="K1187" s="56">
        <f t="shared" si="55"/>
        <v>2989589816</v>
      </c>
      <c r="L1187" s="37">
        <v>0</v>
      </c>
      <c r="M1187" s="69"/>
      <c r="O1187" s="38" t="str">
        <f>IF([1]totrevprm!O1190="","",[1]totrevprm!O1190)</f>
        <v/>
      </c>
      <c r="P1187" s="60">
        <v>123930014</v>
      </c>
      <c r="Q1187" s="60">
        <v>49839007</v>
      </c>
    </row>
    <row r="1188" spans="1:26">
      <c r="A1188" s="50" t="s">
        <v>58</v>
      </c>
      <c r="B1188" s="51" t="s">
        <v>795</v>
      </c>
      <c r="C1188" s="52"/>
      <c r="D1188" s="53">
        <v>2023</v>
      </c>
      <c r="E1188" s="37">
        <v>798170430</v>
      </c>
      <c r="F1188" s="37">
        <v>1341957924.1156001</v>
      </c>
      <c r="G1188" s="37">
        <v>1090223506.21</v>
      </c>
      <c r="H1188" s="37">
        <v>16962584</v>
      </c>
      <c r="I1188" s="55">
        <f t="shared" si="54"/>
        <v>3247314444.3256001</v>
      </c>
      <c r="K1188" s="56">
        <f t="shared" si="55"/>
        <v>3247314444.3256001</v>
      </c>
      <c r="L1188" s="37">
        <v>0</v>
      </c>
      <c r="M1188" s="69"/>
      <c r="O1188" s="38"/>
      <c r="P1188" s="60">
        <v>109980219.16</v>
      </c>
      <c r="Q1188" s="60">
        <v>50490563</v>
      </c>
    </row>
    <row r="1189" spans="1:26">
      <c r="A1189" s="50"/>
      <c r="B1189" s="52"/>
      <c r="C1189" s="52"/>
      <c r="E1189" s="54"/>
      <c r="F1189" s="54"/>
      <c r="G1189" s="54"/>
      <c r="H1189" s="54"/>
      <c r="I1189" s="55"/>
      <c r="K1189" s="65"/>
      <c r="L1189" s="37"/>
      <c r="M1189" s="69"/>
      <c r="O1189" s="38"/>
    </row>
    <row r="1190" spans="1:26">
      <c r="A1190" s="50" t="s">
        <v>59</v>
      </c>
      <c r="B1190" s="51" t="s">
        <v>290</v>
      </c>
      <c r="C1190" s="52" t="s">
        <v>796</v>
      </c>
      <c r="D1190" s="53">
        <v>1988</v>
      </c>
      <c r="E1190" s="54">
        <v>4446025393</v>
      </c>
      <c r="F1190" s="54">
        <v>4568377805</v>
      </c>
      <c r="G1190" s="54">
        <v>4742304311</v>
      </c>
      <c r="H1190" s="54">
        <v>1632565849</v>
      </c>
      <c r="I1190" s="55">
        <f t="shared" si="54"/>
        <v>15389273358</v>
      </c>
      <c r="J1190" s="54">
        <v>0</v>
      </c>
      <c r="K1190" s="56">
        <f>SUM(I1190:J1190)</f>
        <v>15389273358</v>
      </c>
      <c r="L1190" s="37">
        <v>0</v>
      </c>
      <c r="M1190" s="69"/>
      <c r="O1190" s="38" t="str">
        <f>IF([1]totrevprm!O1191="","",[1]totrevprm!O1191)</f>
        <v/>
      </c>
    </row>
    <row r="1191" spans="1:26">
      <c r="A1191" s="50" t="s">
        <v>59</v>
      </c>
      <c r="B1191" s="51" t="s">
        <v>290</v>
      </c>
      <c r="C1191" s="52" t="s">
        <v>797</v>
      </c>
      <c r="D1191" s="53">
        <v>1989</v>
      </c>
      <c r="E1191" s="54">
        <v>4509186013</v>
      </c>
      <c r="F1191" s="54">
        <v>4812919847</v>
      </c>
      <c r="G1191" s="54">
        <v>5149446770</v>
      </c>
      <c r="H1191" s="54">
        <v>1639511338</v>
      </c>
      <c r="I1191" s="55">
        <f t="shared" si="54"/>
        <v>16111063968</v>
      </c>
      <c r="J1191" s="54">
        <v>0</v>
      </c>
      <c r="K1191" s="56">
        <f t="shared" ref="K1191:K1225" si="56">SUM(I1191:J1191)</f>
        <v>16111063968</v>
      </c>
      <c r="L1191" s="37">
        <v>0</v>
      </c>
      <c r="M1191" s="69"/>
      <c r="O1191" s="38" t="str">
        <f>IF([1]totrevprm!O1192="","",[1]totrevprm!O1192)</f>
        <v/>
      </c>
    </row>
    <row r="1192" spans="1:26">
      <c r="A1192" s="50" t="s">
        <v>59</v>
      </c>
      <c r="B1192" s="51" t="s">
        <v>290</v>
      </c>
      <c r="C1192" s="52" t="s">
        <v>798</v>
      </c>
      <c r="D1192" s="53">
        <v>1990</v>
      </c>
      <c r="E1192" s="54">
        <v>4765779478</v>
      </c>
      <c r="F1192" s="54">
        <v>5726596587.96</v>
      </c>
      <c r="G1192" s="54">
        <v>5267075151</v>
      </c>
      <c r="H1192" s="54">
        <v>1388082664</v>
      </c>
      <c r="I1192" s="55">
        <f t="shared" si="54"/>
        <v>17147533880.959999</v>
      </c>
      <c r="J1192" s="54">
        <v>0</v>
      </c>
      <c r="K1192" s="56">
        <f t="shared" si="56"/>
        <v>17147533880.959999</v>
      </c>
      <c r="L1192" s="37">
        <v>0</v>
      </c>
      <c r="M1192" s="69"/>
      <c r="O1192" s="38" t="str">
        <f>IF([1]totrevprm!O1193="","",[1]totrevprm!O1193)</f>
        <v/>
      </c>
    </row>
    <row r="1193" spans="1:26">
      <c r="A1193" s="50" t="s">
        <v>59</v>
      </c>
      <c r="B1193" s="51" t="s">
        <v>290</v>
      </c>
      <c r="C1193" s="52" t="s">
        <v>791</v>
      </c>
      <c r="D1193" s="53">
        <v>1991</v>
      </c>
      <c r="E1193" s="54">
        <v>5073975953</v>
      </c>
      <c r="F1193" s="54">
        <v>5829948814</v>
      </c>
      <c r="G1193" s="54">
        <v>5573432664</v>
      </c>
      <c r="H1193" s="54">
        <v>1313616365</v>
      </c>
      <c r="I1193" s="55">
        <f t="shared" si="54"/>
        <v>17790973796</v>
      </c>
      <c r="J1193" s="54">
        <v>0</v>
      </c>
      <c r="K1193" s="56">
        <f t="shared" si="56"/>
        <v>17790973796</v>
      </c>
      <c r="L1193" s="37">
        <v>0</v>
      </c>
      <c r="M1193" s="69"/>
      <c r="O1193" s="38" t="str">
        <f>IF([1]totrevprm!O1194="","",[1]totrevprm!O1194)</f>
        <v/>
      </c>
    </row>
    <row r="1194" spans="1:26">
      <c r="A1194" s="50" t="s">
        <v>59</v>
      </c>
      <c r="B1194" s="51" t="s">
        <v>290</v>
      </c>
      <c r="C1194" s="52" t="s">
        <v>799</v>
      </c>
      <c r="D1194" s="53">
        <v>1992</v>
      </c>
      <c r="E1194" s="54">
        <v>5423692378</v>
      </c>
      <c r="F1194" s="54">
        <v>6077931582.5600004</v>
      </c>
      <c r="G1194" s="54">
        <v>5692188109</v>
      </c>
      <c r="H1194" s="54">
        <v>749635505</v>
      </c>
      <c r="I1194" s="55">
        <f t="shared" si="54"/>
        <v>17943447574.560001</v>
      </c>
      <c r="J1194" s="54">
        <v>0</v>
      </c>
      <c r="K1194" s="56">
        <f t="shared" si="56"/>
        <v>17943447574.560001</v>
      </c>
      <c r="L1194" s="37">
        <v>0</v>
      </c>
      <c r="M1194" s="69"/>
      <c r="O1194" s="38" t="str">
        <f>IF([1]totrevprm!O1195="","",[1]totrevprm!O1195)</f>
        <v/>
      </c>
    </row>
    <row r="1195" spans="1:26">
      <c r="A1195" s="50" t="s">
        <v>59</v>
      </c>
      <c r="B1195" s="51" t="s">
        <v>290</v>
      </c>
      <c r="C1195" s="52" t="s">
        <v>731</v>
      </c>
      <c r="D1195" s="53">
        <v>1993</v>
      </c>
      <c r="E1195" s="54">
        <v>5564000618</v>
      </c>
      <c r="F1195" s="54">
        <v>4539803629</v>
      </c>
      <c r="G1195" s="54">
        <v>5895008131</v>
      </c>
      <c r="H1195" s="54">
        <v>741223678</v>
      </c>
      <c r="I1195" s="55">
        <f t="shared" si="54"/>
        <v>16740036056</v>
      </c>
      <c r="J1195" s="54">
        <v>0</v>
      </c>
      <c r="K1195" s="56">
        <f t="shared" si="56"/>
        <v>16740036056</v>
      </c>
      <c r="L1195" s="37">
        <v>0</v>
      </c>
      <c r="M1195" s="69"/>
      <c r="O1195" s="38" t="str">
        <f>IF([1]totrevprm!O1196="","",[1]totrevprm!O1196)</f>
        <v/>
      </c>
    </row>
    <row r="1196" spans="1:26">
      <c r="A1196" s="50" t="s">
        <v>59</v>
      </c>
      <c r="B1196" s="51" t="s">
        <v>290</v>
      </c>
      <c r="C1196" s="52" t="s">
        <v>731</v>
      </c>
      <c r="D1196" s="53">
        <v>1994</v>
      </c>
      <c r="E1196" s="54">
        <v>5682942116</v>
      </c>
      <c r="F1196" s="54">
        <v>5925954151</v>
      </c>
      <c r="G1196" s="54">
        <v>5687164985</v>
      </c>
      <c r="H1196" s="54">
        <v>-20828161</v>
      </c>
      <c r="I1196" s="55">
        <f t="shared" si="54"/>
        <v>17275233091</v>
      </c>
      <c r="J1196" s="54">
        <v>0</v>
      </c>
      <c r="K1196" s="56">
        <f t="shared" si="56"/>
        <v>17275233091</v>
      </c>
      <c r="L1196" s="37">
        <v>0</v>
      </c>
      <c r="M1196" s="69"/>
      <c r="O1196" s="38" t="str">
        <f>IF([1]totrevprm!O1197="","",[1]totrevprm!O1197)</f>
        <v/>
      </c>
    </row>
    <row r="1197" spans="1:26">
      <c r="A1197" s="50" t="s">
        <v>59</v>
      </c>
      <c r="B1197" s="51" t="s">
        <v>290</v>
      </c>
      <c r="C1197" s="52" t="s">
        <v>731</v>
      </c>
      <c r="D1197" s="53">
        <v>1995</v>
      </c>
      <c r="E1197" s="54">
        <v>6540894447</v>
      </c>
      <c r="F1197" s="54">
        <v>6077855541</v>
      </c>
      <c r="G1197" s="54">
        <v>5463297233</v>
      </c>
      <c r="H1197" s="54">
        <v>711370555</v>
      </c>
      <c r="I1197" s="55">
        <f t="shared" si="54"/>
        <v>18793417776</v>
      </c>
      <c r="J1197" s="54">
        <v>0</v>
      </c>
      <c r="K1197" s="56">
        <f t="shared" si="56"/>
        <v>18793417776</v>
      </c>
      <c r="L1197" s="37">
        <v>0</v>
      </c>
      <c r="M1197" s="69"/>
      <c r="O1197" s="38" t="str">
        <f>IF([1]totrevprm!O1198="","",[1]totrevprm!O1198)</f>
        <v/>
      </c>
    </row>
    <row r="1198" spans="1:26">
      <c r="A1198" s="50" t="s">
        <v>59</v>
      </c>
      <c r="B1198" s="51" t="s">
        <v>290</v>
      </c>
      <c r="C1198" s="52" t="s">
        <v>731</v>
      </c>
      <c r="D1198" s="53">
        <v>1996</v>
      </c>
      <c r="E1198" s="54">
        <v>5865473390</v>
      </c>
      <c r="F1198" s="54">
        <v>4961870011</v>
      </c>
      <c r="G1198" s="54">
        <v>5378899201</v>
      </c>
      <c r="H1198" s="54">
        <v>505529008</v>
      </c>
      <c r="I1198" s="55">
        <f t="shared" si="54"/>
        <v>16711771610</v>
      </c>
      <c r="J1198" s="54">
        <v>0</v>
      </c>
      <c r="K1198" s="56">
        <f t="shared" si="56"/>
        <v>16711771610</v>
      </c>
      <c r="L1198" s="37">
        <v>0</v>
      </c>
      <c r="M1198" s="69"/>
      <c r="O1198" s="38" t="str">
        <f>IF([1]totrevprm!O1199="","",[1]totrevprm!O1199)</f>
        <v/>
      </c>
    </row>
    <row r="1199" spans="1:26">
      <c r="A1199" s="50" t="s">
        <v>59</v>
      </c>
      <c r="B1199" s="51" t="s">
        <v>290</v>
      </c>
      <c r="C1199" s="52" t="s">
        <v>731</v>
      </c>
      <c r="D1199" s="53">
        <v>1997</v>
      </c>
      <c r="E1199" s="54">
        <v>6237127269</v>
      </c>
      <c r="F1199" s="54">
        <v>5624309462</v>
      </c>
      <c r="G1199" s="54">
        <v>5951408523</v>
      </c>
      <c r="H1199" s="54">
        <v>456203706</v>
      </c>
      <c r="I1199" s="55">
        <f t="shared" si="54"/>
        <v>18269048960</v>
      </c>
      <c r="J1199" s="54">
        <v>0</v>
      </c>
      <c r="K1199" s="56">
        <f t="shared" si="56"/>
        <v>18269048960</v>
      </c>
      <c r="L1199" s="37">
        <v>0</v>
      </c>
      <c r="M1199" s="69"/>
      <c r="O1199" s="38" t="str">
        <f>IF([1]totrevprm!O1200="","",[1]totrevprm!O1200)</f>
        <v/>
      </c>
    </row>
    <row r="1200" spans="1:26">
      <c r="A1200" s="50" t="s">
        <v>59</v>
      </c>
      <c r="B1200" s="51" t="s">
        <v>290</v>
      </c>
      <c r="C1200" s="52" t="s">
        <v>731</v>
      </c>
      <c r="D1200" s="53">
        <v>1998</v>
      </c>
      <c r="E1200" s="54">
        <v>6671375041</v>
      </c>
      <c r="F1200" s="54">
        <v>4921252456</v>
      </c>
      <c r="G1200" s="54">
        <v>5865800022</v>
      </c>
      <c r="H1200" s="54">
        <v>878698579</v>
      </c>
      <c r="I1200" s="55">
        <f t="shared" si="54"/>
        <v>18337126098</v>
      </c>
      <c r="J1200" s="54">
        <v>0</v>
      </c>
      <c r="K1200" s="56">
        <f t="shared" si="56"/>
        <v>18337126098</v>
      </c>
      <c r="L1200" s="37">
        <v>0</v>
      </c>
      <c r="M1200" s="69"/>
      <c r="O1200" s="38" t="str">
        <f>IF([1]totrevprm!O1201="","",[1]totrevprm!O1201)</f>
        <v/>
      </c>
    </row>
    <row r="1201" spans="1:26">
      <c r="A1201" s="50" t="s">
        <v>59</v>
      </c>
      <c r="B1201" s="51" t="s">
        <v>290</v>
      </c>
      <c r="C1201" s="52" t="s">
        <v>731</v>
      </c>
      <c r="D1201" s="53">
        <v>1999</v>
      </c>
      <c r="E1201" s="54">
        <v>6274814732</v>
      </c>
      <c r="F1201" s="54">
        <v>5878277911</v>
      </c>
      <c r="G1201" s="54">
        <v>6370923275</v>
      </c>
      <c r="H1201" s="54">
        <v>663704996</v>
      </c>
      <c r="I1201" s="55">
        <f t="shared" si="54"/>
        <v>19187720914</v>
      </c>
      <c r="J1201" s="54">
        <v>0</v>
      </c>
      <c r="K1201" s="56">
        <f t="shared" si="56"/>
        <v>19187720914</v>
      </c>
      <c r="L1201" s="37">
        <v>0</v>
      </c>
      <c r="M1201" s="69"/>
      <c r="O1201" s="38" t="str">
        <f>IF([1]totrevprm!O1202="","",[1]totrevprm!O1202)</f>
        <v/>
      </c>
    </row>
    <row r="1202" spans="1:26">
      <c r="A1202" s="50" t="s">
        <v>59</v>
      </c>
      <c r="B1202" s="51" t="s">
        <v>290</v>
      </c>
      <c r="C1202" s="52" t="s">
        <v>731</v>
      </c>
      <c r="D1202" s="53">
        <v>2000</v>
      </c>
      <c r="E1202" s="54">
        <v>6349579179</v>
      </c>
      <c r="F1202" s="54">
        <v>7613325320</v>
      </c>
      <c r="G1202" s="54">
        <v>7206223650</v>
      </c>
      <c r="H1202" s="54">
        <v>680144164</v>
      </c>
      <c r="I1202" s="55">
        <f t="shared" si="54"/>
        <v>21849272313</v>
      </c>
      <c r="J1202" s="54">
        <v>0</v>
      </c>
      <c r="K1202" s="56">
        <f t="shared" si="56"/>
        <v>21849272313</v>
      </c>
      <c r="L1202" s="37">
        <v>0</v>
      </c>
      <c r="M1202" s="69"/>
      <c r="O1202" s="38" t="str">
        <f>IF([1]totrevprm!O1203="","",[1]totrevprm!O1203)</f>
        <v/>
      </c>
      <c r="V1202" s="38" t="s">
        <v>290</v>
      </c>
      <c r="W1202" s="58">
        <v>0</v>
      </c>
      <c r="X1202" s="58">
        <v>0</v>
      </c>
      <c r="Y1202" s="58">
        <v>0</v>
      </c>
      <c r="Z1202" s="58">
        <v>0</v>
      </c>
    </row>
    <row r="1203" spans="1:26">
      <c r="A1203" s="50" t="s">
        <v>59</v>
      </c>
      <c r="B1203" s="51" t="s">
        <v>290</v>
      </c>
      <c r="C1203" s="52" t="s">
        <v>731</v>
      </c>
      <c r="D1203" s="53">
        <v>2001</v>
      </c>
      <c r="E1203" s="54">
        <v>6372678143</v>
      </c>
      <c r="F1203" s="54">
        <v>10572064049</v>
      </c>
      <c r="G1203" s="54">
        <v>6848297092</v>
      </c>
      <c r="H1203" s="54">
        <v>912651400</v>
      </c>
      <c r="I1203" s="55">
        <f t="shared" si="54"/>
        <v>24705690684</v>
      </c>
      <c r="J1203" s="54">
        <v>0</v>
      </c>
      <c r="K1203" s="56">
        <f t="shared" si="56"/>
        <v>24705690684</v>
      </c>
      <c r="L1203" s="37">
        <v>0</v>
      </c>
      <c r="M1203" s="69"/>
      <c r="O1203" s="38" t="str">
        <f>IF([1]totrevprm!O1204="","",[1]totrevprm!O1204)</f>
        <v/>
      </c>
      <c r="V1203" s="38"/>
      <c r="W1203" s="58"/>
      <c r="X1203" s="58"/>
      <c r="Y1203" s="58"/>
      <c r="Z1203" s="58"/>
    </row>
    <row r="1204" spans="1:26">
      <c r="A1204" s="50" t="s">
        <v>59</v>
      </c>
      <c r="B1204" s="51" t="s">
        <v>290</v>
      </c>
      <c r="C1204" s="52" t="s">
        <v>731</v>
      </c>
      <c r="D1204" s="53">
        <v>2002</v>
      </c>
      <c r="E1204" s="54">
        <v>6683022346</v>
      </c>
      <c r="F1204" s="54">
        <v>14288214828</v>
      </c>
      <c r="G1204" s="54">
        <v>7434052485</v>
      </c>
      <c r="H1204" s="54">
        <v>460435693</v>
      </c>
      <c r="I1204" s="55">
        <f t="shared" si="54"/>
        <v>28865725352</v>
      </c>
      <c r="J1204" s="54">
        <v>0</v>
      </c>
      <c r="K1204" s="56">
        <f t="shared" si="56"/>
        <v>28865725352</v>
      </c>
      <c r="L1204" s="37">
        <v>0</v>
      </c>
      <c r="M1204" s="69"/>
      <c r="O1204" s="38" t="str">
        <f>IF([1]totrevprm!O1205="","",[1]totrevprm!O1205)</f>
        <v/>
      </c>
      <c r="V1204" s="38"/>
      <c r="W1204" s="58"/>
      <c r="X1204" s="58"/>
      <c r="Y1204" s="58"/>
      <c r="Z1204" s="58"/>
    </row>
    <row r="1205" spans="1:26">
      <c r="A1205" s="50" t="s">
        <v>59</v>
      </c>
      <c r="B1205" s="51" t="s">
        <v>290</v>
      </c>
      <c r="C1205" s="52" t="s">
        <v>731</v>
      </c>
      <c r="D1205" s="53">
        <v>2003</v>
      </c>
      <c r="E1205" s="59">
        <v>7093177608</v>
      </c>
      <c r="F1205" s="59">
        <v>12339386483</v>
      </c>
      <c r="G1205" s="59">
        <v>7851903600</v>
      </c>
      <c r="H1205" s="59">
        <v>631846092</v>
      </c>
      <c r="I1205" s="55">
        <f t="shared" si="54"/>
        <v>27916313783</v>
      </c>
      <c r="J1205" s="54">
        <v>0</v>
      </c>
      <c r="K1205" s="56">
        <f t="shared" si="56"/>
        <v>27916313783</v>
      </c>
      <c r="L1205" s="37">
        <v>0</v>
      </c>
      <c r="M1205" s="69"/>
      <c r="O1205" s="38" t="str">
        <f>IF([1]totrevprm!O1206="","",[1]totrevprm!O1206)</f>
        <v/>
      </c>
      <c r="V1205" s="38"/>
      <c r="W1205" s="58"/>
      <c r="X1205" s="58"/>
      <c r="Y1205" s="58"/>
      <c r="Z1205" s="58"/>
    </row>
    <row r="1206" spans="1:26">
      <c r="A1206" s="50" t="s">
        <v>59</v>
      </c>
      <c r="B1206" s="51" t="s">
        <v>290</v>
      </c>
      <c r="C1206" s="52" t="s">
        <v>731</v>
      </c>
      <c r="D1206" s="53">
        <v>2004</v>
      </c>
      <c r="E1206" s="59">
        <v>7635497556</v>
      </c>
      <c r="F1206" s="59">
        <v>10723207047</v>
      </c>
      <c r="G1206" s="59">
        <v>8800931777</v>
      </c>
      <c r="H1206" s="59">
        <v>942362774</v>
      </c>
      <c r="I1206" s="55">
        <f t="shared" si="54"/>
        <v>28101999154</v>
      </c>
      <c r="J1206" s="54">
        <v>0</v>
      </c>
      <c r="K1206" s="56">
        <f t="shared" si="56"/>
        <v>28101999154</v>
      </c>
      <c r="L1206" s="37">
        <v>0</v>
      </c>
      <c r="M1206" s="69"/>
      <c r="O1206" s="38" t="str">
        <f>IF([1]totrevprm!O1207="","",[1]totrevprm!O1207)</f>
        <v/>
      </c>
      <c r="V1206" s="38"/>
      <c r="W1206" s="58"/>
      <c r="X1206" s="58"/>
      <c r="Y1206" s="58"/>
      <c r="Z1206" s="58"/>
    </row>
    <row r="1207" spans="1:26">
      <c r="A1207" s="50" t="s">
        <v>59</v>
      </c>
      <c r="B1207" s="51" t="s">
        <v>290</v>
      </c>
      <c r="C1207" s="52"/>
      <c r="D1207" s="53">
        <v>2005</v>
      </c>
      <c r="E1207" s="59">
        <v>7699921709</v>
      </c>
      <c r="F1207" s="59">
        <v>9442568288</v>
      </c>
      <c r="G1207" s="59">
        <v>9104872358.4300003</v>
      </c>
      <c r="H1207" s="59">
        <v>1326022439</v>
      </c>
      <c r="I1207" s="55">
        <f t="shared" si="54"/>
        <v>27573384794.43</v>
      </c>
      <c r="J1207" s="54">
        <v>0</v>
      </c>
      <c r="K1207" s="56">
        <f t="shared" si="56"/>
        <v>27573384794.43</v>
      </c>
      <c r="L1207" s="37">
        <v>0</v>
      </c>
      <c r="M1207" s="69"/>
      <c r="O1207" s="38" t="str">
        <f>IF([1]totrevprm!O1208="","",[1]totrevprm!O1208)</f>
        <v/>
      </c>
      <c r="V1207" s="38"/>
      <c r="W1207" s="58"/>
      <c r="X1207" s="58"/>
      <c r="Y1207" s="58"/>
      <c r="Z1207" s="58"/>
    </row>
    <row r="1208" spans="1:26">
      <c r="A1208" s="50" t="s">
        <v>59</v>
      </c>
      <c r="B1208" s="51" t="s">
        <v>290</v>
      </c>
      <c r="C1208" s="52"/>
      <c r="D1208" s="53">
        <v>2006</v>
      </c>
      <c r="E1208" s="37">
        <v>8202674363</v>
      </c>
      <c r="F1208" s="37">
        <v>10976356560</v>
      </c>
      <c r="G1208" s="37">
        <v>8662114950</v>
      </c>
      <c r="H1208" s="37">
        <v>1468048338</v>
      </c>
      <c r="I1208" s="55">
        <f t="shared" si="54"/>
        <v>29309194211</v>
      </c>
      <c r="J1208" s="54">
        <v>0</v>
      </c>
      <c r="K1208" s="56">
        <f t="shared" si="56"/>
        <v>29309194211</v>
      </c>
      <c r="L1208" s="37">
        <v>0</v>
      </c>
      <c r="M1208" s="69"/>
      <c r="O1208" s="38" t="str">
        <f>IF([1]totrevprm!O1209="","",[1]totrevprm!O1209)</f>
        <v/>
      </c>
      <c r="V1208" s="38"/>
      <c r="W1208" s="58"/>
      <c r="X1208" s="58"/>
      <c r="Y1208" s="58"/>
      <c r="Z1208" s="58"/>
    </row>
    <row r="1209" spans="1:26">
      <c r="A1209" s="50" t="s">
        <v>59</v>
      </c>
      <c r="B1209" s="51" t="s">
        <v>290</v>
      </c>
      <c r="C1209" s="52"/>
      <c r="D1209" s="53">
        <v>2007</v>
      </c>
      <c r="E1209" s="37">
        <v>8538356100</v>
      </c>
      <c r="F1209" s="37">
        <v>10777659214</v>
      </c>
      <c r="G1209" s="37">
        <v>13303773763</v>
      </c>
      <c r="H1209" s="37">
        <v>1110537877</v>
      </c>
      <c r="I1209" s="55">
        <f t="shared" si="54"/>
        <v>33730326954</v>
      </c>
      <c r="J1209" s="54">
        <v>0</v>
      </c>
      <c r="K1209" s="56">
        <f t="shared" si="56"/>
        <v>33730326954</v>
      </c>
      <c r="L1209" s="37">
        <v>0</v>
      </c>
      <c r="M1209" s="69"/>
      <c r="O1209" s="38" t="str">
        <f>IF([1]totrevprm!O1210="","",[1]totrevprm!O1210)</f>
        <v/>
      </c>
      <c r="V1209" s="38"/>
      <c r="W1209" s="58"/>
      <c r="X1209" s="58"/>
      <c r="Y1209" s="58"/>
      <c r="Z1209" s="58"/>
    </row>
    <row r="1210" spans="1:26">
      <c r="A1210" s="50" t="s">
        <v>59</v>
      </c>
      <c r="B1210" s="51" t="s">
        <v>290</v>
      </c>
      <c r="C1210" s="52"/>
      <c r="D1210" s="53">
        <v>2008</v>
      </c>
      <c r="E1210" s="37">
        <v>8891375084</v>
      </c>
      <c r="F1210" s="37">
        <v>14798276605</v>
      </c>
      <c r="G1210" s="37">
        <v>15717395126</v>
      </c>
      <c r="H1210" s="37">
        <v>1701438893</v>
      </c>
      <c r="I1210" s="55">
        <f t="shared" si="54"/>
        <v>41108485708</v>
      </c>
      <c r="J1210" s="54">
        <v>0</v>
      </c>
      <c r="K1210" s="56">
        <f t="shared" si="56"/>
        <v>41108485708</v>
      </c>
      <c r="L1210" s="37">
        <v>0</v>
      </c>
      <c r="M1210" s="69"/>
      <c r="O1210" s="38" t="str">
        <f>IF([1]totrevprm!O1211="","",[1]totrevprm!O1211)</f>
        <v/>
      </c>
      <c r="V1210" s="38"/>
      <c r="W1210" s="58"/>
      <c r="X1210" s="58"/>
      <c r="Y1210" s="58"/>
      <c r="Z1210" s="58"/>
    </row>
    <row r="1211" spans="1:26">
      <c r="A1211" s="50" t="s">
        <v>59</v>
      </c>
      <c r="B1211" s="51" t="s">
        <v>290</v>
      </c>
      <c r="C1211" s="52"/>
      <c r="D1211" s="53">
        <v>2009</v>
      </c>
      <c r="E1211" s="37">
        <v>9136279389</v>
      </c>
      <c r="F1211" s="37">
        <v>12795184044</v>
      </c>
      <c r="G1211" s="37">
        <v>17059951581</v>
      </c>
      <c r="H1211" s="37">
        <v>882632693</v>
      </c>
      <c r="I1211" s="55">
        <f t="shared" si="54"/>
        <v>39874047707</v>
      </c>
      <c r="J1211" s="54">
        <v>0</v>
      </c>
      <c r="K1211" s="56">
        <f t="shared" si="56"/>
        <v>39874047707</v>
      </c>
      <c r="L1211" s="37">
        <v>0</v>
      </c>
      <c r="M1211" s="69"/>
      <c r="O1211" s="38" t="str">
        <f>IF([1]totrevprm!O1212="","",[1]totrevprm!O1212)</f>
        <v/>
      </c>
      <c r="V1211" s="38"/>
      <c r="W1211" s="58"/>
      <c r="X1211" s="58"/>
      <c r="Y1211" s="58"/>
      <c r="Z1211" s="58"/>
    </row>
    <row r="1212" spans="1:26">
      <c r="A1212" s="50" t="s">
        <v>59</v>
      </c>
      <c r="B1212" s="51" t="s">
        <v>290</v>
      </c>
      <c r="C1212" s="52"/>
      <c r="D1212" s="53">
        <v>2010</v>
      </c>
      <c r="E1212" s="37">
        <v>9544372938</v>
      </c>
      <c r="F1212" s="37">
        <v>9912269203</v>
      </c>
      <c r="G1212" s="37">
        <v>17918052852</v>
      </c>
      <c r="H1212" s="37">
        <v>954446598</v>
      </c>
      <c r="I1212" s="55">
        <f t="shared" si="54"/>
        <v>38329141591</v>
      </c>
      <c r="J1212" s="54">
        <v>0</v>
      </c>
      <c r="K1212" s="56">
        <f t="shared" si="56"/>
        <v>38329141591</v>
      </c>
      <c r="L1212" s="37">
        <v>0</v>
      </c>
      <c r="M1212" s="69"/>
      <c r="O1212" s="38" t="str">
        <f>IF([1]totrevprm!O1213="","",[1]totrevprm!O1213)</f>
        <v/>
      </c>
      <c r="V1212" s="38"/>
      <c r="W1212" s="58"/>
      <c r="X1212" s="58"/>
      <c r="Y1212" s="58"/>
      <c r="Z1212" s="58"/>
    </row>
    <row r="1213" spans="1:26">
      <c r="A1213" s="50" t="s">
        <v>59</v>
      </c>
      <c r="B1213" s="51" t="s">
        <v>290</v>
      </c>
      <c r="C1213" s="52"/>
      <c r="D1213" s="53">
        <v>2011</v>
      </c>
      <c r="E1213" s="37">
        <v>9479565517</v>
      </c>
      <c r="F1213" s="37">
        <v>9851073462</v>
      </c>
      <c r="G1213" s="37">
        <v>19322720141.060001</v>
      </c>
      <c r="H1213" s="37">
        <v>891791285</v>
      </c>
      <c r="I1213" s="55">
        <f t="shared" si="54"/>
        <v>39545150405.059998</v>
      </c>
      <c r="J1213" s="54">
        <v>0</v>
      </c>
      <c r="K1213" s="56">
        <f t="shared" si="56"/>
        <v>39545150405.059998</v>
      </c>
      <c r="L1213" s="37">
        <v>0</v>
      </c>
      <c r="M1213" s="69"/>
      <c r="O1213" s="38" t="str">
        <f>IF([1]totrevprm!O1214="","",[1]totrevprm!O1214)</f>
        <v/>
      </c>
      <c r="V1213" s="38"/>
      <c r="W1213" s="58"/>
      <c r="X1213" s="58"/>
      <c r="Y1213" s="58"/>
      <c r="Z1213" s="58"/>
    </row>
    <row r="1214" spans="1:26">
      <c r="A1214" s="50" t="s">
        <v>59</v>
      </c>
      <c r="B1214" s="51" t="s">
        <v>290</v>
      </c>
      <c r="C1214" s="52"/>
      <c r="D1214" s="53">
        <v>2012</v>
      </c>
      <c r="E1214" s="37">
        <v>9901794357</v>
      </c>
      <c r="F1214" s="37">
        <v>11873451449</v>
      </c>
      <c r="G1214" s="37">
        <v>19093858928</v>
      </c>
      <c r="H1214" s="37">
        <v>2294245562</v>
      </c>
      <c r="I1214" s="55">
        <f t="shared" si="54"/>
        <v>43163350296</v>
      </c>
      <c r="J1214" s="54">
        <v>0</v>
      </c>
      <c r="K1214" s="56">
        <f t="shared" si="56"/>
        <v>43163350296</v>
      </c>
      <c r="L1214" s="37">
        <v>0</v>
      </c>
      <c r="M1214" s="69"/>
      <c r="O1214" s="38" t="str">
        <f>IF([1]totrevprm!O1215="","",[1]totrevprm!O1215)</f>
        <v/>
      </c>
      <c r="V1214" s="38"/>
      <c r="W1214" s="58"/>
      <c r="X1214" s="58"/>
      <c r="Y1214" s="58"/>
      <c r="Z1214" s="58"/>
    </row>
    <row r="1215" spans="1:26">
      <c r="A1215" s="50" t="s">
        <v>59</v>
      </c>
      <c r="B1215" s="51" t="s">
        <v>290</v>
      </c>
      <c r="C1215" s="52"/>
      <c r="D1215" s="53">
        <v>2013</v>
      </c>
      <c r="E1215" s="37">
        <v>9973283595</v>
      </c>
      <c r="F1215" s="37">
        <v>9345013476</v>
      </c>
      <c r="G1215" s="37">
        <v>18104957299</v>
      </c>
      <c r="H1215" s="37">
        <v>892088370</v>
      </c>
      <c r="I1215" s="55">
        <f t="shared" si="54"/>
        <v>38315342740</v>
      </c>
      <c r="J1215" s="54">
        <v>0</v>
      </c>
      <c r="K1215" s="56">
        <f t="shared" si="56"/>
        <v>38315342740</v>
      </c>
      <c r="L1215" s="37">
        <v>0</v>
      </c>
      <c r="M1215" s="69"/>
      <c r="O1215" s="38" t="str">
        <f>IF([1]totrevprm!O1216="","",[1]totrevprm!O1216)</f>
        <v/>
      </c>
      <c r="V1215" s="38"/>
      <c r="W1215" s="58"/>
      <c r="X1215" s="58"/>
      <c r="Y1215" s="58"/>
      <c r="Z1215" s="58"/>
    </row>
    <row r="1216" spans="1:26">
      <c r="A1216" s="50" t="s">
        <v>59</v>
      </c>
      <c r="B1216" s="51" t="s">
        <v>290</v>
      </c>
      <c r="C1216" s="52"/>
      <c r="D1216" s="53">
        <v>2014</v>
      </c>
      <c r="E1216" s="37">
        <v>10073987164</v>
      </c>
      <c r="F1216" s="37">
        <v>10001285137</v>
      </c>
      <c r="G1216" s="37">
        <v>16824064778.09</v>
      </c>
      <c r="H1216" s="37">
        <v>2129188195</v>
      </c>
      <c r="I1216" s="55">
        <f t="shared" si="54"/>
        <v>39028525274.089996</v>
      </c>
      <c r="J1216" s="54">
        <v>0</v>
      </c>
      <c r="K1216" s="56">
        <f t="shared" si="56"/>
        <v>39028525274.089996</v>
      </c>
      <c r="L1216" s="37">
        <v>0</v>
      </c>
      <c r="M1216" s="69"/>
      <c r="O1216" s="38" t="str">
        <f>IF([1]totrevprm!O1217="","",[1]totrevprm!O1217)</f>
        <v/>
      </c>
      <c r="V1216" s="38"/>
      <c r="W1216" s="58"/>
      <c r="X1216" s="58"/>
      <c r="Y1216" s="58"/>
      <c r="Z1216" s="58"/>
    </row>
    <row r="1217" spans="1:26">
      <c r="A1217" s="50" t="s">
        <v>59</v>
      </c>
      <c r="B1217" s="51" t="s">
        <v>290</v>
      </c>
      <c r="C1217" s="52"/>
      <c r="D1217" s="53">
        <v>2015</v>
      </c>
      <c r="E1217" s="37">
        <v>10326932415</v>
      </c>
      <c r="F1217" s="37">
        <v>10201881234</v>
      </c>
      <c r="G1217" s="37">
        <v>8095019819</v>
      </c>
      <c r="H1217" s="37">
        <v>1446921940</v>
      </c>
      <c r="I1217" s="55">
        <f t="shared" si="54"/>
        <v>30070755408</v>
      </c>
      <c r="J1217" s="54">
        <v>0</v>
      </c>
      <c r="K1217" s="56">
        <f t="shared" si="56"/>
        <v>30070755408</v>
      </c>
      <c r="L1217" s="37">
        <v>0</v>
      </c>
      <c r="M1217" s="69"/>
      <c r="O1217" s="38" t="str">
        <f>IF([1]totrevprm!O1218="","",[1]totrevprm!O1218)</f>
        <v/>
      </c>
      <c r="P1217" s="35">
        <v>1814467438.9664187</v>
      </c>
      <c r="Q1217" s="35">
        <v>584787860</v>
      </c>
      <c r="V1217" s="38"/>
      <c r="W1217" s="58"/>
      <c r="X1217" s="58"/>
      <c r="Y1217" s="58"/>
      <c r="Z1217" s="58"/>
    </row>
    <row r="1218" spans="1:26">
      <c r="A1218" s="50" t="s">
        <v>59</v>
      </c>
      <c r="B1218" s="51" t="s">
        <v>290</v>
      </c>
      <c r="C1218" s="52"/>
      <c r="D1218" s="53">
        <v>2016</v>
      </c>
      <c r="E1218" s="37">
        <v>10757891925</v>
      </c>
      <c r="F1218" s="37">
        <v>11323366528</v>
      </c>
      <c r="G1218" s="37">
        <v>8299220333</v>
      </c>
      <c r="H1218" s="37">
        <v>2026555358</v>
      </c>
      <c r="I1218" s="55">
        <f t="shared" si="54"/>
        <v>32407034144</v>
      </c>
      <c r="J1218" s="54">
        <v>0</v>
      </c>
      <c r="K1218" s="56">
        <f t="shared" si="56"/>
        <v>32407034144</v>
      </c>
      <c r="L1218" s="37">
        <v>0</v>
      </c>
      <c r="M1218" s="69"/>
      <c r="O1218" s="38" t="str">
        <f>IF([1]totrevprm!O1219="","",[1]totrevprm!O1219)</f>
        <v/>
      </c>
      <c r="P1218" s="35">
        <v>1901451331.8294132</v>
      </c>
      <c r="Q1218" s="35">
        <v>626556230</v>
      </c>
      <c r="V1218" s="38"/>
      <c r="W1218" s="58"/>
      <c r="X1218" s="58"/>
      <c r="Y1218" s="58"/>
      <c r="Z1218" s="58"/>
    </row>
    <row r="1219" spans="1:26">
      <c r="A1219" s="50" t="s">
        <v>59</v>
      </c>
      <c r="B1219" s="51" t="s">
        <v>290</v>
      </c>
      <c r="C1219" s="52"/>
      <c r="D1219" s="53">
        <v>2017</v>
      </c>
      <c r="E1219" s="37">
        <v>10926246265</v>
      </c>
      <c r="F1219" s="37">
        <v>12234665227</v>
      </c>
      <c r="G1219" s="37">
        <v>8374680381</v>
      </c>
      <c r="H1219" s="37">
        <v>1878487204</v>
      </c>
      <c r="I1219" s="55">
        <f t="shared" si="54"/>
        <v>33414079077</v>
      </c>
      <c r="J1219" s="54">
        <v>0</v>
      </c>
      <c r="K1219" s="56">
        <f t="shared" si="56"/>
        <v>33414079077</v>
      </c>
      <c r="L1219" s="37">
        <v>0</v>
      </c>
      <c r="M1219" s="69"/>
      <c r="O1219" s="38" t="str">
        <f>IF([1]totrevprm!O1220="","",[1]totrevprm!O1220)</f>
        <v/>
      </c>
      <c r="P1219" s="35">
        <v>1940460462.0831037</v>
      </c>
      <c r="Q1219" s="35">
        <v>613875136</v>
      </c>
      <c r="V1219" s="38"/>
      <c r="W1219" s="58"/>
      <c r="X1219" s="58"/>
      <c r="Y1219" s="58"/>
      <c r="Z1219" s="58"/>
    </row>
    <row r="1220" spans="1:26">
      <c r="A1220" s="50" t="s">
        <v>59</v>
      </c>
      <c r="B1220" s="51" t="s">
        <v>290</v>
      </c>
      <c r="C1220" s="52"/>
      <c r="D1220" s="53">
        <v>2018</v>
      </c>
      <c r="E1220" s="37">
        <v>11187783920</v>
      </c>
      <c r="F1220" s="37">
        <v>13567713949</v>
      </c>
      <c r="G1220" s="37">
        <v>8772216798</v>
      </c>
      <c r="H1220" s="37">
        <v>913431596</v>
      </c>
      <c r="I1220" s="55">
        <f t="shared" si="54"/>
        <v>34441146263</v>
      </c>
      <c r="J1220" s="54">
        <v>0</v>
      </c>
      <c r="K1220" s="56">
        <f t="shared" si="56"/>
        <v>34441146263</v>
      </c>
      <c r="L1220" s="60">
        <v>0</v>
      </c>
      <c r="M1220" s="69"/>
      <c r="O1220" s="38" t="str">
        <f>IF([1]totrevprm!O1221="","",[1]totrevprm!O1221)</f>
        <v/>
      </c>
      <c r="P1220" s="35">
        <v>2095953349.8800001</v>
      </c>
      <c r="Q1220" s="35">
        <v>582958196.77999997</v>
      </c>
      <c r="V1220" s="38"/>
      <c r="W1220" s="58"/>
      <c r="X1220" s="58"/>
      <c r="Y1220" s="58"/>
      <c r="Z1220" s="58"/>
    </row>
    <row r="1221" spans="1:26">
      <c r="A1221" s="50" t="s">
        <v>59</v>
      </c>
      <c r="B1221" s="51" t="s">
        <v>290</v>
      </c>
      <c r="C1221" s="52"/>
      <c r="D1221" s="53">
        <v>2019</v>
      </c>
      <c r="E1221" s="37">
        <v>11563396227</v>
      </c>
      <c r="F1221" s="37">
        <v>12724965868</v>
      </c>
      <c r="G1221" s="37">
        <v>10751690504</v>
      </c>
      <c r="H1221" s="37">
        <v>1047454470</v>
      </c>
      <c r="I1221" s="55">
        <f t="shared" si="54"/>
        <v>36087507069</v>
      </c>
      <c r="J1221" s="54">
        <v>0</v>
      </c>
      <c r="K1221" s="56">
        <f t="shared" si="56"/>
        <v>36087507069</v>
      </c>
      <c r="L1221" s="60">
        <v>0</v>
      </c>
      <c r="M1221" s="69"/>
      <c r="O1221" s="38" t="str">
        <f>IF([1]totrevprm!O1222="","",[1]totrevprm!O1222)</f>
        <v/>
      </c>
      <c r="P1221" s="35">
        <v>2278054407.8341436</v>
      </c>
      <c r="Q1221" s="35">
        <v>674598218.56152797</v>
      </c>
      <c r="V1221" s="38"/>
      <c r="W1221" s="58"/>
      <c r="X1221" s="58"/>
      <c r="Y1221" s="58"/>
      <c r="Z1221" s="58"/>
    </row>
    <row r="1222" spans="1:26">
      <c r="A1222" s="50" t="s">
        <v>59</v>
      </c>
      <c r="B1222" s="51" t="s">
        <v>290</v>
      </c>
      <c r="C1222" s="52"/>
      <c r="D1222" s="53">
        <v>2020</v>
      </c>
      <c r="E1222" s="37">
        <v>11303958757</v>
      </c>
      <c r="F1222" s="37">
        <v>14727333969</v>
      </c>
      <c r="G1222" s="37">
        <v>11199608630</v>
      </c>
      <c r="H1222" s="37">
        <v>1263180320</v>
      </c>
      <c r="I1222" s="55">
        <f t="shared" si="54"/>
        <v>38494081676</v>
      </c>
      <c r="J1222" s="54">
        <v>0</v>
      </c>
      <c r="K1222" s="56">
        <f t="shared" si="56"/>
        <v>38494081676</v>
      </c>
      <c r="L1222" s="60">
        <v>0</v>
      </c>
      <c r="M1222" s="69"/>
      <c r="O1222" s="38" t="str">
        <f>IF([1]totrevprm!O1223="","",[1]totrevprm!O1223)</f>
        <v/>
      </c>
      <c r="P1222" s="35">
        <v>2379144922</v>
      </c>
      <c r="Q1222" s="35">
        <v>580801231</v>
      </c>
      <c r="V1222" s="38"/>
      <c r="W1222" s="58"/>
      <c r="X1222" s="58"/>
      <c r="Y1222" s="58"/>
      <c r="Z1222" s="58"/>
    </row>
    <row r="1223" spans="1:26">
      <c r="A1223" s="50" t="s">
        <v>59</v>
      </c>
      <c r="B1223" s="51" t="s">
        <v>290</v>
      </c>
      <c r="C1223" s="52"/>
      <c r="D1223" s="53">
        <v>2021</v>
      </c>
      <c r="E1223" s="37">
        <v>11797497873</v>
      </c>
      <c r="F1223" s="37">
        <v>13584659575</v>
      </c>
      <c r="G1223" s="37">
        <v>12116273881</v>
      </c>
      <c r="H1223" s="37">
        <v>373606304</v>
      </c>
      <c r="I1223" s="55">
        <f t="shared" si="54"/>
        <v>37872037633</v>
      </c>
      <c r="J1223" s="54">
        <v>0</v>
      </c>
      <c r="K1223" s="56">
        <f t="shared" si="56"/>
        <v>37872037633</v>
      </c>
      <c r="L1223" s="60">
        <v>0</v>
      </c>
      <c r="M1223" s="69"/>
      <c r="O1223" s="38"/>
      <c r="P1223" s="35">
        <v>2703391169.0599999</v>
      </c>
      <c r="Q1223" s="35">
        <v>613503366</v>
      </c>
      <c r="V1223" s="38"/>
      <c r="W1223" s="58"/>
      <c r="X1223" s="58"/>
      <c r="Y1223" s="58"/>
      <c r="Z1223" s="58"/>
    </row>
    <row r="1224" spans="1:26">
      <c r="A1224" s="50" t="s">
        <v>59</v>
      </c>
      <c r="B1224" s="51" t="s">
        <v>290</v>
      </c>
      <c r="C1224" s="52"/>
      <c r="D1224" s="53">
        <v>2022</v>
      </c>
      <c r="E1224" s="37">
        <v>11507628420</v>
      </c>
      <c r="F1224" s="37">
        <v>20914037724</v>
      </c>
      <c r="G1224" s="37">
        <v>13746300632</v>
      </c>
      <c r="H1224" s="37">
        <v>320084780</v>
      </c>
      <c r="I1224" s="55">
        <f t="shared" si="54"/>
        <v>46488051556</v>
      </c>
      <c r="J1224" s="54">
        <v>0</v>
      </c>
      <c r="K1224" s="56">
        <f t="shared" si="56"/>
        <v>46488051556</v>
      </c>
      <c r="L1224" s="60">
        <v>0</v>
      </c>
      <c r="M1224" s="69"/>
      <c r="O1224" s="38" t="str">
        <f>IF([1]totrevprm!O1227="","",[1]totrevprm!O1227)</f>
        <v/>
      </c>
      <c r="P1224" s="60">
        <v>2896730774</v>
      </c>
      <c r="Q1224" s="60">
        <v>614829343</v>
      </c>
    </row>
    <row r="1225" spans="1:26">
      <c r="A1225" s="50" t="s">
        <v>59</v>
      </c>
      <c r="B1225" s="51" t="s">
        <v>290</v>
      </c>
      <c r="C1225" s="52"/>
      <c r="D1225" s="53">
        <v>2023</v>
      </c>
      <c r="E1225" s="37">
        <v>11703455463</v>
      </c>
      <c r="F1225" s="37">
        <v>23616439727</v>
      </c>
      <c r="G1225" s="37">
        <v>50523091933.458702</v>
      </c>
      <c r="H1225" s="37">
        <v>6275301941</v>
      </c>
      <c r="I1225" s="55">
        <f t="shared" si="54"/>
        <v>92118289064.45871</v>
      </c>
      <c r="K1225" s="56">
        <f t="shared" si="56"/>
        <v>92118289064.45871</v>
      </c>
      <c r="L1225" s="37">
        <v>0</v>
      </c>
      <c r="M1225" s="69" t="s">
        <v>739</v>
      </c>
      <c r="O1225" s="38" t="s">
        <v>737</v>
      </c>
      <c r="P1225" s="60">
        <v>2808815474.8548002</v>
      </c>
      <c r="Q1225" s="60">
        <v>735422424</v>
      </c>
    </row>
    <row r="1226" spans="1:26">
      <c r="A1226" s="50"/>
      <c r="B1226" s="52"/>
      <c r="C1226" s="52"/>
      <c r="E1226" s="54"/>
      <c r="F1226" s="54"/>
      <c r="G1226" s="54"/>
      <c r="H1226" s="54"/>
      <c r="I1226" s="55"/>
      <c r="K1226" s="65"/>
      <c r="L1226" s="37"/>
      <c r="M1226" s="69"/>
      <c r="O1226" s="38"/>
    </row>
    <row r="1227" spans="1:26">
      <c r="A1227" s="50" t="s">
        <v>60</v>
      </c>
      <c r="B1227" s="51" t="s">
        <v>203</v>
      </c>
      <c r="C1227" s="52" t="s">
        <v>800</v>
      </c>
      <c r="D1227" s="53">
        <v>1988</v>
      </c>
      <c r="E1227" s="54">
        <v>1576211257</v>
      </c>
      <c r="F1227" s="54">
        <v>965244453</v>
      </c>
      <c r="G1227" s="54">
        <v>1169154078</v>
      </c>
      <c r="H1227" s="54">
        <v>297345235</v>
      </c>
      <c r="I1227" s="55">
        <f t="shared" si="54"/>
        <v>4007955023</v>
      </c>
      <c r="J1227" s="54">
        <v>0</v>
      </c>
      <c r="K1227" s="56">
        <f>SUM(I1227:J1227)</f>
        <v>4007955023</v>
      </c>
      <c r="L1227" s="37">
        <v>0</v>
      </c>
      <c r="M1227" s="69"/>
      <c r="O1227" s="38" t="str">
        <f>IF([1]totrevprm!O1228="","",[1]totrevprm!O1228)</f>
        <v/>
      </c>
    </row>
    <row r="1228" spans="1:26">
      <c r="A1228" s="50" t="s">
        <v>60</v>
      </c>
      <c r="B1228" s="51" t="s">
        <v>203</v>
      </c>
      <c r="C1228" s="52" t="s">
        <v>731</v>
      </c>
      <c r="D1228" s="53">
        <v>1989</v>
      </c>
      <c r="E1228" s="54">
        <v>1623745015</v>
      </c>
      <c r="F1228" s="54">
        <v>999194134</v>
      </c>
      <c r="G1228" s="54">
        <v>1319275033</v>
      </c>
      <c r="H1228" s="54">
        <v>140253076</v>
      </c>
      <c r="I1228" s="55">
        <f t="shared" si="54"/>
        <v>4082467258</v>
      </c>
      <c r="J1228" s="54">
        <v>0</v>
      </c>
      <c r="K1228" s="56">
        <f t="shared" ref="K1228:K1262" si="57">SUM(I1228:J1228)</f>
        <v>4082467258</v>
      </c>
      <c r="L1228" s="37">
        <v>0</v>
      </c>
      <c r="M1228" s="69"/>
      <c r="O1228" s="38" t="str">
        <f>IF([1]totrevprm!O1229="","",[1]totrevprm!O1229)</f>
        <v/>
      </c>
    </row>
    <row r="1229" spans="1:26">
      <c r="A1229" s="50" t="s">
        <v>60</v>
      </c>
      <c r="B1229" s="51" t="s">
        <v>203</v>
      </c>
      <c r="C1229" s="52" t="s">
        <v>731</v>
      </c>
      <c r="D1229" s="53">
        <v>1990</v>
      </c>
      <c r="E1229" s="54">
        <v>1822113981</v>
      </c>
      <c r="F1229" s="54">
        <v>1187538878.5999999</v>
      </c>
      <c r="G1229" s="54">
        <v>1457270393</v>
      </c>
      <c r="H1229" s="54">
        <v>161054913</v>
      </c>
      <c r="I1229" s="55">
        <f t="shared" si="54"/>
        <v>4627978165.6000004</v>
      </c>
      <c r="J1229" s="54">
        <v>0</v>
      </c>
      <c r="K1229" s="56">
        <f t="shared" si="57"/>
        <v>4627978165.6000004</v>
      </c>
      <c r="L1229" s="37">
        <v>0</v>
      </c>
      <c r="M1229" s="69"/>
      <c r="O1229" s="38" t="str">
        <f>IF([1]totrevprm!O1230="","",[1]totrevprm!O1230)</f>
        <v/>
      </c>
    </row>
    <row r="1230" spans="1:26">
      <c r="A1230" s="50" t="s">
        <v>60</v>
      </c>
      <c r="B1230" s="51" t="s">
        <v>203</v>
      </c>
      <c r="C1230" s="52" t="s">
        <v>766</v>
      </c>
      <c r="D1230" s="53">
        <v>1991</v>
      </c>
      <c r="E1230" s="54">
        <v>1890224150</v>
      </c>
      <c r="F1230" s="54">
        <v>1009419304</v>
      </c>
      <c r="G1230" s="54">
        <v>1575306222</v>
      </c>
      <c r="H1230" s="54">
        <v>985271351</v>
      </c>
      <c r="I1230" s="55">
        <f t="shared" si="54"/>
        <v>5460221027</v>
      </c>
      <c r="J1230" s="54">
        <v>0</v>
      </c>
      <c r="K1230" s="56">
        <f t="shared" si="57"/>
        <v>5460221027</v>
      </c>
      <c r="L1230" s="37">
        <v>0</v>
      </c>
      <c r="M1230" s="69"/>
      <c r="O1230" s="38" t="str">
        <f>IF([1]totrevprm!O1231="","",[1]totrevprm!O1231)</f>
        <v/>
      </c>
    </row>
    <row r="1231" spans="1:26">
      <c r="A1231" s="50" t="s">
        <v>60</v>
      </c>
      <c r="B1231" s="51" t="s">
        <v>203</v>
      </c>
      <c r="C1231" s="52" t="s">
        <v>742</v>
      </c>
      <c r="D1231" s="53">
        <v>1992</v>
      </c>
      <c r="E1231" s="54">
        <v>2005947831</v>
      </c>
      <c r="F1231" s="54">
        <v>1053287642.4</v>
      </c>
      <c r="G1231" s="54">
        <v>1674492275</v>
      </c>
      <c r="H1231" s="54">
        <v>646822015</v>
      </c>
      <c r="I1231" s="55">
        <f t="shared" si="54"/>
        <v>5380549763.3999996</v>
      </c>
      <c r="J1231" s="54">
        <v>0</v>
      </c>
      <c r="K1231" s="56">
        <f t="shared" si="57"/>
        <v>5380549763.3999996</v>
      </c>
      <c r="L1231" s="37">
        <v>0</v>
      </c>
      <c r="M1231" s="69"/>
      <c r="O1231" s="38" t="str">
        <f>IF([1]totrevprm!O1232="","",[1]totrevprm!O1232)</f>
        <v/>
      </c>
    </row>
    <row r="1232" spans="1:26">
      <c r="A1232" s="50" t="s">
        <v>60</v>
      </c>
      <c r="B1232" s="51" t="s">
        <v>203</v>
      </c>
      <c r="C1232" s="52" t="s">
        <v>759</v>
      </c>
      <c r="D1232" s="53">
        <v>1993</v>
      </c>
      <c r="E1232" s="54">
        <v>2303511574</v>
      </c>
      <c r="F1232" s="54">
        <v>821679848</v>
      </c>
      <c r="G1232" s="54">
        <v>1821947289</v>
      </c>
      <c r="H1232" s="54">
        <v>757431262</v>
      </c>
      <c r="I1232" s="55">
        <f t="shared" si="54"/>
        <v>5704569973</v>
      </c>
      <c r="J1232" s="54">
        <v>0</v>
      </c>
      <c r="K1232" s="56">
        <f t="shared" si="57"/>
        <v>5704569973</v>
      </c>
      <c r="L1232" s="37">
        <v>0</v>
      </c>
      <c r="M1232" s="69"/>
      <c r="O1232" s="38" t="str">
        <f>IF([1]totrevprm!O1233="","",[1]totrevprm!O1233)</f>
        <v/>
      </c>
    </row>
    <row r="1233" spans="1:26">
      <c r="A1233" s="50" t="s">
        <v>60</v>
      </c>
      <c r="B1233" s="51" t="s">
        <v>203</v>
      </c>
      <c r="C1233" s="52" t="s">
        <v>731</v>
      </c>
      <c r="D1233" s="53">
        <v>1994</v>
      </c>
      <c r="E1233" s="54">
        <v>2436915646</v>
      </c>
      <c r="F1233" s="54">
        <v>1203222295</v>
      </c>
      <c r="G1233" s="54">
        <v>1911502511</v>
      </c>
      <c r="H1233" s="54">
        <v>720045572</v>
      </c>
      <c r="I1233" s="55">
        <f t="shared" si="54"/>
        <v>6271686024</v>
      </c>
      <c r="J1233" s="54">
        <v>0</v>
      </c>
      <c r="K1233" s="56">
        <f t="shared" si="57"/>
        <v>6271686024</v>
      </c>
      <c r="L1233" s="37">
        <v>0</v>
      </c>
      <c r="M1233" s="69"/>
      <c r="O1233" s="38" t="str">
        <f>IF([1]totrevprm!O1234="","",[1]totrevprm!O1234)</f>
        <v/>
      </c>
    </row>
    <row r="1234" spans="1:26">
      <c r="A1234" s="50" t="s">
        <v>60</v>
      </c>
      <c r="B1234" s="51" t="s">
        <v>203</v>
      </c>
      <c r="C1234" s="52" t="s">
        <v>731</v>
      </c>
      <c r="D1234" s="53">
        <v>1995</v>
      </c>
      <c r="E1234" s="54">
        <v>2534603476</v>
      </c>
      <c r="F1234" s="54">
        <v>1189509137</v>
      </c>
      <c r="G1234" s="54">
        <v>3010616221</v>
      </c>
      <c r="H1234" s="54">
        <v>626791461</v>
      </c>
      <c r="I1234" s="55">
        <f t="shared" si="54"/>
        <v>7361520295</v>
      </c>
      <c r="J1234" s="54">
        <v>0</v>
      </c>
      <c r="K1234" s="56">
        <f t="shared" si="57"/>
        <v>7361520295</v>
      </c>
      <c r="L1234" s="37">
        <v>0</v>
      </c>
      <c r="M1234" s="69"/>
      <c r="O1234" s="38" t="str">
        <f>IF([1]totrevprm!O1235="","",[1]totrevprm!O1235)</f>
        <v/>
      </c>
    </row>
    <row r="1235" spans="1:26">
      <c r="A1235" s="50" t="s">
        <v>60</v>
      </c>
      <c r="B1235" s="51" t="s">
        <v>203</v>
      </c>
      <c r="C1235" s="52" t="s">
        <v>731</v>
      </c>
      <c r="D1235" s="53">
        <v>1996</v>
      </c>
      <c r="E1235" s="54">
        <v>2610371300</v>
      </c>
      <c r="F1235" s="54">
        <v>1024509545</v>
      </c>
      <c r="G1235" s="54">
        <v>3123139337</v>
      </c>
      <c r="H1235" s="54">
        <v>649527488</v>
      </c>
      <c r="I1235" s="55">
        <f t="shared" si="54"/>
        <v>7407547670</v>
      </c>
      <c r="J1235" s="54">
        <v>0</v>
      </c>
      <c r="K1235" s="56">
        <f t="shared" si="57"/>
        <v>7407547670</v>
      </c>
      <c r="L1235" s="37">
        <v>0</v>
      </c>
      <c r="M1235" s="69"/>
      <c r="O1235" s="38" t="str">
        <f>IF([1]totrevprm!O1236="","",[1]totrevprm!O1236)</f>
        <v/>
      </c>
    </row>
    <row r="1236" spans="1:26">
      <c r="A1236" s="50" t="s">
        <v>60</v>
      </c>
      <c r="B1236" s="51" t="s">
        <v>203</v>
      </c>
      <c r="C1236" s="52" t="s">
        <v>731</v>
      </c>
      <c r="D1236" s="53">
        <v>1997</v>
      </c>
      <c r="E1236" s="54">
        <v>2549315599</v>
      </c>
      <c r="F1236" s="54">
        <v>1236750477</v>
      </c>
      <c r="G1236" s="54">
        <v>3295674983</v>
      </c>
      <c r="H1236" s="54">
        <v>579634800</v>
      </c>
      <c r="I1236" s="55">
        <f t="shared" si="54"/>
        <v>7661375859</v>
      </c>
      <c r="J1236" s="54">
        <v>0</v>
      </c>
      <c r="K1236" s="56">
        <f t="shared" si="57"/>
        <v>7661375859</v>
      </c>
      <c r="L1236" s="37">
        <v>0</v>
      </c>
      <c r="M1236" s="69"/>
      <c r="O1236" s="38" t="str">
        <f>IF([1]totrevprm!O1237="","",[1]totrevprm!O1237)</f>
        <v/>
      </c>
    </row>
    <row r="1237" spans="1:26">
      <c r="A1237" s="50" t="s">
        <v>60</v>
      </c>
      <c r="B1237" s="51" t="s">
        <v>203</v>
      </c>
      <c r="C1237" s="52" t="s">
        <v>731</v>
      </c>
      <c r="D1237" s="53">
        <v>1998</v>
      </c>
      <c r="E1237" s="54">
        <v>3102840241</v>
      </c>
      <c r="F1237" s="54">
        <v>1300280894</v>
      </c>
      <c r="G1237" s="54">
        <v>3349075310</v>
      </c>
      <c r="H1237" s="54">
        <v>473111198</v>
      </c>
      <c r="I1237" s="55">
        <f t="shared" si="54"/>
        <v>8225307643</v>
      </c>
      <c r="J1237" s="54">
        <v>0</v>
      </c>
      <c r="K1237" s="56">
        <f t="shared" si="57"/>
        <v>8225307643</v>
      </c>
      <c r="L1237" s="37">
        <v>0</v>
      </c>
      <c r="M1237" s="69"/>
      <c r="O1237" s="38" t="str">
        <f>IF([1]totrevprm!O1238="","",[1]totrevprm!O1238)</f>
        <v/>
      </c>
    </row>
    <row r="1238" spans="1:26">
      <c r="A1238" s="50" t="s">
        <v>60</v>
      </c>
      <c r="B1238" s="51" t="s">
        <v>203</v>
      </c>
      <c r="C1238" s="52" t="s">
        <v>731</v>
      </c>
      <c r="D1238" s="53">
        <v>1999</v>
      </c>
      <c r="E1238" s="54">
        <v>2696896497</v>
      </c>
      <c r="F1238" s="54">
        <v>1836633077</v>
      </c>
      <c r="G1238" s="54">
        <v>3649778320</v>
      </c>
      <c r="H1238" s="54">
        <v>891843054</v>
      </c>
      <c r="I1238" s="55">
        <f t="shared" si="54"/>
        <v>9075150948</v>
      </c>
      <c r="J1238" s="54">
        <v>0</v>
      </c>
      <c r="K1238" s="56">
        <f t="shared" si="57"/>
        <v>9075150948</v>
      </c>
      <c r="L1238" s="37">
        <v>0</v>
      </c>
      <c r="M1238" s="69"/>
      <c r="O1238" s="38" t="str">
        <f>IF([1]totrevprm!O1239="","",[1]totrevprm!O1239)</f>
        <v/>
      </c>
    </row>
    <row r="1239" spans="1:26">
      <c r="A1239" s="50" t="s">
        <v>60</v>
      </c>
      <c r="B1239" s="51" t="s">
        <v>203</v>
      </c>
      <c r="C1239" s="52" t="s">
        <v>731</v>
      </c>
      <c r="D1239" s="53">
        <v>2000</v>
      </c>
      <c r="E1239" s="54">
        <v>3336683293</v>
      </c>
      <c r="F1239" s="54">
        <v>2053852555</v>
      </c>
      <c r="G1239" s="54">
        <v>4112063991</v>
      </c>
      <c r="H1239" s="54">
        <v>699776079</v>
      </c>
      <c r="I1239" s="55">
        <f t="shared" si="54"/>
        <v>10202375918</v>
      </c>
      <c r="J1239" s="54">
        <v>0</v>
      </c>
      <c r="K1239" s="56">
        <f t="shared" si="57"/>
        <v>10202375918</v>
      </c>
      <c r="L1239" s="37">
        <v>0</v>
      </c>
      <c r="M1239" s="69"/>
      <c r="O1239" s="38" t="str">
        <f>IF([1]totrevprm!O1240="","",[1]totrevprm!O1240)</f>
        <v/>
      </c>
      <c r="V1239" s="38" t="s">
        <v>203</v>
      </c>
      <c r="W1239" s="58">
        <v>4263687</v>
      </c>
      <c r="X1239" s="58">
        <v>42921136</v>
      </c>
      <c r="Y1239" s="58">
        <v>28627812</v>
      </c>
      <c r="Z1239" s="58">
        <v>0</v>
      </c>
    </row>
    <row r="1240" spans="1:26">
      <c r="A1240" s="50" t="s">
        <v>60</v>
      </c>
      <c r="B1240" s="51" t="s">
        <v>203</v>
      </c>
      <c r="C1240" s="52" t="s">
        <v>731</v>
      </c>
      <c r="D1240" s="53">
        <v>2001</v>
      </c>
      <c r="E1240" s="54">
        <v>3045458927</v>
      </c>
      <c r="F1240" s="54">
        <v>2843495265</v>
      </c>
      <c r="G1240" s="54">
        <v>4317663762</v>
      </c>
      <c r="H1240" s="54">
        <v>492959828</v>
      </c>
      <c r="I1240" s="55">
        <f t="shared" si="54"/>
        <v>10699577782</v>
      </c>
      <c r="J1240" s="54">
        <v>0</v>
      </c>
      <c r="K1240" s="56">
        <f t="shared" si="57"/>
        <v>10699577782</v>
      </c>
      <c r="L1240" s="37">
        <v>0</v>
      </c>
      <c r="M1240" s="69"/>
      <c r="O1240" s="38" t="str">
        <f>IF([1]totrevprm!O1241="","",[1]totrevprm!O1241)</f>
        <v/>
      </c>
      <c r="V1240" s="38"/>
      <c r="W1240" s="58"/>
      <c r="X1240" s="58"/>
      <c r="Y1240" s="58"/>
      <c r="Z1240" s="58"/>
    </row>
    <row r="1241" spans="1:26">
      <c r="A1241" s="50" t="s">
        <v>60</v>
      </c>
      <c r="B1241" s="51" t="s">
        <v>203</v>
      </c>
      <c r="C1241" s="52" t="s">
        <v>731</v>
      </c>
      <c r="D1241" s="53">
        <v>2002</v>
      </c>
      <c r="E1241" s="54">
        <v>3135939431</v>
      </c>
      <c r="F1241" s="54">
        <v>3979428122</v>
      </c>
      <c r="G1241" s="54">
        <v>4698009006</v>
      </c>
      <c r="H1241" s="54">
        <v>619625352</v>
      </c>
      <c r="I1241" s="55">
        <f t="shared" si="54"/>
        <v>12433001911</v>
      </c>
      <c r="J1241" s="54">
        <v>0</v>
      </c>
      <c r="K1241" s="56">
        <f t="shared" si="57"/>
        <v>12433001911</v>
      </c>
      <c r="L1241" s="37">
        <v>0</v>
      </c>
      <c r="M1241" s="69"/>
      <c r="O1241" s="38" t="str">
        <f>IF([1]totrevprm!O1242="","",[1]totrevprm!O1242)</f>
        <v/>
      </c>
      <c r="V1241" s="38"/>
      <c r="W1241" s="58"/>
      <c r="X1241" s="58"/>
      <c r="Y1241" s="58"/>
      <c r="Z1241" s="58"/>
    </row>
    <row r="1242" spans="1:26">
      <c r="A1242" s="50" t="s">
        <v>60</v>
      </c>
      <c r="B1242" s="51" t="s">
        <v>203</v>
      </c>
      <c r="C1242" s="52" t="s">
        <v>731</v>
      </c>
      <c r="D1242" s="53">
        <v>2003</v>
      </c>
      <c r="E1242" s="59">
        <v>2983351816</v>
      </c>
      <c r="F1242" s="59">
        <v>3676818985</v>
      </c>
      <c r="G1242" s="59">
        <v>4905869805</v>
      </c>
      <c r="H1242" s="59">
        <v>430790322</v>
      </c>
      <c r="I1242" s="55">
        <f t="shared" si="54"/>
        <v>11996830928</v>
      </c>
      <c r="J1242" s="54">
        <v>0</v>
      </c>
      <c r="K1242" s="56">
        <f t="shared" si="57"/>
        <v>11996830928</v>
      </c>
      <c r="L1242" s="37">
        <v>0</v>
      </c>
      <c r="M1242" s="69"/>
      <c r="O1242" s="38" t="str">
        <f>IF([1]totrevprm!O1243="","",[1]totrevprm!O1243)</f>
        <v/>
      </c>
      <c r="V1242" s="38"/>
      <c r="W1242" s="58"/>
      <c r="X1242" s="58"/>
      <c r="Y1242" s="58"/>
      <c r="Z1242" s="58"/>
    </row>
    <row r="1243" spans="1:26">
      <c r="A1243" s="50" t="s">
        <v>60</v>
      </c>
      <c r="B1243" s="51" t="s">
        <v>203</v>
      </c>
      <c r="C1243" s="52" t="s">
        <v>731</v>
      </c>
      <c r="D1243" s="53">
        <v>2004</v>
      </c>
      <c r="E1243" s="59">
        <v>3017296814</v>
      </c>
      <c r="F1243" s="59">
        <v>3145321138</v>
      </c>
      <c r="G1243" s="59">
        <v>5362292378</v>
      </c>
      <c r="H1243" s="59">
        <v>412138877</v>
      </c>
      <c r="I1243" s="55">
        <f t="shared" si="54"/>
        <v>11937049207</v>
      </c>
      <c r="J1243" s="54">
        <v>0</v>
      </c>
      <c r="K1243" s="56">
        <f t="shared" si="57"/>
        <v>11937049207</v>
      </c>
      <c r="L1243" s="37">
        <v>0</v>
      </c>
      <c r="M1243" s="69"/>
      <c r="O1243" s="38" t="str">
        <f>IF([1]totrevprm!O1244="","",[1]totrevprm!O1244)</f>
        <v/>
      </c>
      <c r="V1243" s="38"/>
      <c r="W1243" s="58"/>
      <c r="X1243" s="58"/>
      <c r="Y1243" s="58"/>
      <c r="Z1243" s="58"/>
    </row>
    <row r="1244" spans="1:26">
      <c r="A1244" s="50" t="s">
        <v>60</v>
      </c>
      <c r="B1244" s="51" t="s">
        <v>203</v>
      </c>
      <c r="C1244" s="52"/>
      <c r="D1244" s="53">
        <v>2005</v>
      </c>
      <c r="E1244" s="59">
        <v>3115275303</v>
      </c>
      <c r="F1244" s="59">
        <v>3099911047</v>
      </c>
      <c r="G1244" s="59">
        <v>5884210882.1499901</v>
      </c>
      <c r="H1244" s="59">
        <v>817039712</v>
      </c>
      <c r="I1244" s="55">
        <f t="shared" si="54"/>
        <v>12916436944.14999</v>
      </c>
      <c r="J1244" s="54">
        <v>0</v>
      </c>
      <c r="K1244" s="56">
        <f t="shared" si="57"/>
        <v>12916436944.14999</v>
      </c>
      <c r="L1244" s="37">
        <v>0</v>
      </c>
      <c r="M1244" s="69"/>
      <c r="O1244" s="38" t="str">
        <f>IF([1]totrevprm!O1245="","",[1]totrevprm!O1245)</f>
        <v/>
      </c>
      <c r="V1244" s="38"/>
      <c r="W1244" s="58"/>
      <c r="X1244" s="58"/>
      <c r="Y1244" s="58"/>
      <c r="Z1244" s="58"/>
    </row>
    <row r="1245" spans="1:26">
      <c r="A1245" s="50" t="s">
        <v>60</v>
      </c>
      <c r="B1245" s="51" t="s">
        <v>203</v>
      </c>
      <c r="C1245" s="52"/>
      <c r="D1245" s="53">
        <v>2006</v>
      </c>
      <c r="E1245" s="37">
        <v>3370338158</v>
      </c>
      <c r="F1245" s="37">
        <v>3375914426</v>
      </c>
      <c r="G1245" s="37">
        <v>6752379642</v>
      </c>
      <c r="H1245" s="37">
        <v>442370847</v>
      </c>
      <c r="I1245" s="55">
        <f t="shared" si="54"/>
        <v>13941003073</v>
      </c>
      <c r="J1245" s="54">
        <v>0</v>
      </c>
      <c r="K1245" s="56">
        <f t="shared" si="57"/>
        <v>13941003073</v>
      </c>
      <c r="L1245" s="37">
        <v>0</v>
      </c>
      <c r="M1245" s="69"/>
      <c r="O1245" s="38" t="str">
        <f>IF([1]totrevprm!O1246="","",[1]totrevprm!O1246)</f>
        <v/>
      </c>
      <c r="V1245" s="38"/>
      <c r="W1245" s="58"/>
      <c r="X1245" s="58"/>
      <c r="Y1245" s="58"/>
      <c r="Z1245" s="58"/>
    </row>
    <row r="1246" spans="1:26">
      <c r="A1246" s="50" t="s">
        <v>60</v>
      </c>
      <c r="B1246" s="51" t="s">
        <v>203</v>
      </c>
      <c r="C1246" s="52"/>
      <c r="D1246" s="53">
        <v>2007</v>
      </c>
      <c r="E1246" s="37">
        <v>3471950313</v>
      </c>
      <c r="F1246" s="37">
        <v>3430752748</v>
      </c>
      <c r="G1246" s="37">
        <v>7751883243</v>
      </c>
      <c r="H1246" s="37">
        <v>526667603</v>
      </c>
      <c r="I1246" s="55">
        <f t="shared" si="54"/>
        <v>15181253907</v>
      </c>
      <c r="J1246" s="54">
        <v>0</v>
      </c>
      <c r="K1246" s="56">
        <f t="shared" si="57"/>
        <v>15181253907</v>
      </c>
      <c r="L1246" s="37">
        <v>0</v>
      </c>
      <c r="M1246" s="69"/>
      <c r="O1246" s="38" t="str">
        <f>IF([1]totrevprm!O1247="","",[1]totrevprm!O1247)</f>
        <v/>
      </c>
      <c r="V1246" s="38"/>
      <c r="W1246" s="58"/>
      <c r="X1246" s="58"/>
      <c r="Y1246" s="58"/>
      <c r="Z1246" s="58"/>
    </row>
    <row r="1247" spans="1:26">
      <c r="A1247" s="50" t="s">
        <v>60</v>
      </c>
      <c r="B1247" s="51" t="s">
        <v>203</v>
      </c>
      <c r="C1247" s="52"/>
      <c r="D1247" s="53">
        <v>2008</v>
      </c>
      <c r="E1247" s="37">
        <v>3578435894</v>
      </c>
      <c r="F1247" s="37">
        <v>4701898477</v>
      </c>
      <c r="G1247" s="37">
        <v>8283868055</v>
      </c>
      <c r="H1247" s="37">
        <v>642489200</v>
      </c>
      <c r="I1247" s="55">
        <f t="shared" si="54"/>
        <v>17206691626</v>
      </c>
      <c r="J1247" s="54">
        <v>0</v>
      </c>
      <c r="K1247" s="56">
        <f t="shared" si="57"/>
        <v>17206691626</v>
      </c>
      <c r="L1247" s="37">
        <v>0</v>
      </c>
      <c r="M1247" s="69"/>
      <c r="O1247" s="38" t="str">
        <f>IF([1]totrevprm!O1248="","",[1]totrevprm!O1248)</f>
        <v/>
      </c>
      <c r="V1247" s="38"/>
      <c r="W1247" s="58"/>
      <c r="X1247" s="58"/>
      <c r="Y1247" s="58"/>
      <c r="Z1247" s="58"/>
    </row>
    <row r="1248" spans="1:26">
      <c r="A1248" s="50" t="s">
        <v>60</v>
      </c>
      <c r="B1248" s="51" t="s">
        <v>203</v>
      </c>
      <c r="C1248" s="52"/>
      <c r="D1248" s="53">
        <v>2009</v>
      </c>
      <c r="E1248" s="37">
        <v>3732635087</v>
      </c>
      <c r="F1248" s="37">
        <v>4671091867</v>
      </c>
      <c r="G1248" s="37">
        <v>8403625995</v>
      </c>
      <c r="H1248" s="37">
        <v>757020943</v>
      </c>
      <c r="I1248" s="55">
        <f t="shared" ref="I1248:I1311" si="58">SUM(E1248:H1248)</f>
        <v>17564373892</v>
      </c>
      <c r="J1248" s="54">
        <v>0</v>
      </c>
      <c r="K1248" s="56">
        <f t="shared" si="57"/>
        <v>17564373892</v>
      </c>
      <c r="L1248" s="37">
        <v>0</v>
      </c>
      <c r="M1248" s="69"/>
      <c r="O1248" s="38" t="str">
        <f>IF([1]totrevprm!O1249="","",[1]totrevprm!O1249)</f>
        <v/>
      </c>
      <c r="V1248" s="38"/>
      <c r="W1248" s="58"/>
      <c r="X1248" s="58"/>
      <c r="Y1248" s="58"/>
      <c r="Z1248" s="58"/>
    </row>
    <row r="1249" spans="1:26">
      <c r="A1249" s="50" t="s">
        <v>60</v>
      </c>
      <c r="B1249" s="51" t="s">
        <v>203</v>
      </c>
      <c r="C1249" s="52"/>
      <c r="D1249" s="53">
        <v>2010</v>
      </c>
      <c r="E1249" s="37">
        <v>3941644362</v>
      </c>
      <c r="F1249" s="37">
        <v>3896747082</v>
      </c>
      <c r="G1249" s="37">
        <v>8847410340</v>
      </c>
      <c r="H1249" s="37">
        <v>522861618</v>
      </c>
      <c r="I1249" s="55">
        <f t="shared" si="58"/>
        <v>17208663402</v>
      </c>
      <c r="J1249" s="54">
        <v>0</v>
      </c>
      <c r="K1249" s="56">
        <f t="shared" si="57"/>
        <v>17208663402</v>
      </c>
      <c r="L1249" s="37">
        <v>0</v>
      </c>
      <c r="M1249" s="69"/>
      <c r="O1249" s="38" t="str">
        <f>IF([1]totrevprm!O1250="","",[1]totrevprm!O1250)</f>
        <v/>
      </c>
      <c r="V1249" s="38"/>
      <c r="W1249" s="58"/>
      <c r="X1249" s="58"/>
      <c r="Y1249" s="58"/>
      <c r="Z1249" s="58"/>
    </row>
    <row r="1250" spans="1:26">
      <c r="A1250" s="50" t="s">
        <v>60</v>
      </c>
      <c r="B1250" s="51" t="s">
        <v>203</v>
      </c>
      <c r="C1250" s="52"/>
      <c r="D1250" s="53">
        <v>2011</v>
      </c>
      <c r="E1250" s="37">
        <v>4117051619</v>
      </c>
      <c r="F1250" s="37">
        <v>3809439687</v>
      </c>
      <c r="G1250" s="37">
        <v>8915135852.5100002</v>
      </c>
      <c r="H1250" s="37">
        <v>601777807</v>
      </c>
      <c r="I1250" s="55">
        <f t="shared" si="58"/>
        <v>17443404965.510002</v>
      </c>
      <c r="J1250" s="54">
        <v>0</v>
      </c>
      <c r="K1250" s="56">
        <f t="shared" si="57"/>
        <v>17443404965.510002</v>
      </c>
      <c r="L1250" s="37">
        <v>0</v>
      </c>
      <c r="M1250" s="69"/>
      <c r="O1250" s="38" t="str">
        <f>IF([1]totrevprm!O1251="","",[1]totrevprm!O1251)</f>
        <v/>
      </c>
      <c r="V1250" s="38"/>
      <c r="W1250" s="58"/>
      <c r="X1250" s="58"/>
      <c r="Y1250" s="58"/>
      <c r="Z1250" s="58"/>
    </row>
    <row r="1251" spans="1:26">
      <c r="A1251" s="50" t="s">
        <v>60</v>
      </c>
      <c r="B1251" s="51" t="s">
        <v>203</v>
      </c>
      <c r="C1251" s="52"/>
      <c r="D1251" s="53">
        <v>2012</v>
      </c>
      <c r="E1251" s="37">
        <v>4203464916</v>
      </c>
      <c r="F1251" s="37">
        <v>4254123065</v>
      </c>
      <c r="G1251" s="37">
        <v>9264707784</v>
      </c>
      <c r="H1251" s="37">
        <v>626185615</v>
      </c>
      <c r="I1251" s="55">
        <f t="shared" si="58"/>
        <v>18348481380</v>
      </c>
      <c r="J1251" s="54">
        <v>0</v>
      </c>
      <c r="K1251" s="56">
        <f t="shared" si="57"/>
        <v>18348481380</v>
      </c>
      <c r="L1251" s="37">
        <v>0</v>
      </c>
      <c r="M1251" s="69"/>
      <c r="O1251" s="38" t="str">
        <f>IF([1]totrevprm!O1252="","",[1]totrevprm!O1252)</f>
        <v/>
      </c>
      <c r="V1251" s="38"/>
      <c r="W1251" s="58"/>
      <c r="X1251" s="58"/>
      <c r="Y1251" s="58"/>
      <c r="Z1251" s="58"/>
    </row>
    <row r="1252" spans="1:26">
      <c r="A1252" s="50" t="s">
        <v>60</v>
      </c>
      <c r="B1252" s="51" t="s">
        <v>203</v>
      </c>
      <c r="C1252" s="52"/>
      <c r="D1252" s="53">
        <v>2013</v>
      </c>
      <c r="E1252" s="37">
        <v>4107216595</v>
      </c>
      <c r="F1252" s="37">
        <v>4599872888</v>
      </c>
      <c r="G1252" s="37">
        <v>8166237292</v>
      </c>
      <c r="H1252" s="37">
        <v>582274089</v>
      </c>
      <c r="I1252" s="55">
        <f t="shared" si="58"/>
        <v>17455600864</v>
      </c>
      <c r="J1252" s="54">
        <v>0</v>
      </c>
      <c r="K1252" s="56">
        <f t="shared" si="57"/>
        <v>17455600864</v>
      </c>
      <c r="L1252" s="37">
        <v>0</v>
      </c>
      <c r="M1252" s="69"/>
      <c r="O1252" s="38" t="str">
        <f>IF([1]totrevprm!O1253="","",[1]totrevprm!O1253)</f>
        <v/>
      </c>
      <c r="V1252" s="38"/>
      <c r="W1252" s="58"/>
      <c r="X1252" s="58"/>
      <c r="Y1252" s="58"/>
      <c r="Z1252" s="58"/>
    </row>
    <row r="1253" spans="1:26">
      <c r="A1253" s="50" t="s">
        <v>60</v>
      </c>
      <c r="B1253" s="51" t="s">
        <v>203</v>
      </c>
      <c r="C1253" s="52"/>
      <c r="D1253" s="53">
        <v>2014</v>
      </c>
      <c r="E1253" s="37">
        <v>4154424080</v>
      </c>
      <c r="F1253" s="37">
        <v>4440490624</v>
      </c>
      <c r="G1253" s="37">
        <v>9127098739.1599998</v>
      </c>
      <c r="H1253" s="37">
        <v>750616789</v>
      </c>
      <c r="I1253" s="55">
        <f t="shared" si="58"/>
        <v>18472630232.16</v>
      </c>
      <c r="J1253" s="54">
        <v>0</v>
      </c>
      <c r="K1253" s="56">
        <f t="shared" si="57"/>
        <v>18472630232.16</v>
      </c>
      <c r="L1253" s="37">
        <v>0</v>
      </c>
      <c r="M1253" s="69"/>
      <c r="O1253" s="38" t="str">
        <f>IF([1]totrevprm!O1254="","",[1]totrevprm!O1254)</f>
        <v/>
      </c>
      <c r="V1253" s="38"/>
      <c r="W1253" s="58"/>
      <c r="X1253" s="58"/>
      <c r="Y1253" s="58"/>
      <c r="Z1253" s="58"/>
    </row>
    <row r="1254" spans="1:26">
      <c r="A1254" s="50" t="s">
        <v>60</v>
      </c>
      <c r="B1254" s="51" t="s">
        <v>203</v>
      </c>
      <c r="C1254" s="52"/>
      <c r="D1254" s="53">
        <v>2015</v>
      </c>
      <c r="E1254" s="37">
        <v>4325330231</v>
      </c>
      <c r="F1254" s="37">
        <v>4985448302</v>
      </c>
      <c r="G1254" s="37">
        <v>9399002542</v>
      </c>
      <c r="H1254" s="37">
        <v>604296142</v>
      </c>
      <c r="I1254" s="55">
        <f t="shared" si="58"/>
        <v>19314077217</v>
      </c>
      <c r="J1254" s="54">
        <v>0</v>
      </c>
      <c r="K1254" s="56">
        <f t="shared" si="57"/>
        <v>19314077217</v>
      </c>
      <c r="L1254" s="37">
        <v>0</v>
      </c>
      <c r="M1254" s="69"/>
      <c r="O1254" s="38" t="str">
        <f>IF([1]totrevprm!O1255="","",[1]totrevprm!O1255)</f>
        <v/>
      </c>
      <c r="P1254" s="35">
        <v>790332314.02872908</v>
      </c>
      <c r="Q1254" s="35">
        <v>340492524.39432836</v>
      </c>
      <c r="V1254" s="38"/>
      <c r="W1254" s="58"/>
      <c r="X1254" s="58"/>
      <c r="Y1254" s="58"/>
      <c r="Z1254" s="58"/>
    </row>
    <row r="1255" spans="1:26">
      <c r="A1255" s="50" t="s">
        <v>60</v>
      </c>
      <c r="B1255" s="51" t="s">
        <v>203</v>
      </c>
      <c r="C1255" s="52"/>
      <c r="D1255" s="53">
        <v>2016</v>
      </c>
      <c r="E1255" s="37">
        <v>4469531709</v>
      </c>
      <c r="F1255" s="37">
        <v>5357752938</v>
      </c>
      <c r="G1255" s="37">
        <v>9409901862</v>
      </c>
      <c r="H1255" s="37">
        <v>862608231</v>
      </c>
      <c r="I1255" s="55">
        <f t="shared" si="58"/>
        <v>20099794740</v>
      </c>
      <c r="J1255" s="54">
        <v>0</v>
      </c>
      <c r="K1255" s="56">
        <f t="shared" si="57"/>
        <v>20099794740</v>
      </c>
      <c r="L1255" s="37">
        <v>0</v>
      </c>
      <c r="M1255" s="69"/>
      <c r="O1255" s="38" t="str">
        <f>IF([1]totrevprm!O1256="","",[1]totrevprm!O1256)</f>
        <v/>
      </c>
      <c r="P1255" s="35">
        <v>812781842.20299029</v>
      </c>
      <c r="Q1255" s="35">
        <v>346801585.99278194</v>
      </c>
      <c r="V1255" s="38"/>
      <c r="W1255" s="58"/>
      <c r="X1255" s="58"/>
      <c r="Y1255" s="58"/>
      <c r="Z1255" s="58"/>
    </row>
    <row r="1256" spans="1:26">
      <c r="A1256" s="50" t="s">
        <v>60</v>
      </c>
      <c r="B1256" s="51" t="s">
        <v>203</v>
      </c>
      <c r="C1256" s="52"/>
      <c r="D1256" s="53">
        <v>2017</v>
      </c>
      <c r="E1256" s="37">
        <v>4714555372</v>
      </c>
      <c r="F1256" s="37">
        <v>5723207601</v>
      </c>
      <c r="G1256" s="37">
        <v>11501098601.540001</v>
      </c>
      <c r="H1256" s="37">
        <v>510956399</v>
      </c>
      <c r="I1256" s="55">
        <f t="shared" si="58"/>
        <v>22449817973.540001</v>
      </c>
      <c r="J1256" s="54">
        <v>0</v>
      </c>
      <c r="K1256" s="56">
        <f t="shared" si="57"/>
        <v>22449817973.540001</v>
      </c>
      <c r="L1256" s="37">
        <v>0</v>
      </c>
      <c r="M1256" s="69"/>
      <c r="O1256" s="38" t="str">
        <f>IF([1]totrevprm!O1257="","",[1]totrevprm!O1257)</f>
        <v/>
      </c>
      <c r="P1256" s="35">
        <v>815172376.16084611</v>
      </c>
      <c r="Q1256" s="35">
        <v>350643473.54724401</v>
      </c>
      <c r="V1256" s="38"/>
      <c r="W1256" s="58"/>
      <c r="X1256" s="58"/>
      <c r="Y1256" s="58"/>
      <c r="Z1256" s="58"/>
    </row>
    <row r="1257" spans="1:26">
      <c r="A1257" s="50" t="s">
        <v>60</v>
      </c>
      <c r="B1257" s="51" t="s">
        <v>203</v>
      </c>
      <c r="C1257" s="52"/>
      <c r="D1257" s="53">
        <v>2018</v>
      </c>
      <c r="E1257" s="37">
        <v>4661514622</v>
      </c>
      <c r="F1257" s="37">
        <v>6397994310</v>
      </c>
      <c r="G1257" s="37">
        <v>12778783116.1</v>
      </c>
      <c r="H1257" s="37">
        <v>599230820</v>
      </c>
      <c r="I1257" s="55">
        <f t="shared" si="58"/>
        <v>24437522868.099998</v>
      </c>
      <c r="J1257" s="54">
        <v>0</v>
      </c>
      <c r="K1257" s="56">
        <f t="shared" si="57"/>
        <v>24437522868.099998</v>
      </c>
      <c r="L1257" s="60">
        <v>0</v>
      </c>
      <c r="M1257" s="69" t="s">
        <v>740</v>
      </c>
      <c r="N1257" t="s">
        <v>708</v>
      </c>
      <c r="O1257" s="38" t="str">
        <f>IF([1]totrevprm!O1258="","",[1]totrevprm!O1258)</f>
        <v>Yes</v>
      </c>
      <c r="P1257" s="35">
        <v>837232747.18045151</v>
      </c>
      <c r="Q1257" s="35">
        <v>348585620.97321594</v>
      </c>
      <c r="R1257" s="78"/>
      <c r="V1257" s="38"/>
      <c r="W1257" s="58"/>
      <c r="X1257" s="58"/>
      <c r="Y1257" s="58"/>
      <c r="Z1257" s="58"/>
    </row>
    <row r="1258" spans="1:26">
      <c r="A1258" s="50" t="s">
        <v>60</v>
      </c>
      <c r="B1258" s="51" t="s">
        <v>203</v>
      </c>
      <c r="C1258" s="52"/>
      <c r="D1258" s="53">
        <v>2019</v>
      </c>
      <c r="E1258" s="37">
        <v>4851453359</v>
      </c>
      <c r="F1258" s="37">
        <v>7455723301</v>
      </c>
      <c r="G1258" s="37">
        <v>12802370171.619101</v>
      </c>
      <c r="H1258" s="37">
        <v>259243525</v>
      </c>
      <c r="I1258" s="55">
        <f t="shared" si="58"/>
        <v>25368790356.619102</v>
      </c>
      <c r="J1258" s="54">
        <v>0</v>
      </c>
      <c r="K1258" s="56">
        <f t="shared" si="57"/>
        <v>25368790356.619102</v>
      </c>
      <c r="L1258" s="37">
        <v>32841798</v>
      </c>
      <c r="M1258" s="69" t="s">
        <v>738</v>
      </c>
      <c r="N1258" t="s">
        <v>708</v>
      </c>
      <c r="O1258" s="38" t="str">
        <f>IF([1]totrevprm!O1259="","",[1]totrevprm!O1259)</f>
        <v/>
      </c>
      <c r="P1258" s="35">
        <v>868541442.3661108</v>
      </c>
      <c r="Q1258" s="35">
        <v>350572994.14206243</v>
      </c>
      <c r="R1258" s="78"/>
      <c r="V1258" s="38"/>
      <c r="W1258" s="58"/>
      <c r="X1258" s="58"/>
      <c r="Y1258" s="58"/>
      <c r="Z1258" s="58"/>
    </row>
    <row r="1259" spans="1:26">
      <c r="A1259" s="50" t="s">
        <v>60</v>
      </c>
      <c r="B1259" s="51" t="s">
        <v>203</v>
      </c>
      <c r="C1259" s="52"/>
      <c r="D1259" s="53">
        <v>2020</v>
      </c>
      <c r="E1259" s="37">
        <v>4944062712</v>
      </c>
      <c r="F1259" s="37">
        <v>7015864715</v>
      </c>
      <c r="G1259" s="37">
        <v>12535962612</v>
      </c>
      <c r="H1259" s="37">
        <v>340475874</v>
      </c>
      <c r="I1259" s="55">
        <f t="shared" si="58"/>
        <v>24836365913</v>
      </c>
      <c r="J1259" s="54">
        <v>0</v>
      </c>
      <c r="K1259" s="56">
        <f t="shared" si="57"/>
        <v>24836365913</v>
      </c>
      <c r="L1259" s="37">
        <v>33535968</v>
      </c>
      <c r="M1259" s="69" t="s">
        <v>738</v>
      </c>
      <c r="N1259" t="s">
        <v>708</v>
      </c>
      <c r="O1259" s="38" t="str">
        <f>IF([1]totrevprm!O1260="","",[1]totrevprm!O1260)</f>
        <v/>
      </c>
      <c r="P1259" s="35">
        <v>922148079</v>
      </c>
      <c r="Q1259" s="35">
        <v>341564638</v>
      </c>
      <c r="R1259" s="78"/>
      <c r="V1259" s="38"/>
      <c r="W1259" s="58"/>
      <c r="X1259" s="58"/>
      <c r="Y1259" s="58"/>
      <c r="Z1259" s="58"/>
    </row>
    <row r="1260" spans="1:26">
      <c r="A1260" s="50" t="s">
        <v>60</v>
      </c>
      <c r="B1260" s="51" t="s">
        <v>203</v>
      </c>
      <c r="C1260" s="52"/>
      <c r="D1260" s="53">
        <v>2021</v>
      </c>
      <c r="E1260" s="37">
        <v>5482790746</v>
      </c>
      <c r="F1260" s="37">
        <v>8982996099</v>
      </c>
      <c r="G1260" s="37">
        <v>13244408230</v>
      </c>
      <c r="H1260" s="37">
        <v>131422606</v>
      </c>
      <c r="I1260" s="55">
        <f t="shared" si="58"/>
        <v>27841617681</v>
      </c>
      <c r="J1260" s="54">
        <v>0</v>
      </c>
      <c r="K1260" s="56">
        <f t="shared" si="57"/>
        <v>27841617681</v>
      </c>
      <c r="L1260" s="60">
        <v>0</v>
      </c>
      <c r="M1260" s="69" t="s">
        <v>739</v>
      </c>
      <c r="N1260" t="s">
        <v>708</v>
      </c>
      <c r="O1260" s="38"/>
      <c r="P1260" s="35">
        <v>857586763.70000005</v>
      </c>
      <c r="Q1260" s="35">
        <v>375017738</v>
      </c>
      <c r="R1260" s="78"/>
      <c r="V1260" s="38"/>
      <c r="W1260" s="58"/>
      <c r="X1260" s="58"/>
      <c r="Y1260" s="58"/>
      <c r="Z1260" s="58"/>
    </row>
    <row r="1261" spans="1:26">
      <c r="A1261" s="50" t="s">
        <v>60</v>
      </c>
      <c r="B1261" s="51" t="s">
        <v>203</v>
      </c>
      <c r="C1261" s="52"/>
      <c r="D1261" s="53">
        <v>2022</v>
      </c>
      <c r="E1261" s="37">
        <v>5383648187</v>
      </c>
      <c r="F1261" s="37">
        <v>12221006335</v>
      </c>
      <c r="G1261" s="37">
        <v>14038206982</v>
      </c>
      <c r="H1261" s="37">
        <v>129265209</v>
      </c>
      <c r="I1261" s="55">
        <f t="shared" si="58"/>
        <v>31772126713</v>
      </c>
      <c r="J1261" s="54">
        <v>0</v>
      </c>
      <c r="K1261" s="56">
        <f t="shared" si="57"/>
        <v>31772126713</v>
      </c>
      <c r="L1261" s="60">
        <v>0</v>
      </c>
      <c r="M1261" s="69" t="s">
        <v>739</v>
      </c>
      <c r="N1261" t="s">
        <v>708</v>
      </c>
      <c r="O1261" s="38" t="str">
        <f>IF([1]totrevprm!O1264="","",[1]totrevprm!O1264)</f>
        <v/>
      </c>
      <c r="P1261" s="60">
        <v>926110905</v>
      </c>
      <c r="Q1261" s="60">
        <v>374178402</v>
      </c>
    </row>
    <row r="1262" spans="1:26">
      <c r="A1262" s="50" t="s">
        <v>60</v>
      </c>
      <c r="B1262" s="51" t="s">
        <v>203</v>
      </c>
      <c r="C1262" s="52"/>
      <c r="D1262" s="53">
        <v>2023</v>
      </c>
      <c r="E1262" s="37">
        <v>5570490169</v>
      </c>
      <c r="F1262" s="37">
        <v>12708971837.351601</v>
      </c>
      <c r="G1262" s="37">
        <v>15393934410.211899</v>
      </c>
      <c r="H1262" s="37">
        <v>95757373</v>
      </c>
      <c r="I1262" s="55">
        <f t="shared" si="58"/>
        <v>33769153789.563499</v>
      </c>
      <c r="K1262" s="56">
        <f t="shared" si="57"/>
        <v>33769153789.563499</v>
      </c>
      <c r="L1262" s="37">
        <v>0</v>
      </c>
      <c r="M1262" s="69" t="s">
        <v>739</v>
      </c>
      <c r="O1262" s="38"/>
      <c r="P1262" s="60">
        <v>984896065.03999996</v>
      </c>
      <c r="Q1262" s="60">
        <v>380232996</v>
      </c>
    </row>
    <row r="1263" spans="1:26">
      <c r="A1263" s="50"/>
      <c r="B1263" s="52"/>
      <c r="C1263" s="52"/>
      <c r="E1263" s="54"/>
      <c r="F1263" s="54"/>
      <c r="G1263" s="54"/>
      <c r="H1263" s="54"/>
      <c r="I1263" s="55"/>
      <c r="K1263" s="65"/>
      <c r="L1263" s="37"/>
      <c r="O1263" s="38"/>
    </row>
    <row r="1264" spans="1:26">
      <c r="A1264" s="50" t="s">
        <v>61</v>
      </c>
      <c r="B1264" s="51" t="s">
        <v>801</v>
      </c>
      <c r="C1264" s="52" t="s">
        <v>750</v>
      </c>
      <c r="D1264" s="53">
        <v>1988</v>
      </c>
      <c r="E1264" s="54">
        <v>149101958</v>
      </c>
      <c r="F1264" s="54">
        <v>150864610</v>
      </c>
      <c r="G1264" s="54">
        <v>117708329</v>
      </c>
      <c r="H1264" s="54">
        <v>20081033</v>
      </c>
      <c r="I1264" s="55">
        <f t="shared" si="58"/>
        <v>437755930</v>
      </c>
      <c r="J1264" s="54">
        <v>0</v>
      </c>
      <c r="K1264" s="56">
        <f>SUM(I1264:J1264)</f>
        <v>437755930</v>
      </c>
      <c r="L1264" s="37">
        <v>0</v>
      </c>
      <c r="O1264" s="38" t="str">
        <f>IF([1]totrevprm!O1265="","",[1]totrevprm!O1265)</f>
        <v/>
      </c>
    </row>
    <row r="1265" spans="1:26">
      <c r="A1265" s="50" t="s">
        <v>61</v>
      </c>
      <c r="B1265" s="51" t="s">
        <v>801</v>
      </c>
      <c r="C1265" s="52" t="s">
        <v>731</v>
      </c>
      <c r="D1265" s="53">
        <v>1989</v>
      </c>
      <c r="E1265" s="54">
        <v>147961050</v>
      </c>
      <c r="F1265" s="54">
        <v>144092600</v>
      </c>
      <c r="G1265" s="54">
        <v>118596232</v>
      </c>
      <c r="H1265" s="54">
        <v>23499885</v>
      </c>
      <c r="I1265" s="55">
        <f t="shared" si="58"/>
        <v>434149767</v>
      </c>
      <c r="J1265" s="54">
        <v>0</v>
      </c>
      <c r="K1265" s="56">
        <f t="shared" ref="K1265:K1299" si="59">SUM(I1265:J1265)</f>
        <v>434149767</v>
      </c>
      <c r="L1265" s="37">
        <v>0</v>
      </c>
      <c r="O1265" s="38" t="str">
        <f>IF([1]totrevprm!O1266="","",[1]totrevprm!O1266)</f>
        <v/>
      </c>
    </row>
    <row r="1266" spans="1:26">
      <c r="A1266" s="50" t="s">
        <v>61</v>
      </c>
      <c r="B1266" s="51" t="s">
        <v>801</v>
      </c>
      <c r="C1266" s="52" t="s">
        <v>731</v>
      </c>
      <c r="D1266" s="53">
        <v>1990</v>
      </c>
      <c r="E1266" s="54">
        <v>142834709</v>
      </c>
      <c r="F1266" s="54">
        <v>173952838.72</v>
      </c>
      <c r="G1266" s="54">
        <v>125638553</v>
      </c>
      <c r="H1266" s="54">
        <v>21249321</v>
      </c>
      <c r="I1266" s="55">
        <f t="shared" si="58"/>
        <v>463675421.72000003</v>
      </c>
      <c r="J1266" s="54">
        <v>0</v>
      </c>
      <c r="K1266" s="56">
        <f t="shared" si="59"/>
        <v>463675421.72000003</v>
      </c>
      <c r="L1266" s="37">
        <v>0</v>
      </c>
      <c r="O1266" s="38" t="str">
        <f>IF([1]totrevprm!O1267="","",[1]totrevprm!O1267)</f>
        <v/>
      </c>
    </row>
    <row r="1267" spans="1:26">
      <c r="A1267" s="50" t="s">
        <v>61</v>
      </c>
      <c r="B1267" s="51" t="s">
        <v>801</v>
      </c>
      <c r="C1267" s="52" t="s">
        <v>731</v>
      </c>
      <c r="D1267" s="53">
        <v>1991</v>
      </c>
      <c r="E1267" s="54">
        <v>137922363</v>
      </c>
      <c r="F1267" s="54">
        <v>150360104</v>
      </c>
      <c r="G1267" s="54">
        <v>439549120</v>
      </c>
      <c r="H1267" s="54">
        <v>30874468</v>
      </c>
      <c r="I1267" s="55">
        <f t="shared" si="58"/>
        <v>758706055</v>
      </c>
      <c r="J1267" s="54">
        <v>0</v>
      </c>
      <c r="K1267" s="56">
        <f t="shared" si="59"/>
        <v>758706055</v>
      </c>
      <c r="L1267" s="37">
        <v>0</v>
      </c>
      <c r="O1267" s="38" t="str">
        <f>IF([1]totrevprm!O1268="","",[1]totrevprm!O1268)</f>
        <v/>
      </c>
    </row>
    <row r="1268" spans="1:26">
      <c r="A1268" s="50" t="s">
        <v>61</v>
      </c>
      <c r="B1268" s="51" t="s">
        <v>801</v>
      </c>
      <c r="C1268" s="52" t="s">
        <v>731</v>
      </c>
      <c r="D1268" s="53">
        <v>1992</v>
      </c>
      <c r="E1268" s="54">
        <v>152556667</v>
      </c>
      <c r="F1268" s="54">
        <v>137468722.75999999</v>
      </c>
      <c r="G1268" s="54">
        <v>427971629</v>
      </c>
      <c r="H1268" s="54">
        <v>23033145</v>
      </c>
      <c r="I1268" s="55">
        <f t="shared" si="58"/>
        <v>741030163.75999999</v>
      </c>
      <c r="J1268" s="54">
        <v>0</v>
      </c>
      <c r="K1268" s="56">
        <f t="shared" si="59"/>
        <v>741030163.75999999</v>
      </c>
      <c r="L1268" s="37">
        <v>0</v>
      </c>
      <c r="O1268" s="38" t="str">
        <f>IF([1]totrevprm!O1269="","",[1]totrevprm!O1269)</f>
        <v/>
      </c>
    </row>
    <row r="1269" spans="1:26">
      <c r="A1269" s="50" t="s">
        <v>61</v>
      </c>
      <c r="B1269" s="51" t="s">
        <v>801</v>
      </c>
      <c r="C1269" s="52" t="s">
        <v>731</v>
      </c>
      <c r="D1269" s="53">
        <v>1993</v>
      </c>
      <c r="E1269" s="54">
        <v>150416311</v>
      </c>
      <c r="F1269" s="54">
        <v>131286055</v>
      </c>
      <c r="G1269" s="54">
        <v>431716028</v>
      </c>
      <c r="H1269" s="54">
        <v>30785124</v>
      </c>
      <c r="I1269" s="55">
        <f t="shared" si="58"/>
        <v>744203518</v>
      </c>
      <c r="J1269" s="54">
        <v>0</v>
      </c>
      <c r="K1269" s="56">
        <f t="shared" si="59"/>
        <v>744203518</v>
      </c>
      <c r="L1269" s="37">
        <v>0</v>
      </c>
      <c r="O1269" s="38" t="str">
        <f>IF([1]totrevprm!O1270="","",[1]totrevprm!O1270)</f>
        <v/>
      </c>
    </row>
    <row r="1270" spans="1:26">
      <c r="A1270" s="50" t="s">
        <v>61</v>
      </c>
      <c r="B1270" s="51" t="s">
        <v>801</v>
      </c>
      <c r="C1270" s="52" t="s">
        <v>731</v>
      </c>
      <c r="D1270" s="53">
        <v>1994</v>
      </c>
      <c r="E1270" s="54">
        <v>166905606</v>
      </c>
      <c r="F1270" s="54">
        <v>186484399</v>
      </c>
      <c r="G1270" s="54">
        <v>417967802</v>
      </c>
      <c r="H1270" s="54">
        <v>37601911</v>
      </c>
      <c r="I1270" s="55">
        <f t="shared" si="58"/>
        <v>808959718</v>
      </c>
      <c r="J1270" s="54">
        <v>0</v>
      </c>
      <c r="K1270" s="56">
        <f t="shared" si="59"/>
        <v>808959718</v>
      </c>
      <c r="L1270" s="37">
        <v>0</v>
      </c>
      <c r="O1270" s="38" t="str">
        <f>IF([1]totrevprm!O1271="","",[1]totrevprm!O1271)</f>
        <v/>
      </c>
    </row>
    <row r="1271" spans="1:26">
      <c r="A1271" s="50" t="s">
        <v>61</v>
      </c>
      <c r="B1271" s="51" t="s">
        <v>801</v>
      </c>
      <c r="C1271" s="52" t="s">
        <v>731</v>
      </c>
      <c r="D1271" s="53">
        <v>1995</v>
      </c>
      <c r="E1271" s="54">
        <v>177236172</v>
      </c>
      <c r="F1271" s="54">
        <v>169084571</v>
      </c>
      <c r="G1271" s="54">
        <v>491480586</v>
      </c>
      <c r="H1271" s="54">
        <v>40178860</v>
      </c>
      <c r="I1271" s="55">
        <f t="shared" si="58"/>
        <v>877980189</v>
      </c>
      <c r="J1271" s="54">
        <v>0</v>
      </c>
      <c r="K1271" s="56">
        <f t="shared" si="59"/>
        <v>877980189</v>
      </c>
      <c r="L1271" s="37">
        <v>0</v>
      </c>
      <c r="O1271" s="38" t="str">
        <f>IF([1]totrevprm!O1272="","",[1]totrevprm!O1272)</f>
        <v/>
      </c>
    </row>
    <row r="1272" spans="1:26">
      <c r="A1272" s="50" t="s">
        <v>61</v>
      </c>
      <c r="B1272" s="51" t="s">
        <v>801</v>
      </c>
      <c r="C1272" s="52" t="s">
        <v>731</v>
      </c>
      <c r="D1272" s="53">
        <v>1996</v>
      </c>
      <c r="E1272" s="54">
        <v>187428957</v>
      </c>
      <c r="F1272" s="54">
        <v>115781794</v>
      </c>
      <c r="G1272" s="54">
        <v>500364417</v>
      </c>
      <c r="H1272" s="54">
        <v>25722770</v>
      </c>
      <c r="I1272" s="55">
        <f t="shared" si="58"/>
        <v>829297938</v>
      </c>
      <c r="J1272" s="54">
        <v>0</v>
      </c>
      <c r="K1272" s="56">
        <f t="shared" si="59"/>
        <v>829297938</v>
      </c>
      <c r="L1272" s="37">
        <v>0</v>
      </c>
      <c r="O1272" s="38" t="str">
        <f>IF([1]totrevprm!O1273="","",[1]totrevprm!O1273)</f>
        <v/>
      </c>
    </row>
    <row r="1273" spans="1:26">
      <c r="A1273" s="50" t="s">
        <v>61</v>
      </c>
      <c r="B1273" s="51" t="s">
        <v>801</v>
      </c>
      <c r="C1273" s="52" t="s">
        <v>731</v>
      </c>
      <c r="D1273" s="53">
        <v>1997</v>
      </c>
      <c r="E1273" s="54">
        <v>172230258</v>
      </c>
      <c r="F1273" s="54">
        <v>129491597</v>
      </c>
      <c r="G1273" s="54">
        <v>526107462</v>
      </c>
      <c r="H1273" s="54">
        <v>23451593</v>
      </c>
      <c r="I1273" s="55">
        <f t="shared" si="58"/>
        <v>851280910</v>
      </c>
      <c r="J1273" s="54">
        <v>0</v>
      </c>
      <c r="K1273" s="56">
        <f t="shared" si="59"/>
        <v>851280910</v>
      </c>
      <c r="L1273" s="37">
        <v>0</v>
      </c>
      <c r="O1273" s="38" t="str">
        <f>IF([1]totrevprm!O1274="","",[1]totrevprm!O1274)</f>
        <v/>
      </c>
    </row>
    <row r="1274" spans="1:26">
      <c r="A1274" s="50" t="s">
        <v>61</v>
      </c>
      <c r="B1274" s="51" t="s">
        <v>801</v>
      </c>
      <c r="C1274" s="52" t="s">
        <v>731</v>
      </c>
      <c r="D1274" s="53">
        <v>1998</v>
      </c>
      <c r="E1274" s="54">
        <v>173984219</v>
      </c>
      <c r="F1274" s="54">
        <v>126063852</v>
      </c>
      <c r="G1274" s="54">
        <v>539861490</v>
      </c>
      <c r="H1274" s="54">
        <v>26800511</v>
      </c>
      <c r="I1274" s="55">
        <f t="shared" si="58"/>
        <v>866710072</v>
      </c>
      <c r="J1274" s="54">
        <v>0</v>
      </c>
      <c r="K1274" s="56">
        <f t="shared" si="59"/>
        <v>866710072</v>
      </c>
      <c r="L1274" s="37">
        <v>0</v>
      </c>
      <c r="O1274" s="38" t="str">
        <f>IF([1]totrevprm!O1275="","",[1]totrevprm!O1275)</f>
        <v/>
      </c>
    </row>
    <row r="1275" spans="1:26">
      <c r="A1275" s="50" t="s">
        <v>61</v>
      </c>
      <c r="B1275" s="51" t="s">
        <v>801</v>
      </c>
      <c r="C1275" s="52" t="s">
        <v>802</v>
      </c>
      <c r="D1275" s="53">
        <v>1999</v>
      </c>
      <c r="E1275" s="54">
        <v>179281481</v>
      </c>
      <c r="F1275" s="54">
        <v>166910886</v>
      </c>
      <c r="G1275" s="54">
        <v>575402233</v>
      </c>
      <c r="H1275" s="54">
        <v>14751927</v>
      </c>
      <c r="I1275" s="55">
        <f t="shared" si="58"/>
        <v>936346527</v>
      </c>
      <c r="J1275" s="54">
        <v>0</v>
      </c>
      <c r="K1275" s="56">
        <f t="shared" si="59"/>
        <v>936346527</v>
      </c>
      <c r="L1275" s="37">
        <v>964766</v>
      </c>
      <c r="M1275" s="67" t="s">
        <v>735</v>
      </c>
      <c r="N1275" t="s">
        <v>708</v>
      </c>
      <c r="O1275" s="38" t="str">
        <f>IF([1]totrevprm!O1276="","",[1]totrevprm!O1276)</f>
        <v/>
      </c>
    </row>
    <row r="1276" spans="1:26">
      <c r="A1276" s="50" t="s">
        <v>61</v>
      </c>
      <c r="B1276" s="51" t="s">
        <v>801</v>
      </c>
      <c r="C1276" s="52" t="s">
        <v>731</v>
      </c>
      <c r="D1276" s="53">
        <v>2000</v>
      </c>
      <c r="E1276" s="54">
        <v>170778946</v>
      </c>
      <c r="F1276" s="54">
        <v>186989723</v>
      </c>
      <c r="G1276" s="54">
        <v>613396859</v>
      </c>
      <c r="H1276" s="54">
        <v>5592101</v>
      </c>
      <c r="I1276" s="55">
        <f t="shared" si="58"/>
        <v>976757629</v>
      </c>
      <c r="J1276" s="54">
        <v>0</v>
      </c>
      <c r="K1276" s="56">
        <f t="shared" si="59"/>
        <v>976757629</v>
      </c>
      <c r="L1276" s="37">
        <v>992413</v>
      </c>
      <c r="M1276" s="67" t="s">
        <v>735</v>
      </c>
      <c r="N1276" t="s">
        <v>708</v>
      </c>
      <c r="O1276" s="38" t="str">
        <f>IF([1]totrevprm!O1277="","",[1]totrevprm!O1277)</f>
        <v/>
      </c>
      <c r="V1276" s="38" t="s">
        <v>801</v>
      </c>
      <c r="W1276" s="58">
        <v>145755</v>
      </c>
      <c r="X1276" s="58">
        <v>1854915</v>
      </c>
      <c r="Y1276" s="58">
        <v>3423511</v>
      </c>
      <c r="Z1276" s="58">
        <v>0</v>
      </c>
    </row>
    <row r="1277" spans="1:26">
      <c r="A1277" s="50" t="s">
        <v>61</v>
      </c>
      <c r="B1277" s="51" t="s">
        <v>801</v>
      </c>
      <c r="C1277" s="52" t="s">
        <v>781</v>
      </c>
      <c r="D1277" s="53">
        <v>2001</v>
      </c>
      <c r="E1277" s="54">
        <v>167726029</v>
      </c>
      <c r="F1277" s="54">
        <v>237276819</v>
      </c>
      <c r="G1277" s="54">
        <v>667558395</v>
      </c>
      <c r="H1277" s="54">
        <v>5084432</v>
      </c>
      <c r="I1277" s="55">
        <f t="shared" si="58"/>
        <v>1077645675</v>
      </c>
      <c r="J1277" s="54">
        <v>0</v>
      </c>
      <c r="K1277" s="56">
        <f t="shared" si="59"/>
        <v>1077645675</v>
      </c>
      <c r="L1277" s="35">
        <v>1868793</v>
      </c>
      <c r="M1277" s="67" t="s">
        <v>735</v>
      </c>
      <c r="N1277" t="s">
        <v>708</v>
      </c>
      <c r="O1277" s="38" t="str">
        <f>IF([1]totrevprm!O1278="","",[1]totrevprm!O1278)</f>
        <v/>
      </c>
      <c r="V1277" s="38"/>
      <c r="W1277" s="58"/>
      <c r="X1277" s="58"/>
      <c r="Y1277" s="58"/>
      <c r="Z1277" s="58"/>
    </row>
    <row r="1278" spans="1:26">
      <c r="A1278" s="50" t="s">
        <v>61</v>
      </c>
      <c r="B1278" s="51" t="s">
        <v>801</v>
      </c>
      <c r="C1278" s="52" t="s">
        <v>731</v>
      </c>
      <c r="D1278" s="53">
        <v>2002</v>
      </c>
      <c r="E1278" s="54">
        <v>179993108</v>
      </c>
      <c r="F1278" s="54">
        <v>298409254</v>
      </c>
      <c r="G1278" s="74">
        <v>718328407</v>
      </c>
      <c r="H1278" s="54">
        <v>4391859</v>
      </c>
      <c r="I1278" s="55">
        <f t="shared" si="58"/>
        <v>1201122628</v>
      </c>
      <c r="J1278" s="54">
        <v>0</v>
      </c>
      <c r="K1278" s="56">
        <f t="shared" si="59"/>
        <v>1201122628</v>
      </c>
      <c r="L1278" s="35">
        <v>1319154</v>
      </c>
      <c r="M1278" s="67" t="s">
        <v>735</v>
      </c>
      <c r="N1278" t="s">
        <v>708</v>
      </c>
      <c r="O1278" s="38" t="str">
        <f>IF([1]totrevprm!O1279="","",[1]totrevprm!O1279)</f>
        <v/>
      </c>
      <c r="V1278" s="38"/>
      <c r="W1278" s="58"/>
      <c r="X1278" s="58"/>
      <c r="Y1278" s="58"/>
      <c r="Z1278" s="58"/>
    </row>
    <row r="1279" spans="1:26">
      <c r="A1279" s="50" t="s">
        <v>61</v>
      </c>
      <c r="B1279" s="51" t="s">
        <v>801</v>
      </c>
      <c r="C1279" s="52" t="s">
        <v>731</v>
      </c>
      <c r="D1279" s="53">
        <v>2003</v>
      </c>
      <c r="E1279" s="59">
        <v>199940786</v>
      </c>
      <c r="F1279" s="59">
        <v>214983939</v>
      </c>
      <c r="G1279" s="59">
        <v>752551816</v>
      </c>
      <c r="H1279" s="59">
        <v>8927860</v>
      </c>
      <c r="I1279" s="55">
        <f t="shared" si="58"/>
        <v>1176404401</v>
      </c>
      <c r="J1279" s="54">
        <v>0</v>
      </c>
      <c r="K1279" s="56">
        <f t="shared" si="59"/>
        <v>1176404401</v>
      </c>
      <c r="L1279" s="35">
        <v>2425038</v>
      </c>
      <c r="M1279" s="67" t="s">
        <v>735</v>
      </c>
      <c r="N1279" t="s">
        <v>708</v>
      </c>
      <c r="O1279" s="38" t="str">
        <f>IF([1]totrevprm!O1280="","",[1]totrevprm!O1280)</f>
        <v/>
      </c>
      <c r="V1279" s="38"/>
      <c r="W1279" s="58"/>
      <c r="X1279" s="58"/>
      <c r="Y1279" s="58"/>
      <c r="Z1279" s="58"/>
    </row>
    <row r="1280" spans="1:26">
      <c r="A1280" s="50" t="s">
        <v>61</v>
      </c>
      <c r="B1280" s="51" t="s">
        <v>801</v>
      </c>
      <c r="C1280" s="52" t="s">
        <v>731</v>
      </c>
      <c r="D1280" s="53">
        <v>2004</v>
      </c>
      <c r="E1280" s="59">
        <v>190420415</v>
      </c>
      <c r="F1280" s="59">
        <v>246554585</v>
      </c>
      <c r="G1280" s="59">
        <v>747293199</v>
      </c>
      <c r="H1280" s="59">
        <v>7477913</v>
      </c>
      <c r="I1280" s="55">
        <f t="shared" si="58"/>
        <v>1191746112</v>
      </c>
      <c r="J1280" s="54">
        <v>0</v>
      </c>
      <c r="K1280" s="56">
        <f t="shared" si="59"/>
        <v>1191746112</v>
      </c>
      <c r="L1280" s="35">
        <v>2945300</v>
      </c>
      <c r="M1280" s="67" t="s">
        <v>735</v>
      </c>
      <c r="N1280" t="s">
        <v>708</v>
      </c>
      <c r="O1280" s="38" t="str">
        <f>IF([1]totrevprm!O1281="","",[1]totrevprm!O1281)</f>
        <v/>
      </c>
      <c r="T1280" s="68"/>
      <c r="V1280" s="38"/>
      <c r="W1280" s="58"/>
      <c r="X1280" s="58"/>
      <c r="Y1280" s="58"/>
      <c r="Z1280" s="58"/>
    </row>
    <row r="1281" spans="1:26">
      <c r="A1281" s="50" t="s">
        <v>61</v>
      </c>
      <c r="B1281" s="51" t="s">
        <v>801</v>
      </c>
      <c r="C1281" s="52"/>
      <c r="D1281" s="53">
        <v>2005</v>
      </c>
      <c r="E1281" s="59">
        <v>204700170</v>
      </c>
      <c r="F1281" s="59">
        <v>232238540</v>
      </c>
      <c r="G1281" s="59">
        <v>795945941</v>
      </c>
      <c r="H1281" s="59">
        <v>9976482</v>
      </c>
      <c r="I1281" s="55">
        <f t="shared" si="58"/>
        <v>1242861133</v>
      </c>
      <c r="J1281" s="54">
        <v>0</v>
      </c>
      <c r="K1281" s="56">
        <f t="shared" si="59"/>
        <v>1242861133</v>
      </c>
      <c r="L1281" s="35">
        <v>2021166</v>
      </c>
      <c r="M1281" s="67" t="s">
        <v>735</v>
      </c>
      <c r="N1281" t="s">
        <v>708</v>
      </c>
      <c r="O1281" s="38" t="str">
        <f>IF([1]totrevprm!O1282="","",[1]totrevprm!O1282)</f>
        <v/>
      </c>
      <c r="T1281" s="68"/>
      <c r="V1281" s="38"/>
      <c r="W1281" s="58"/>
      <c r="X1281" s="58"/>
      <c r="Y1281" s="58"/>
      <c r="Z1281" s="58"/>
    </row>
    <row r="1282" spans="1:26">
      <c r="A1282" s="50" t="s">
        <v>61</v>
      </c>
      <c r="B1282" s="51" t="s">
        <v>801</v>
      </c>
      <c r="C1282" s="52"/>
      <c r="D1282" s="53">
        <v>2006</v>
      </c>
      <c r="E1282" s="37">
        <v>209507628</v>
      </c>
      <c r="F1282" s="37">
        <v>280702791</v>
      </c>
      <c r="G1282" s="37">
        <v>888908754</v>
      </c>
      <c r="H1282" s="54">
        <v>-2529673</v>
      </c>
      <c r="I1282" s="55">
        <f t="shared" si="58"/>
        <v>1376589500</v>
      </c>
      <c r="J1282" s="54">
        <v>0</v>
      </c>
      <c r="K1282" s="56">
        <f t="shared" si="59"/>
        <v>1376589500</v>
      </c>
      <c r="L1282" s="35">
        <v>2159080</v>
      </c>
      <c r="M1282" s="67" t="s">
        <v>735</v>
      </c>
      <c r="N1282" t="s">
        <v>708</v>
      </c>
      <c r="O1282" s="38" t="str">
        <f>IF([1]totrevprm!O1283="","",[1]totrevprm!O1283)</f>
        <v/>
      </c>
      <c r="T1282" s="68"/>
      <c r="V1282" s="38"/>
      <c r="W1282" s="58"/>
      <c r="X1282" s="58"/>
      <c r="Y1282" s="58"/>
      <c r="Z1282" s="58"/>
    </row>
    <row r="1283" spans="1:26">
      <c r="A1283" s="50" t="s">
        <v>61</v>
      </c>
      <c r="B1283" s="51" t="s">
        <v>801</v>
      </c>
      <c r="C1283" s="52"/>
      <c r="D1283" s="53">
        <v>2007</v>
      </c>
      <c r="E1283" s="37">
        <v>225711099</v>
      </c>
      <c r="F1283" s="37">
        <v>298272097</v>
      </c>
      <c r="G1283" s="37">
        <v>928023397</v>
      </c>
      <c r="H1283" s="37">
        <v>3487589</v>
      </c>
      <c r="I1283" s="55">
        <f t="shared" si="58"/>
        <v>1455494182</v>
      </c>
      <c r="J1283" s="54">
        <v>0</v>
      </c>
      <c r="K1283" s="56">
        <f t="shared" si="59"/>
        <v>1455494182</v>
      </c>
      <c r="L1283" s="35">
        <v>2347150</v>
      </c>
      <c r="M1283" s="67" t="s">
        <v>735</v>
      </c>
      <c r="N1283" t="s">
        <v>708</v>
      </c>
      <c r="O1283" s="38" t="str">
        <f>IF([1]totrevprm!O1284="","",[1]totrevprm!O1284)</f>
        <v/>
      </c>
      <c r="T1283" s="68"/>
      <c r="V1283" s="38"/>
      <c r="W1283" s="58"/>
      <c r="X1283" s="58"/>
      <c r="Y1283" s="58"/>
      <c r="Z1283" s="58"/>
    </row>
    <row r="1284" spans="1:26">
      <c r="A1284" s="50" t="s">
        <v>61</v>
      </c>
      <c r="B1284" s="51" t="s">
        <v>801</v>
      </c>
      <c r="C1284" s="52"/>
      <c r="D1284" s="53">
        <v>2008</v>
      </c>
      <c r="E1284" s="37">
        <v>236636267</v>
      </c>
      <c r="F1284" s="37">
        <v>374229774</v>
      </c>
      <c r="G1284" s="37">
        <v>981971991</v>
      </c>
      <c r="H1284" s="37">
        <v>16014912</v>
      </c>
      <c r="I1284" s="55">
        <f t="shared" si="58"/>
        <v>1608852944</v>
      </c>
      <c r="J1284" s="54">
        <v>0</v>
      </c>
      <c r="K1284" s="56">
        <f t="shared" si="59"/>
        <v>1608852944</v>
      </c>
      <c r="L1284" s="35">
        <v>3311260</v>
      </c>
      <c r="M1284" s="67" t="s">
        <v>735</v>
      </c>
      <c r="N1284" t="s">
        <v>708</v>
      </c>
      <c r="O1284" s="38" t="str">
        <f>IF([1]totrevprm!O1285="","",[1]totrevprm!O1285)</f>
        <v/>
      </c>
      <c r="T1284" s="68"/>
      <c r="V1284" s="38"/>
      <c r="W1284" s="58"/>
      <c r="X1284" s="58"/>
      <c r="Y1284" s="58"/>
      <c r="Z1284" s="58"/>
    </row>
    <row r="1285" spans="1:26">
      <c r="A1285" s="50" t="s">
        <v>61</v>
      </c>
      <c r="B1285" s="51" t="s">
        <v>801</v>
      </c>
      <c r="C1285" s="52"/>
      <c r="D1285" s="53">
        <v>2009</v>
      </c>
      <c r="E1285" s="37">
        <v>263368693</v>
      </c>
      <c r="F1285" s="37">
        <v>351655949</v>
      </c>
      <c r="G1285" s="37">
        <v>1034529270</v>
      </c>
      <c r="H1285" s="37">
        <v>12071423</v>
      </c>
      <c r="I1285" s="55">
        <f t="shared" si="58"/>
        <v>1661625335</v>
      </c>
      <c r="J1285" s="54">
        <v>0</v>
      </c>
      <c r="K1285" s="56">
        <f t="shared" si="59"/>
        <v>1661625335</v>
      </c>
      <c r="L1285" s="35">
        <v>2832478</v>
      </c>
      <c r="M1285" s="67" t="s">
        <v>735</v>
      </c>
      <c r="N1285" t="s">
        <v>708</v>
      </c>
      <c r="O1285" s="38" t="str">
        <f>IF([1]totrevprm!O1286="","",[1]totrevprm!O1286)</f>
        <v/>
      </c>
      <c r="T1285" s="68"/>
      <c r="V1285" s="38"/>
      <c r="W1285" s="58"/>
      <c r="X1285" s="58"/>
      <c r="Y1285" s="58"/>
      <c r="Z1285" s="58"/>
    </row>
    <row r="1286" spans="1:26">
      <c r="A1286" s="50" t="s">
        <v>61</v>
      </c>
      <c r="B1286" s="51" t="s">
        <v>801</v>
      </c>
      <c r="C1286" s="52"/>
      <c r="D1286" s="53">
        <v>2010</v>
      </c>
      <c r="E1286" s="37">
        <v>290074904</v>
      </c>
      <c r="F1286" s="37">
        <v>341671299</v>
      </c>
      <c r="G1286" s="37">
        <v>1134430726</v>
      </c>
      <c r="H1286" s="37">
        <v>4889188</v>
      </c>
      <c r="I1286" s="55">
        <f t="shared" si="58"/>
        <v>1771066117</v>
      </c>
      <c r="J1286" s="54">
        <v>0</v>
      </c>
      <c r="K1286" s="56">
        <f t="shared" si="59"/>
        <v>1771066117</v>
      </c>
      <c r="L1286" s="35">
        <v>2590819</v>
      </c>
      <c r="M1286" s="67" t="s">
        <v>735</v>
      </c>
      <c r="N1286" t="s">
        <v>708</v>
      </c>
      <c r="O1286" s="38" t="str">
        <f>IF([1]totrevprm!O1287="","",[1]totrevprm!O1287)</f>
        <v/>
      </c>
      <c r="T1286" s="68"/>
      <c r="V1286" s="38"/>
      <c r="W1286" s="58"/>
      <c r="X1286" s="58"/>
      <c r="Y1286" s="58"/>
      <c r="Z1286" s="58"/>
    </row>
    <row r="1287" spans="1:26">
      <c r="A1287" s="50" t="s">
        <v>61</v>
      </c>
      <c r="B1287" s="51" t="s">
        <v>801</v>
      </c>
      <c r="C1287" s="52"/>
      <c r="D1287" s="53">
        <v>2011</v>
      </c>
      <c r="E1287" s="37">
        <v>303487585</v>
      </c>
      <c r="F1287" s="37">
        <v>353538961</v>
      </c>
      <c r="G1287" s="37">
        <v>1236899852</v>
      </c>
      <c r="H1287" s="37">
        <v>7679570</v>
      </c>
      <c r="I1287" s="55">
        <f t="shared" si="58"/>
        <v>1901605968</v>
      </c>
      <c r="J1287" s="54">
        <v>0</v>
      </c>
      <c r="K1287" s="56">
        <f t="shared" si="59"/>
        <v>1901605968</v>
      </c>
      <c r="L1287" s="35">
        <v>3964662</v>
      </c>
      <c r="M1287" s="67" t="s">
        <v>735</v>
      </c>
      <c r="N1287" t="s">
        <v>708</v>
      </c>
      <c r="O1287" s="38" t="str">
        <f>IF([1]totrevprm!O1288="","",[1]totrevprm!O1288)</f>
        <v/>
      </c>
      <c r="T1287" s="68"/>
      <c r="V1287" s="38"/>
      <c r="W1287" s="58"/>
      <c r="X1287" s="58"/>
      <c r="Y1287" s="58"/>
      <c r="Z1287" s="58"/>
    </row>
    <row r="1288" spans="1:26">
      <c r="A1288" s="50" t="s">
        <v>61</v>
      </c>
      <c r="B1288" s="51" t="s">
        <v>801</v>
      </c>
      <c r="C1288" s="52"/>
      <c r="D1288" s="53">
        <v>2012</v>
      </c>
      <c r="E1288" s="37">
        <v>325718251</v>
      </c>
      <c r="F1288" s="37">
        <v>359108037</v>
      </c>
      <c r="G1288" s="37">
        <v>1337121150</v>
      </c>
      <c r="H1288" s="37">
        <v>17652954</v>
      </c>
      <c r="I1288" s="55">
        <f t="shared" si="58"/>
        <v>2039600392</v>
      </c>
      <c r="J1288" s="54">
        <v>0</v>
      </c>
      <c r="K1288" s="56">
        <f t="shared" si="59"/>
        <v>2039600392</v>
      </c>
      <c r="L1288" s="35">
        <v>4207254</v>
      </c>
      <c r="M1288" s="67" t="s">
        <v>735</v>
      </c>
      <c r="N1288" t="s">
        <v>708</v>
      </c>
      <c r="O1288" s="38" t="str">
        <f>IF([1]totrevprm!O1289="","",[1]totrevprm!O1289)</f>
        <v/>
      </c>
      <c r="T1288" s="68"/>
      <c r="V1288" s="38"/>
      <c r="W1288" s="58"/>
      <c r="X1288" s="58"/>
      <c r="Y1288" s="58"/>
      <c r="Z1288" s="58"/>
    </row>
    <row r="1289" spans="1:26">
      <c r="A1289" s="50" t="s">
        <v>61</v>
      </c>
      <c r="B1289" s="51" t="s">
        <v>801</v>
      </c>
      <c r="C1289" s="52"/>
      <c r="D1289" s="53">
        <v>2013</v>
      </c>
      <c r="E1289" s="37">
        <v>331248624</v>
      </c>
      <c r="F1289" s="37">
        <v>379362436</v>
      </c>
      <c r="G1289" s="37">
        <v>1354458128</v>
      </c>
      <c r="H1289" s="37">
        <v>27623124</v>
      </c>
      <c r="I1289" s="55">
        <f t="shared" si="58"/>
        <v>2092692312</v>
      </c>
      <c r="J1289" s="54">
        <v>0</v>
      </c>
      <c r="K1289" s="56">
        <f t="shared" si="59"/>
        <v>2092692312</v>
      </c>
      <c r="L1289" s="35">
        <v>3639153</v>
      </c>
      <c r="M1289" s="67" t="s">
        <v>735</v>
      </c>
      <c r="N1289" t="s">
        <v>708</v>
      </c>
      <c r="O1289" s="38" t="str">
        <f>IF([1]totrevprm!O1290="","",[1]totrevprm!O1290)</f>
        <v/>
      </c>
      <c r="T1289" s="68"/>
      <c r="V1289" s="38"/>
      <c r="W1289" s="58"/>
      <c r="X1289" s="58"/>
      <c r="Y1289" s="58"/>
      <c r="Z1289" s="58"/>
    </row>
    <row r="1290" spans="1:26">
      <c r="A1290" s="50" t="s">
        <v>61</v>
      </c>
      <c r="B1290" s="51" t="s">
        <v>801</v>
      </c>
      <c r="C1290" s="52"/>
      <c r="D1290" s="53">
        <v>2014</v>
      </c>
      <c r="E1290" s="37">
        <v>348502956</v>
      </c>
      <c r="F1290" s="37">
        <v>490488034</v>
      </c>
      <c r="G1290" s="37">
        <v>1470327677</v>
      </c>
      <c r="H1290" s="37">
        <v>15160902</v>
      </c>
      <c r="I1290" s="55">
        <f t="shared" si="58"/>
        <v>2324479569</v>
      </c>
      <c r="J1290" s="54">
        <v>0</v>
      </c>
      <c r="K1290" s="56">
        <f t="shared" si="59"/>
        <v>2324479569</v>
      </c>
      <c r="L1290" s="37">
        <v>18580680</v>
      </c>
      <c r="M1290" s="67" t="s">
        <v>735</v>
      </c>
      <c r="N1290" t="s">
        <v>708</v>
      </c>
      <c r="O1290" s="38" t="str">
        <f>IF([1]totrevprm!O1291="","",[1]totrevprm!O1291)</f>
        <v/>
      </c>
      <c r="T1290" s="68"/>
      <c r="V1290" s="38"/>
      <c r="W1290" s="58"/>
      <c r="X1290" s="58"/>
      <c r="Y1290" s="58"/>
      <c r="Z1290" s="58"/>
    </row>
    <row r="1291" spans="1:26">
      <c r="A1291" s="50" t="s">
        <v>61</v>
      </c>
      <c r="B1291" s="51" t="s">
        <v>801</v>
      </c>
      <c r="C1291" s="52"/>
      <c r="D1291" s="53">
        <v>2015</v>
      </c>
      <c r="E1291" s="37">
        <v>384625284</v>
      </c>
      <c r="F1291" s="37">
        <v>458393922</v>
      </c>
      <c r="G1291" s="37">
        <v>1434911821</v>
      </c>
      <c r="H1291" s="37">
        <v>14741838</v>
      </c>
      <c r="I1291" s="55">
        <f t="shared" si="58"/>
        <v>2292672865</v>
      </c>
      <c r="J1291" s="54">
        <v>0</v>
      </c>
      <c r="K1291" s="56">
        <f t="shared" si="59"/>
        <v>2292672865</v>
      </c>
      <c r="L1291" s="37">
        <v>13162508</v>
      </c>
      <c r="M1291" s="67" t="s">
        <v>735</v>
      </c>
      <c r="N1291" t="s">
        <v>708</v>
      </c>
      <c r="O1291" s="38" t="str">
        <f>IF([1]totrevprm!O1292="","",[1]totrevprm!O1292)</f>
        <v/>
      </c>
      <c r="P1291" s="35">
        <v>55100829.01375556</v>
      </c>
      <c r="Q1291" s="35">
        <v>48246683.450000003</v>
      </c>
      <c r="T1291" s="68"/>
      <c r="V1291" s="38"/>
      <c r="W1291" s="58"/>
      <c r="X1291" s="58"/>
      <c r="Y1291" s="58"/>
      <c r="Z1291" s="58"/>
    </row>
    <row r="1292" spans="1:26">
      <c r="A1292" s="50" t="s">
        <v>61</v>
      </c>
      <c r="B1292" s="51" t="s">
        <v>801</v>
      </c>
      <c r="C1292" s="52"/>
      <c r="D1292" s="53">
        <v>2016</v>
      </c>
      <c r="E1292" s="37">
        <v>379667300</v>
      </c>
      <c r="F1292" s="37">
        <v>535586933</v>
      </c>
      <c r="G1292" s="37">
        <v>1283972956</v>
      </c>
      <c r="H1292" s="37">
        <v>5866094</v>
      </c>
      <c r="I1292" s="55">
        <f t="shared" si="58"/>
        <v>2205093283</v>
      </c>
      <c r="J1292" s="54">
        <v>0</v>
      </c>
      <c r="K1292" s="56">
        <f t="shared" si="59"/>
        <v>2205093283</v>
      </c>
      <c r="L1292" s="37">
        <v>6036180</v>
      </c>
      <c r="M1292" s="67" t="s">
        <v>735</v>
      </c>
      <c r="N1292" t="s">
        <v>708</v>
      </c>
      <c r="O1292" s="38" t="str">
        <f>IF([1]totrevprm!O1293="","",[1]totrevprm!O1293)</f>
        <v/>
      </c>
      <c r="P1292" s="35">
        <v>60277673.030780785</v>
      </c>
      <c r="Q1292" s="35">
        <v>51174989.530000001</v>
      </c>
      <c r="T1292" s="68"/>
      <c r="V1292" s="38"/>
      <c r="W1292" s="58"/>
      <c r="X1292" s="58"/>
      <c r="Y1292" s="58"/>
      <c r="Z1292" s="58"/>
    </row>
    <row r="1293" spans="1:26">
      <c r="A1293" s="50" t="s">
        <v>61</v>
      </c>
      <c r="B1293" s="51" t="s">
        <v>801</v>
      </c>
      <c r="C1293" s="52"/>
      <c r="D1293" s="53">
        <v>2017</v>
      </c>
      <c r="E1293" s="37">
        <v>389707230</v>
      </c>
      <c r="F1293" s="37">
        <v>482344334</v>
      </c>
      <c r="G1293" s="37">
        <v>1320736226</v>
      </c>
      <c r="H1293" s="37">
        <v>5833643</v>
      </c>
      <c r="I1293" s="55">
        <f t="shared" si="58"/>
        <v>2198621433</v>
      </c>
      <c r="J1293" s="54">
        <v>0</v>
      </c>
      <c r="K1293" s="56">
        <f t="shared" si="59"/>
        <v>2198621433</v>
      </c>
      <c r="L1293" s="60">
        <v>6258699</v>
      </c>
      <c r="M1293" s="67" t="s">
        <v>735</v>
      </c>
      <c r="N1293" t="s">
        <v>708</v>
      </c>
      <c r="O1293" s="38" t="str">
        <f>IF([1]totrevprm!O1294="","",[1]totrevprm!O1294)</f>
        <v/>
      </c>
      <c r="P1293" s="35">
        <v>64432999.313361578</v>
      </c>
      <c r="Q1293" s="35">
        <v>49164469.370000005</v>
      </c>
      <c r="T1293" s="68"/>
      <c r="V1293" s="38"/>
      <c r="W1293" s="58"/>
      <c r="X1293" s="58"/>
      <c r="Y1293" s="58"/>
      <c r="Z1293" s="58"/>
    </row>
    <row r="1294" spans="1:26">
      <c r="A1294" s="50" t="s">
        <v>61</v>
      </c>
      <c r="B1294" s="51" t="s">
        <v>801</v>
      </c>
      <c r="C1294" s="52"/>
      <c r="D1294" s="53">
        <v>2018</v>
      </c>
      <c r="E1294" s="37">
        <v>395998988</v>
      </c>
      <c r="F1294" s="37">
        <v>636299135</v>
      </c>
      <c r="G1294" s="37">
        <v>1673433674</v>
      </c>
      <c r="H1294" s="37">
        <v>13317746</v>
      </c>
      <c r="I1294" s="55">
        <f t="shared" si="58"/>
        <v>2719049543</v>
      </c>
      <c r="J1294" s="54">
        <v>0</v>
      </c>
      <c r="K1294" s="56">
        <f t="shared" si="59"/>
        <v>2719049543</v>
      </c>
      <c r="L1294" s="60">
        <v>6217491</v>
      </c>
      <c r="M1294" s="67" t="s">
        <v>735</v>
      </c>
      <c r="N1294" t="s">
        <v>708</v>
      </c>
      <c r="O1294" s="38" t="str">
        <f>IF([1]totrevprm!O1295="","",[1]totrevprm!O1295)</f>
        <v/>
      </c>
      <c r="P1294" s="35">
        <v>66148014.376332581</v>
      </c>
      <c r="Q1294" s="35">
        <v>41042638</v>
      </c>
      <c r="T1294" s="68"/>
      <c r="V1294" s="38"/>
      <c r="W1294" s="58"/>
      <c r="X1294" s="58"/>
      <c r="Y1294" s="58"/>
      <c r="Z1294" s="58"/>
    </row>
    <row r="1295" spans="1:26">
      <c r="A1295" s="50" t="s">
        <v>61</v>
      </c>
      <c r="B1295" s="51" t="s">
        <v>801</v>
      </c>
      <c r="C1295" s="52"/>
      <c r="D1295" s="53">
        <v>2019</v>
      </c>
      <c r="E1295" s="37">
        <v>408918767</v>
      </c>
      <c r="F1295" s="37">
        <v>590678577</v>
      </c>
      <c r="G1295" s="37">
        <v>1885178424.02</v>
      </c>
      <c r="H1295" s="54">
        <v>-2854846</v>
      </c>
      <c r="I1295" s="55">
        <f t="shared" si="58"/>
        <v>2881920922.02</v>
      </c>
      <c r="J1295" s="54">
        <v>0</v>
      </c>
      <c r="K1295" s="56">
        <f t="shared" si="59"/>
        <v>2881920922.02</v>
      </c>
      <c r="L1295" s="60">
        <v>21176428</v>
      </c>
      <c r="M1295" s="67" t="s">
        <v>746</v>
      </c>
      <c r="N1295" t="s">
        <v>708</v>
      </c>
      <c r="O1295" s="38" t="str">
        <f>IF([1]totrevprm!O1296="","",[1]totrevprm!O1296)</f>
        <v>Yes</v>
      </c>
      <c r="P1295" s="35">
        <v>65856524.620208688</v>
      </c>
      <c r="Q1295" s="35">
        <v>50525051.010000005</v>
      </c>
      <c r="T1295" s="68"/>
      <c r="V1295" s="38"/>
      <c r="W1295" s="58"/>
      <c r="X1295" s="58"/>
      <c r="Y1295" s="58"/>
      <c r="Z1295" s="58"/>
    </row>
    <row r="1296" spans="1:26">
      <c r="A1296" s="50" t="s">
        <v>61</v>
      </c>
      <c r="B1296" s="51" t="s">
        <v>801</v>
      </c>
      <c r="C1296" s="52"/>
      <c r="D1296" s="53">
        <v>2020</v>
      </c>
      <c r="E1296" s="37">
        <v>404141068</v>
      </c>
      <c r="F1296" s="37">
        <v>621098382</v>
      </c>
      <c r="G1296" s="37">
        <v>1894895324</v>
      </c>
      <c r="H1296" s="37">
        <v>20329803</v>
      </c>
      <c r="I1296" s="55">
        <f t="shared" si="58"/>
        <v>2940464577</v>
      </c>
      <c r="J1296" s="54">
        <v>0</v>
      </c>
      <c r="K1296" s="56">
        <f t="shared" si="59"/>
        <v>2940464577</v>
      </c>
      <c r="L1296" s="60">
        <v>6029013</v>
      </c>
      <c r="M1296" s="67" t="s">
        <v>738</v>
      </c>
      <c r="N1296" t="s">
        <v>708</v>
      </c>
      <c r="O1296" s="38" t="str">
        <f>IF([1]totrevprm!O1297="","",[1]totrevprm!O1297)</f>
        <v/>
      </c>
      <c r="P1296" s="35">
        <v>68373054</v>
      </c>
      <c r="Q1296" s="35">
        <v>50040076</v>
      </c>
      <c r="T1296" s="68"/>
      <c r="V1296" s="38"/>
      <c r="W1296" s="58"/>
      <c r="X1296" s="58"/>
      <c r="Y1296" s="58"/>
      <c r="Z1296" s="58"/>
    </row>
    <row r="1297" spans="1:26">
      <c r="A1297" s="50" t="s">
        <v>61</v>
      </c>
      <c r="B1297" s="51" t="s">
        <v>801</v>
      </c>
      <c r="C1297" s="52"/>
      <c r="D1297" s="53">
        <v>2021</v>
      </c>
      <c r="E1297" s="37">
        <v>480800545</v>
      </c>
      <c r="F1297" s="37">
        <v>761072983</v>
      </c>
      <c r="G1297" s="37">
        <v>1947584585</v>
      </c>
      <c r="H1297" s="37">
        <v>19370368</v>
      </c>
      <c r="I1297" s="55">
        <f t="shared" si="58"/>
        <v>3208828481</v>
      </c>
      <c r="J1297" s="54">
        <v>0</v>
      </c>
      <c r="K1297" s="56">
        <f t="shared" si="59"/>
        <v>3208828481</v>
      </c>
      <c r="L1297" s="37">
        <v>0</v>
      </c>
      <c r="M1297" s="67" t="s">
        <v>739</v>
      </c>
      <c r="N1297" t="s">
        <v>708</v>
      </c>
      <c r="O1297" s="38"/>
      <c r="P1297" s="35">
        <v>63820807.439999998</v>
      </c>
      <c r="Q1297" s="35">
        <v>51389520</v>
      </c>
      <c r="T1297" s="68"/>
      <c r="V1297" s="38"/>
      <c r="W1297" s="58"/>
      <c r="X1297" s="58"/>
      <c r="Y1297" s="58"/>
      <c r="Z1297" s="58"/>
    </row>
    <row r="1298" spans="1:26">
      <c r="A1298" s="50" t="s">
        <v>61</v>
      </c>
      <c r="B1298" s="51" t="s">
        <v>801</v>
      </c>
      <c r="C1298" s="52"/>
      <c r="D1298" s="53">
        <v>2022</v>
      </c>
      <c r="E1298" s="37">
        <v>491039847</v>
      </c>
      <c r="F1298" s="37">
        <v>1322780926</v>
      </c>
      <c r="G1298" s="37">
        <v>1984939779</v>
      </c>
      <c r="H1298" s="37">
        <v>88230132</v>
      </c>
      <c r="I1298" s="55">
        <f t="shared" si="58"/>
        <v>3886990684</v>
      </c>
      <c r="J1298" s="54">
        <v>0</v>
      </c>
      <c r="K1298" s="56">
        <f t="shared" si="59"/>
        <v>3886990684</v>
      </c>
      <c r="L1298" s="37">
        <v>0</v>
      </c>
      <c r="M1298" s="67" t="s">
        <v>739</v>
      </c>
      <c r="N1298" t="s">
        <v>708</v>
      </c>
      <c r="O1298" s="38" t="str">
        <f>IF([1]totrevprm!O1301="","",[1]totrevprm!O1301)</f>
        <v/>
      </c>
      <c r="P1298" s="60">
        <v>86570777</v>
      </c>
      <c r="Q1298" s="60">
        <v>48935304</v>
      </c>
    </row>
    <row r="1299" spans="1:26">
      <c r="A1299" s="50" t="s">
        <v>61</v>
      </c>
      <c r="B1299" s="51" t="s">
        <v>801</v>
      </c>
      <c r="C1299" s="52"/>
      <c r="D1299" s="53">
        <v>2023</v>
      </c>
      <c r="E1299" s="37">
        <v>482766866</v>
      </c>
      <c r="F1299" s="37">
        <v>1304448053.7433</v>
      </c>
      <c r="G1299" s="37">
        <v>2088500824.8099999</v>
      </c>
      <c r="H1299" s="37">
        <v>23746380</v>
      </c>
      <c r="I1299" s="55">
        <f t="shared" si="58"/>
        <v>3899462124.5532999</v>
      </c>
      <c r="K1299" s="56">
        <f t="shared" si="59"/>
        <v>3899462124.5532999</v>
      </c>
      <c r="L1299" s="37">
        <v>0</v>
      </c>
      <c r="M1299" s="67" t="s">
        <v>739</v>
      </c>
      <c r="O1299" s="38"/>
      <c r="P1299" s="60">
        <v>72321723.469999999</v>
      </c>
      <c r="Q1299" s="60">
        <v>49036672</v>
      </c>
    </row>
    <row r="1300" spans="1:26">
      <c r="A1300" s="50"/>
      <c r="B1300" s="52"/>
      <c r="C1300" s="52"/>
      <c r="E1300" s="54"/>
      <c r="F1300" s="54"/>
      <c r="G1300" s="54"/>
      <c r="H1300" s="54"/>
      <c r="I1300" s="55"/>
      <c r="K1300" s="65"/>
      <c r="L1300" s="37"/>
      <c r="O1300" s="38"/>
    </row>
    <row r="1301" spans="1:26">
      <c r="A1301" s="50" t="s">
        <v>62</v>
      </c>
      <c r="B1301" s="51" t="s">
        <v>286</v>
      </c>
      <c r="C1301" s="52" t="s">
        <v>741</v>
      </c>
      <c r="D1301" s="53">
        <v>1988</v>
      </c>
      <c r="E1301" s="54">
        <v>2534034513</v>
      </c>
      <c r="F1301" s="54">
        <v>1736787192</v>
      </c>
      <c r="G1301" s="54">
        <v>4989784981</v>
      </c>
      <c r="H1301" s="54">
        <v>1042229723</v>
      </c>
      <c r="I1301" s="55">
        <f t="shared" si="58"/>
        <v>10302836409</v>
      </c>
      <c r="J1301" s="54">
        <v>0</v>
      </c>
      <c r="K1301" s="56">
        <f>SUM(I1301:J1301)</f>
        <v>10302836409</v>
      </c>
      <c r="L1301" s="37">
        <v>0</v>
      </c>
      <c r="O1301" s="38" t="str">
        <f>IF([1]totrevprm!O1302="","",[1]totrevprm!O1302)</f>
        <v/>
      </c>
    </row>
    <row r="1302" spans="1:26">
      <c r="A1302" s="50" t="s">
        <v>62</v>
      </c>
      <c r="B1302" s="51" t="s">
        <v>286</v>
      </c>
      <c r="C1302" s="52" t="s">
        <v>742</v>
      </c>
      <c r="D1302" s="53">
        <v>1989</v>
      </c>
      <c r="E1302" s="54">
        <v>2407743599</v>
      </c>
      <c r="F1302" s="54">
        <v>1856477537</v>
      </c>
      <c r="G1302" s="54">
        <v>3619642666</v>
      </c>
      <c r="H1302" s="54">
        <v>1083026448</v>
      </c>
      <c r="I1302" s="55">
        <f t="shared" si="58"/>
        <v>8966890250</v>
      </c>
      <c r="J1302" s="54">
        <v>0</v>
      </c>
      <c r="K1302" s="56">
        <f t="shared" ref="K1302:K1336" si="60">SUM(I1302:J1302)</f>
        <v>8966890250</v>
      </c>
      <c r="L1302" s="37">
        <v>0</v>
      </c>
      <c r="O1302" s="38" t="str">
        <f>IF([1]totrevprm!O1303="","",[1]totrevprm!O1303)</f>
        <v/>
      </c>
    </row>
    <row r="1303" spans="1:26">
      <c r="A1303" s="50" t="s">
        <v>62</v>
      </c>
      <c r="B1303" s="51" t="s">
        <v>286</v>
      </c>
      <c r="C1303" s="52" t="s">
        <v>743</v>
      </c>
      <c r="D1303" s="53">
        <v>1990</v>
      </c>
      <c r="E1303" s="54">
        <v>2741981136</v>
      </c>
      <c r="F1303" s="54">
        <v>2179135464.5999999</v>
      </c>
      <c r="G1303" s="54">
        <v>3828721118</v>
      </c>
      <c r="H1303" s="54">
        <v>1187795652</v>
      </c>
      <c r="I1303" s="55">
        <f t="shared" si="58"/>
        <v>9937633370.6000004</v>
      </c>
      <c r="J1303" s="54">
        <v>0</v>
      </c>
      <c r="K1303" s="56">
        <f t="shared" si="60"/>
        <v>9937633370.6000004</v>
      </c>
      <c r="L1303" s="37">
        <v>0</v>
      </c>
      <c r="O1303" s="38" t="str">
        <f>IF([1]totrevprm!O1304="","",[1]totrevprm!O1304)</f>
        <v/>
      </c>
    </row>
    <row r="1304" spans="1:26">
      <c r="A1304" s="50" t="s">
        <v>62</v>
      </c>
      <c r="B1304" s="51" t="s">
        <v>286</v>
      </c>
      <c r="C1304" s="52" t="s">
        <v>731</v>
      </c>
      <c r="D1304" s="53">
        <v>1991</v>
      </c>
      <c r="E1304" s="54">
        <v>2920332567</v>
      </c>
      <c r="F1304" s="54">
        <v>1828524058</v>
      </c>
      <c r="G1304" s="54">
        <v>3966484296</v>
      </c>
      <c r="H1304" s="54">
        <v>1205698462</v>
      </c>
      <c r="I1304" s="55">
        <f t="shared" si="58"/>
        <v>9921039383</v>
      </c>
      <c r="J1304" s="54">
        <v>0</v>
      </c>
      <c r="K1304" s="56">
        <f t="shared" si="60"/>
        <v>9921039383</v>
      </c>
      <c r="L1304" s="37">
        <v>0</v>
      </c>
      <c r="O1304" s="38" t="str">
        <f>IF([1]totrevprm!O1305="","",[1]totrevprm!O1305)</f>
        <v/>
      </c>
    </row>
    <row r="1305" spans="1:26">
      <c r="A1305" s="50" t="s">
        <v>62</v>
      </c>
      <c r="B1305" s="51" t="s">
        <v>286</v>
      </c>
      <c r="C1305" s="52" t="s">
        <v>731</v>
      </c>
      <c r="D1305" s="53">
        <v>1992</v>
      </c>
      <c r="E1305" s="54">
        <v>3055029400</v>
      </c>
      <c r="F1305" s="54">
        <v>1893658458.9200001</v>
      </c>
      <c r="G1305" s="54">
        <v>4254594238</v>
      </c>
      <c r="H1305" s="54">
        <v>956370309</v>
      </c>
      <c r="I1305" s="55">
        <f t="shared" si="58"/>
        <v>10159652405.92</v>
      </c>
      <c r="J1305" s="54">
        <v>0</v>
      </c>
      <c r="K1305" s="56">
        <f t="shared" si="60"/>
        <v>10159652405.92</v>
      </c>
      <c r="L1305" s="37">
        <v>0</v>
      </c>
      <c r="O1305" s="38" t="str">
        <f>IF([1]totrevprm!O1306="","",[1]totrevprm!O1306)</f>
        <v/>
      </c>
    </row>
    <row r="1306" spans="1:26">
      <c r="A1306" s="50" t="s">
        <v>62</v>
      </c>
      <c r="B1306" s="51" t="s">
        <v>286</v>
      </c>
      <c r="C1306" s="52" t="s">
        <v>731</v>
      </c>
      <c r="D1306" s="53">
        <v>1993</v>
      </c>
      <c r="E1306" s="54">
        <v>3987751884</v>
      </c>
      <c r="F1306" s="54">
        <v>1716262992</v>
      </c>
      <c r="G1306" s="54">
        <v>4446737088</v>
      </c>
      <c r="H1306" s="54">
        <v>962654689</v>
      </c>
      <c r="I1306" s="55">
        <f t="shared" si="58"/>
        <v>11113406653</v>
      </c>
      <c r="J1306" s="54">
        <v>0</v>
      </c>
      <c r="K1306" s="56">
        <f t="shared" si="60"/>
        <v>11113406653</v>
      </c>
      <c r="L1306" s="37">
        <v>0</v>
      </c>
      <c r="O1306" s="38" t="str">
        <f>IF([1]totrevprm!O1307="","",[1]totrevprm!O1307)</f>
        <v/>
      </c>
    </row>
    <row r="1307" spans="1:26">
      <c r="A1307" s="50" t="s">
        <v>62</v>
      </c>
      <c r="B1307" s="51" t="s">
        <v>286</v>
      </c>
      <c r="C1307" s="52" t="s">
        <v>731</v>
      </c>
      <c r="D1307" s="53">
        <v>1994</v>
      </c>
      <c r="E1307" s="54">
        <v>3819936218</v>
      </c>
      <c r="F1307" s="54">
        <v>2179499942</v>
      </c>
      <c r="G1307" s="54">
        <v>4258140845</v>
      </c>
      <c r="H1307" s="54">
        <v>646454967</v>
      </c>
      <c r="I1307" s="55">
        <f t="shared" si="58"/>
        <v>10904031972</v>
      </c>
      <c r="J1307" s="54">
        <v>0</v>
      </c>
      <c r="K1307" s="56">
        <f t="shared" si="60"/>
        <v>10904031972</v>
      </c>
      <c r="L1307" s="37">
        <v>0</v>
      </c>
      <c r="O1307" s="38" t="str">
        <f>IF([1]totrevprm!O1308="","",[1]totrevprm!O1308)</f>
        <v/>
      </c>
    </row>
    <row r="1308" spans="1:26">
      <c r="A1308" s="50" t="s">
        <v>62</v>
      </c>
      <c r="B1308" s="51" t="s">
        <v>286</v>
      </c>
      <c r="C1308" s="52" t="s">
        <v>731</v>
      </c>
      <c r="D1308" s="53">
        <v>1995</v>
      </c>
      <c r="E1308" s="54">
        <v>4118333150</v>
      </c>
      <c r="F1308" s="54">
        <v>2336864381</v>
      </c>
      <c r="G1308" s="54">
        <v>4489683366</v>
      </c>
      <c r="H1308" s="54">
        <v>819651829</v>
      </c>
      <c r="I1308" s="55">
        <f t="shared" si="58"/>
        <v>11764532726</v>
      </c>
      <c r="J1308" s="54">
        <v>0</v>
      </c>
      <c r="K1308" s="56">
        <f t="shared" si="60"/>
        <v>11764532726</v>
      </c>
      <c r="L1308" s="37">
        <v>0</v>
      </c>
      <c r="O1308" s="38" t="str">
        <f>IF([1]totrevprm!O1309="","",[1]totrevprm!O1309)</f>
        <v/>
      </c>
    </row>
    <row r="1309" spans="1:26">
      <c r="A1309" s="50" t="s">
        <v>62</v>
      </c>
      <c r="B1309" s="51" t="s">
        <v>286</v>
      </c>
      <c r="C1309" s="52" t="s">
        <v>731</v>
      </c>
      <c r="D1309" s="53">
        <v>1996</v>
      </c>
      <c r="E1309" s="54">
        <v>3975047154</v>
      </c>
      <c r="F1309" s="54">
        <v>1909547932</v>
      </c>
      <c r="G1309" s="54">
        <v>5602533542</v>
      </c>
      <c r="H1309" s="54">
        <v>551809112</v>
      </c>
      <c r="I1309" s="55">
        <f t="shared" si="58"/>
        <v>12038937740</v>
      </c>
      <c r="J1309" s="54">
        <v>0</v>
      </c>
      <c r="K1309" s="56">
        <f t="shared" si="60"/>
        <v>12038937740</v>
      </c>
      <c r="L1309" s="37">
        <v>0</v>
      </c>
      <c r="O1309" s="38" t="str">
        <f>IF([1]totrevprm!O1310="","",[1]totrevprm!O1310)</f>
        <v/>
      </c>
    </row>
    <row r="1310" spans="1:26">
      <c r="A1310" s="50" t="s">
        <v>62</v>
      </c>
      <c r="B1310" s="51" t="s">
        <v>286</v>
      </c>
      <c r="C1310" s="52" t="s">
        <v>731</v>
      </c>
      <c r="D1310" s="53">
        <v>1997</v>
      </c>
      <c r="E1310" s="54">
        <v>4104119628</v>
      </c>
      <c r="F1310" s="54">
        <v>1912971877</v>
      </c>
      <c r="G1310" s="54">
        <v>5500310888</v>
      </c>
      <c r="H1310" s="54">
        <v>727195937</v>
      </c>
      <c r="I1310" s="55">
        <f t="shared" si="58"/>
        <v>12244598330</v>
      </c>
      <c r="J1310" s="54">
        <v>0</v>
      </c>
      <c r="K1310" s="56">
        <f t="shared" si="60"/>
        <v>12244598330</v>
      </c>
      <c r="L1310" s="37">
        <v>0</v>
      </c>
      <c r="O1310" s="38" t="str">
        <f>IF([1]totrevprm!O1311="","",[1]totrevprm!O1311)</f>
        <v/>
      </c>
    </row>
    <row r="1311" spans="1:26">
      <c r="A1311" s="50" t="s">
        <v>62</v>
      </c>
      <c r="B1311" s="51" t="s">
        <v>286</v>
      </c>
      <c r="C1311" s="52" t="s">
        <v>731</v>
      </c>
      <c r="D1311" s="53">
        <v>1998</v>
      </c>
      <c r="E1311" s="54">
        <v>3760213838</v>
      </c>
      <c r="F1311" s="54">
        <v>2023173180</v>
      </c>
      <c r="G1311" s="54">
        <v>5903365925</v>
      </c>
      <c r="H1311" s="54">
        <v>558994105</v>
      </c>
      <c r="I1311" s="55">
        <f t="shared" si="58"/>
        <v>12245747048</v>
      </c>
      <c r="J1311" s="54">
        <v>0</v>
      </c>
      <c r="K1311" s="56">
        <f t="shared" si="60"/>
        <v>12245747048</v>
      </c>
      <c r="L1311" s="37">
        <v>0</v>
      </c>
      <c r="O1311" s="38" t="str">
        <f>IF([1]totrevprm!O1312="","",[1]totrevprm!O1312)</f>
        <v/>
      </c>
    </row>
    <row r="1312" spans="1:26">
      <c r="A1312" s="50" t="s">
        <v>62</v>
      </c>
      <c r="B1312" s="51" t="s">
        <v>286</v>
      </c>
      <c r="C1312" s="52" t="s">
        <v>731</v>
      </c>
      <c r="D1312" s="53">
        <v>1999</v>
      </c>
      <c r="E1312" s="54">
        <v>4183454778</v>
      </c>
      <c r="F1312" s="54">
        <v>2853879537</v>
      </c>
      <c r="G1312" s="54">
        <v>6488902076</v>
      </c>
      <c r="H1312" s="54">
        <v>551307354</v>
      </c>
      <c r="I1312" s="55">
        <f t="shared" ref="I1312:I1373" si="61">SUM(E1312:H1312)</f>
        <v>14077543745</v>
      </c>
      <c r="J1312" s="54">
        <v>0</v>
      </c>
      <c r="K1312" s="56">
        <f t="shared" si="60"/>
        <v>14077543745</v>
      </c>
      <c r="L1312" s="37">
        <v>0</v>
      </c>
      <c r="O1312" s="38" t="str">
        <f>IF([1]totrevprm!O1313="","",[1]totrevprm!O1313)</f>
        <v/>
      </c>
    </row>
    <row r="1313" spans="1:26">
      <c r="A1313" s="50" t="s">
        <v>62</v>
      </c>
      <c r="B1313" s="51" t="s">
        <v>286</v>
      </c>
      <c r="C1313" s="52" t="s">
        <v>731</v>
      </c>
      <c r="D1313" s="53">
        <v>2000</v>
      </c>
      <c r="E1313" s="54">
        <v>3779121377</v>
      </c>
      <c r="F1313" s="54">
        <v>3602435917</v>
      </c>
      <c r="G1313" s="54">
        <v>7043854647</v>
      </c>
      <c r="H1313" s="54">
        <v>505227072</v>
      </c>
      <c r="I1313" s="55">
        <f t="shared" si="61"/>
        <v>14930639013</v>
      </c>
      <c r="J1313" s="54">
        <v>0</v>
      </c>
      <c r="K1313" s="56">
        <f t="shared" si="60"/>
        <v>14930639013</v>
      </c>
      <c r="L1313" s="37">
        <v>0</v>
      </c>
      <c r="O1313" s="38" t="str">
        <f>IF([1]totrevprm!O1314="","",[1]totrevprm!O1314)</f>
        <v/>
      </c>
      <c r="V1313" s="38" t="s">
        <v>286</v>
      </c>
      <c r="W1313" s="58">
        <v>1113610</v>
      </c>
      <c r="X1313" s="58">
        <v>34882098</v>
      </c>
      <c r="Y1313" s="58">
        <v>40138002</v>
      </c>
      <c r="Z1313" s="58">
        <v>0</v>
      </c>
    </row>
    <row r="1314" spans="1:26">
      <c r="A1314" s="50" t="s">
        <v>62</v>
      </c>
      <c r="B1314" s="51" t="s">
        <v>286</v>
      </c>
      <c r="C1314" s="52" t="s">
        <v>731</v>
      </c>
      <c r="D1314" s="53">
        <v>2001</v>
      </c>
      <c r="E1314" s="54">
        <v>3622186707</v>
      </c>
      <c r="F1314" s="54">
        <v>4334730583.4300003</v>
      </c>
      <c r="G1314" s="54">
        <v>7566267097</v>
      </c>
      <c r="H1314" s="54">
        <v>594923355</v>
      </c>
      <c r="I1314" s="55">
        <f t="shared" si="61"/>
        <v>16118107742.43</v>
      </c>
      <c r="J1314" s="54">
        <v>0</v>
      </c>
      <c r="K1314" s="56">
        <f t="shared" si="60"/>
        <v>16118107742.43</v>
      </c>
      <c r="L1314" s="37">
        <v>0</v>
      </c>
      <c r="O1314" s="38" t="str">
        <f>IF([1]totrevprm!O1315="","",[1]totrevprm!O1315)</f>
        <v/>
      </c>
      <c r="V1314" s="38"/>
      <c r="W1314" s="58"/>
      <c r="X1314" s="58"/>
      <c r="Y1314" s="58"/>
      <c r="Z1314" s="58"/>
    </row>
    <row r="1315" spans="1:26">
      <c r="A1315" s="50" t="s">
        <v>62</v>
      </c>
      <c r="B1315" s="51" t="s">
        <v>286</v>
      </c>
      <c r="C1315" s="52" t="s">
        <v>731</v>
      </c>
      <c r="D1315" s="53">
        <v>2002</v>
      </c>
      <c r="E1315" s="54">
        <v>3707075429</v>
      </c>
      <c r="F1315" s="54">
        <v>5874525077</v>
      </c>
      <c r="G1315" s="54">
        <v>8242618933</v>
      </c>
      <c r="H1315" s="54">
        <v>767287844</v>
      </c>
      <c r="I1315" s="55">
        <f t="shared" si="61"/>
        <v>18591507283</v>
      </c>
      <c r="J1315" s="54">
        <v>0</v>
      </c>
      <c r="K1315" s="56">
        <f t="shared" si="60"/>
        <v>18591507283</v>
      </c>
      <c r="L1315" s="37">
        <v>0</v>
      </c>
      <c r="O1315" s="38" t="str">
        <f>IF([1]totrevprm!O1316="","",[1]totrevprm!O1316)</f>
        <v/>
      </c>
      <c r="V1315" s="38"/>
      <c r="W1315" s="58"/>
      <c r="X1315" s="58"/>
      <c r="Y1315" s="58"/>
      <c r="Z1315" s="58"/>
    </row>
    <row r="1316" spans="1:26">
      <c r="A1316" s="50" t="s">
        <v>62</v>
      </c>
      <c r="B1316" s="51" t="s">
        <v>286</v>
      </c>
      <c r="C1316" s="52" t="s">
        <v>731</v>
      </c>
      <c r="D1316" s="53">
        <v>2003</v>
      </c>
      <c r="E1316" s="59">
        <v>3719882283</v>
      </c>
      <c r="F1316" s="59">
        <v>5246506175</v>
      </c>
      <c r="G1316" s="59">
        <v>8587872327</v>
      </c>
      <c r="H1316" s="59">
        <v>926264454</v>
      </c>
      <c r="I1316" s="55">
        <f t="shared" si="61"/>
        <v>18480525239</v>
      </c>
      <c r="J1316" s="54">
        <v>0</v>
      </c>
      <c r="K1316" s="56">
        <f t="shared" si="60"/>
        <v>18480525239</v>
      </c>
      <c r="L1316" s="37">
        <v>0</v>
      </c>
      <c r="O1316" s="38" t="str">
        <f>IF([1]totrevprm!O1317="","",[1]totrevprm!O1317)</f>
        <v/>
      </c>
      <c r="V1316" s="38"/>
      <c r="W1316" s="58"/>
      <c r="X1316" s="58"/>
      <c r="Y1316" s="58"/>
      <c r="Z1316" s="58"/>
    </row>
    <row r="1317" spans="1:26">
      <c r="A1317" s="50" t="s">
        <v>62</v>
      </c>
      <c r="B1317" s="51" t="s">
        <v>286</v>
      </c>
      <c r="C1317" s="52" t="s">
        <v>731</v>
      </c>
      <c r="D1317" s="53">
        <v>2004</v>
      </c>
      <c r="E1317" s="59">
        <v>3862254207</v>
      </c>
      <c r="F1317" s="59">
        <v>4987695103</v>
      </c>
      <c r="G1317" s="59">
        <v>8738796050</v>
      </c>
      <c r="H1317" s="59">
        <v>958314758</v>
      </c>
      <c r="I1317" s="55">
        <f t="shared" si="61"/>
        <v>18547060118</v>
      </c>
      <c r="J1317" s="54">
        <v>0</v>
      </c>
      <c r="K1317" s="56">
        <f t="shared" si="60"/>
        <v>18547060118</v>
      </c>
      <c r="L1317" s="37">
        <v>0</v>
      </c>
      <c r="O1317" s="38" t="str">
        <f>IF([1]totrevprm!O1318="","",[1]totrevprm!O1318)</f>
        <v/>
      </c>
      <c r="V1317" s="38"/>
      <c r="W1317" s="58"/>
      <c r="X1317" s="58"/>
      <c r="Y1317" s="58"/>
      <c r="Z1317" s="58"/>
    </row>
    <row r="1318" spans="1:26">
      <c r="A1318" s="50" t="s">
        <v>62</v>
      </c>
      <c r="B1318" s="51" t="s">
        <v>286</v>
      </c>
      <c r="C1318" s="52"/>
      <c r="D1318" s="53">
        <v>2005</v>
      </c>
      <c r="E1318" s="59">
        <v>3864828736</v>
      </c>
      <c r="F1318" s="59">
        <v>4735825309</v>
      </c>
      <c r="G1318" s="59">
        <v>9482567740.5400009</v>
      </c>
      <c r="H1318" s="59">
        <v>765735371</v>
      </c>
      <c r="I1318" s="55">
        <f t="shared" si="61"/>
        <v>18848957156.540001</v>
      </c>
      <c r="J1318" s="54">
        <v>0</v>
      </c>
      <c r="K1318" s="56">
        <f t="shared" si="60"/>
        <v>18848957156.540001</v>
      </c>
      <c r="L1318" s="37">
        <v>0</v>
      </c>
      <c r="O1318" s="38" t="str">
        <f>IF([1]totrevprm!O1319="","",[1]totrevprm!O1319)</f>
        <v/>
      </c>
      <c r="V1318" s="38"/>
      <c r="W1318" s="58"/>
      <c r="X1318" s="58"/>
      <c r="Y1318" s="58"/>
      <c r="Z1318" s="58"/>
    </row>
    <row r="1319" spans="1:26">
      <c r="A1319" s="50" t="s">
        <v>62</v>
      </c>
      <c r="B1319" s="51" t="s">
        <v>286</v>
      </c>
      <c r="C1319" s="52"/>
      <c r="D1319" s="53">
        <v>2006</v>
      </c>
      <c r="E1319" s="37">
        <v>3984767132</v>
      </c>
      <c r="F1319" s="37">
        <v>4919614463</v>
      </c>
      <c r="G1319" s="37">
        <v>10312210172</v>
      </c>
      <c r="H1319" s="37">
        <v>923440738</v>
      </c>
      <c r="I1319" s="55">
        <f t="shared" si="61"/>
        <v>20140032505</v>
      </c>
      <c r="J1319" s="54">
        <v>0</v>
      </c>
      <c r="K1319" s="56">
        <f t="shared" si="60"/>
        <v>20140032505</v>
      </c>
      <c r="L1319" s="37">
        <v>0</v>
      </c>
      <c r="O1319" s="38" t="str">
        <f>IF([1]totrevprm!O1320="","",[1]totrevprm!O1320)</f>
        <v/>
      </c>
      <c r="V1319" s="38"/>
      <c r="W1319" s="58"/>
      <c r="X1319" s="58"/>
      <c r="Y1319" s="58"/>
      <c r="Z1319" s="58"/>
    </row>
    <row r="1320" spans="1:26">
      <c r="A1320" s="50" t="s">
        <v>62</v>
      </c>
      <c r="B1320" s="51" t="s">
        <v>286</v>
      </c>
      <c r="C1320" s="52"/>
      <c r="D1320" s="53">
        <v>2007</v>
      </c>
      <c r="E1320" s="37">
        <v>4338276521</v>
      </c>
      <c r="F1320" s="37">
        <v>4669275115</v>
      </c>
      <c r="G1320" s="37">
        <v>12159708876</v>
      </c>
      <c r="H1320" s="37">
        <v>1721027001</v>
      </c>
      <c r="I1320" s="55">
        <f t="shared" si="61"/>
        <v>22888287513</v>
      </c>
      <c r="J1320" s="54">
        <v>0</v>
      </c>
      <c r="K1320" s="56">
        <f t="shared" si="60"/>
        <v>22888287513</v>
      </c>
      <c r="L1320" s="37">
        <v>0</v>
      </c>
      <c r="O1320" s="38" t="str">
        <f>IF([1]totrevprm!O1321="","",[1]totrevprm!O1321)</f>
        <v/>
      </c>
      <c r="V1320" s="38"/>
      <c r="W1320" s="58"/>
      <c r="X1320" s="58"/>
      <c r="Y1320" s="58"/>
      <c r="Z1320" s="58"/>
    </row>
    <row r="1321" spans="1:26">
      <c r="A1321" s="50" t="s">
        <v>62</v>
      </c>
      <c r="B1321" s="51" t="s">
        <v>286</v>
      </c>
      <c r="C1321" s="52"/>
      <c r="D1321" s="53">
        <v>2008</v>
      </c>
      <c r="E1321" s="37">
        <v>4205635348</v>
      </c>
      <c r="F1321" s="37">
        <v>6375631631</v>
      </c>
      <c r="G1321" s="37">
        <v>13636581477</v>
      </c>
      <c r="H1321" s="37">
        <v>1117437730</v>
      </c>
      <c r="I1321" s="55">
        <f t="shared" si="61"/>
        <v>25335286186</v>
      </c>
      <c r="J1321" s="54">
        <v>0</v>
      </c>
      <c r="K1321" s="56">
        <f t="shared" si="60"/>
        <v>25335286186</v>
      </c>
      <c r="L1321" s="37">
        <v>0</v>
      </c>
      <c r="O1321" s="38" t="str">
        <f>IF([1]totrevprm!O1322="","",[1]totrevprm!O1322)</f>
        <v/>
      </c>
      <c r="V1321" s="38"/>
      <c r="W1321" s="58"/>
      <c r="X1321" s="58"/>
      <c r="Y1321" s="58"/>
      <c r="Z1321" s="58"/>
    </row>
    <row r="1322" spans="1:26">
      <c r="A1322" s="50" t="s">
        <v>62</v>
      </c>
      <c r="B1322" s="51" t="s">
        <v>286</v>
      </c>
      <c r="C1322" s="52"/>
      <c r="D1322" s="53">
        <v>2009</v>
      </c>
      <c r="E1322" s="37">
        <v>4377338672</v>
      </c>
      <c r="F1322" s="37">
        <v>6768188993</v>
      </c>
      <c r="G1322" s="37">
        <v>12979757689</v>
      </c>
      <c r="H1322" s="37">
        <v>1032084271</v>
      </c>
      <c r="I1322" s="55">
        <f t="shared" si="61"/>
        <v>25157369625</v>
      </c>
      <c r="J1322" s="54">
        <v>0</v>
      </c>
      <c r="K1322" s="56">
        <f t="shared" si="60"/>
        <v>25157369625</v>
      </c>
      <c r="L1322" s="37">
        <v>0</v>
      </c>
      <c r="O1322" s="38" t="str">
        <f>IF([1]totrevprm!O1323="","",[1]totrevprm!O1323)</f>
        <v/>
      </c>
      <c r="V1322" s="38"/>
      <c r="W1322" s="58"/>
      <c r="X1322" s="58"/>
      <c r="Y1322" s="58"/>
      <c r="Z1322" s="58"/>
    </row>
    <row r="1323" spans="1:26">
      <c r="A1323" s="50" t="s">
        <v>62</v>
      </c>
      <c r="B1323" s="51" t="s">
        <v>286</v>
      </c>
      <c r="C1323" s="52"/>
      <c r="D1323" s="53">
        <v>2010</v>
      </c>
      <c r="E1323" s="37">
        <v>4493941797</v>
      </c>
      <c r="F1323" s="37">
        <v>5341130707</v>
      </c>
      <c r="G1323" s="37">
        <v>12535711315</v>
      </c>
      <c r="H1323" s="37">
        <v>959268409</v>
      </c>
      <c r="I1323" s="55">
        <f t="shared" si="61"/>
        <v>23330052228</v>
      </c>
      <c r="J1323" s="54">
        <v>0</v>
      </c>
      <c r="K1323" s="56">
        <f t="shared" si="60"/>
        <v>23330052228</v>
      </c>
      <c r="L1323" s="37">
        <v>0</v>
      </c>
      <c r="O1323" s="38" t="str">
        <f>IF([1]totrevprm!O1324="","",[1]totrevprm!O1324)</f>
        <v/>
      </c>
      <c r="V1323" s="38"/>
      <c r="W1323" s="58"/>
      <c r="X1323" s="58"/>
      <c r="Y1323" s="58"/>
      <c r="Z1323" s="58"/>
    </row>
    <row r="1324" spans="1:26">
      <c r="A1324" s="50" t="s">
        <v>62</v>
      </c>
      <c r="B1324" s="51" t="s">
        <v>286</v>
      </c>
      <c r="C1324" s="52"/>
      <c r="D1324" s="53">
        <v>2011</v>
      </c>
      <c r="E1324" s="37">
        <v>4698775431</v>
      </c>
      <c r="F1324" s="37">
        <v>5152996658</v>
      </c>
      <c r="G1324" s="37">
        <v>12763839132.32</v>
      </c>
      <c r="H1324" s="37">
        <v>921751361</v>
      </c>
      <c r="I1324" s="55">
        <f t="shared" si="61"/>
        <v>23537362582.32</v>
      </c>
      <c r="J1324" s="54">
        <v>0</v>
      </c>
      <c r="K1324" s="56">
        <f t="shared" si="60"/>
        <v>23537362582.32</v>
      </c>
      <c r="L1324" s="37">
        <v>0</v>
      </c>
      <c r="O1324" s="38" t="str">
        <f>IF([1]totrevprm!O1325="","",[1]totrevprm!O1325)</f>
        <v/>
      </c>
      <c r="V1324" s="38"/>
      <c r="W1324" s="58"/>
      <c r="X1324" s="58"/>
      <c r="Y1324" s="58"/>
      <c r="Z1324" s="58"/>
    </row>
    <row r="1325" spans="1:26">
      <c r="A1325" s="50" t="s">
        <v>62</v>
      </c>
      <c r="B1325" s="51" t="s">
        <v>286</v>
      </c>
      <c r="C1325" s="52"/>
      <c r="D1325" s="53">
        <v>2012</v>
      </c>
      <c r="E1325" s="37">
        <v>4824912735</v>
      </c>
      <c r="F1325" s="37">
        <v>6747281598</v>
      </c>
      <c r="G1325" s="37">
        <v>13241635224</v>
      </c>
      <c r="H1325" s="37">
        <v>1058746791</v>
      </c>
      <c r="I1325" s="55">
        <f t="shared" si="61"/>
        <v>25872576348</v>
      </c>
      <c r="J1325" s="54">
        <v>0</v>
      </c>
      <c r="K1325" s="56">
        <f t="shared" si="60"/>
        <v>25872576348</v>
      </c>
      <c r="L1325" s="37">
        <v>0</v>
      </c>
      <c r="O1325" s="38" t="str">
        <f>IF([1]totrevprm!O1326="","",[1]totrevprm!O1326)</f>
        <v/>
      </c>
      <c r="V1325" s="38"/>
      <c r="W1325" s="58"/>
      <c r="X1325" s="58"/>
      <c r="Y1325" s="58"/>
      <c r="Z1325" s="58"/>
    </row>
    <row r="1326" spans="1:26">
      <c r="A1326" s="50" t="s">
        <v>62</v>
      </c>
      <c r="B1326" s="51" t="s">
        <v>286</v>
      </c>
      <c r="C1326" s="52"/>
      <c r="D1326" s="53">
        <v>2013</v>
      </c>
      <c r="E1326" s="37">
        <v>4810908862</v>
      </c>
      <c r="F1326" s="37">
        <v>5069882260</v>
      </c>
      <c r="G1326" s="37">
        <v>14690651849</v>
      </c>
      <c r="H1326" s="37">
        <v>2215424951</v>
      </c>
      <c r="I1326" s="55">
        <f t="shared" si="61"/>
        <v>26786867922</v>
      </c>
      <c r="J1326" s="54">
        <v>0</v>
      </c>
      <c r="K1326" s="56">
        <f t="shared" si="60"/>
        <v>26786867922</v>
      </c>
      <c r="L1326" s="37">
        <v>0</v>
      </c>
      <c r="O1326" s="38" t="str">
        <f>IF([1]totrevprm!O1327="","",[1]totrevprm!O1327)</f>
        <v/>
      </c>
      <c r="V1326" s="38"/>
      <c r="W1326" s="58"/>
      <c r="X1326" s="58"/>
      <c r="Y1326" s="58"/>
      <c r="Z1326" s="58"/>
    </row>
    <row r="1327" spans="1:26">
      <c r="A1327" s="50" t="s">
        <v>62</v>
      </c>
      <c r="B1327" s="51" t="s">
        <v>286</v>
      </c>
      <c r="C1327" s="52"/>
      <c r="D1327" s="53">
        <v>2014</v>
      </c>
      <c r="E1327" s="37">
        <v>4778008509</v>
      </c>
      <c r="F1327" s="37">
        <v>5616817221</v>
      </c>
      <c r="G1327" s="37">
        <v>14933131311.83</v>
      </c>
      <c r="H1327" s="37">
        <v>1137114161</v>
      </c>
      <c r="I1327" s="55">
        <f t="shared" si="61"/>
        <v>26465071202.830002</v>
      </c>
      <c r="J1327" s="54">
        <v>0</v>
      </c>
      <c r="K1327" s="56">
        <f t="shared" si="60"/>
        <v>26465071202.830002</v>
      </c>
      <c r="L1327" s="37">
        <v>0</v>
      </c>
      <c r="O1327" s="38" t="str">
        <f>IF([1]totrevprm!O1328="","",[1]totrevprm!O1328)</f>
        <v/>
      </c>
      <c r="V1327" s="38"/>
      <c r="W1327" s="58"/>
      <c r="X1327" s="58"/>
      <c r="Y1327" s="58"/>
      <c r="Z1327" s="58"/>
    </row>
    <row r="1328" spans="1:26">
      <c r="A1328" s="50" t="s">
        <v>62</v>
      </c>
      <c r="B1328" s="51" t="s">
        <v>286</v>
      </c>
      <c r="C1328" s="52"/>
      <c r="D1328" s="53">
        <v>2015</v>
      </c>
      <c r="E1328" s="37">
        <v>4863396473</v>
      </c>
      <c r="F1328" s="37">
        <v>7769775441</v>
      </c>
      <c r="G1328" s="37">
        <v>10757579233</v>
      </c>
      <c r="H1328" s="37">
        <v>1121567729</v>
      </c>
      <c r="I1328" s="55">
        <f t="shared" si="61"/>
        <v>24512318876</v>
      </c>
      <c r="J1328" s="54">
        <v>0</v>
      </c>
      <c r="K1328" s="56">
        <f t="shared" si="60"/>
        <v>24512318876</v>
      </c>
      <c r="L1328" s="37">
        <v>0</v>
      </c>
      <c r="O1328" s="38" t="str">
        <f>IF([1]totrevprm!O1329="","",[1]totrevprm!O1329)</f>
        <v/>
      </c>
      <c r="P1328" s="35">
        <v>797022563.32766223</v>
      </c>
      <c r="Q1328" s="35">
        <v>347080103.35985076</v>
      </c>
      <c r="V1328" s="38"/>
      <c r="W1328" s="58"/>
      <c r="X1328" s="58"/>
      <c r="Y1328" s="58"/>
      <c r="Z1328" s="58"/>
    </row>
    <row r="1329" spans="1:26">
      <c r="A1329" s="50" t="s">
        <v>62</v>
      </c>
      <c r="B1329" s="51" t="s">
        <v>286</v>
      </c>
      <c r="C1329" s="52"/>
      <c r="D1329" s="53">
        <v>2016</v>
      </c>
      <c r="E1329" s="37">
        <v>4990334297</v>
      </c>
      <c r="F1329" s="37">
        <v>6991851413</v>
      </c>
      <c r="G1329" s="37">
        <v>10997951503</v>
      </c>
      <c r="H1329" s="37">
        <v>1047076352</v>
      </c>
      <c r="I1329" s="55">
        <f t="shared" si="61"/>
        <v>24027213565</v>
      </c>
      <c r="J1329" s="54">
        <v>0</v>
      </c>
      <c r="K1329" s="56">
        <f t="shared" si="60"/>
        <v>24027213565</v>
      </c>
      <c r="L1329" s="37">
        <v>0</v>
      </c>
      <c r="O1329" s="38" t="str">
        <f>IF([1]totrevprm!O1330="","",[1]totrevprm!O1330)</f>
        <v/>
      </c>
      <c r="P1329" s="35">
        <v>803631679.04016852</v>
      </c>
      <c r="Q1329" s="35">
        <v>349851189.44375938</v>
      </c>
      <c r="V1329" s="38"/>
      <c r="W1329" s="58"/>
      <c r="X1329" s="58"/>
      <c r="Y1329" s="58"/>
      <c r="Z1329" s="58"/>
    </row>
    <row r="1330" spans="1:26">
      <c r="A1330" s="50" t="s">
        <v>62</v>
      </c>
      <c r="B1330" s="51" t="s">
        <v>286</v>
      </c>
      <c r="C1330" s="52"/>
      <c r="D1330" s="53">
        <v>2017</v>
      </c>
      <c r="E1330" s="37">
        <v>5017054648</v>
      </c>
      <c r="F1330" s="37">
        <v>8517829117</v>
      </c>
      <c r="G1330" s="37">
        <v>10684891415.639999</v>
      </c>
      <c r="H1330" s="37">
        <v>749589358</v>
      </c>
      <c r="I1330" s="55">
        <f t="shared" si="61"/>
        <v>24969364538.639999</v>
      </c>
      <c r="J1330" s="54">
        <v>0</v>
      </c>
      <c r="K1330" s="56">
        <f t="shared" si="60"/>
        <v>24969364538.639999</v>
      </c>
      <c r="L1330" s="37">
        <v>0</v>
      </c>
      <c r="O1330" s="38" t="str">
        <f>IF([1]totrevprm!O1331="","",[1]totrevprm!O1331)</f>
        <v/>
      </c>
      <c r="P1330" s="35">
        <v>848391938.67847693</v>
      </c>
      <c r="Q1330" s="35">
        <v>347388601.97889769</v>
      </c>
      <c r="V1330" s="38"/>
      <c r="W1330" s="58"/>
      <c r="X1330" s="58"/>
      <c r="Y1330" s="58"/>
      <c r="Z1330" s="58"/>
    </row>
    <row r="1331" spans="1:26">
      <c r="A1331" s="50" t="s">
        <v>62</v>
      </c>
      <c r="B1331" s="51" t="s">
        <v>286</v>
      </c>
      <c r="C1331" s="52"/>
      <c r="D1331" s="53">
        <v>2018</v>
      </c>
      <c r="E1331" s="37">
        <v>5052700905</v>
      </c>
      <c r="F1331" s="37">
        <v>8793711586</v>
      </c>
      <c r="G1331" s="37">
        <v>10376427598.299999</v>
      </c>
      <c r="H1331" s="37">
        <v>799379630</v>
      </c>
      <c r="I1331" s="55">
        <f t="shared" si="61"/>
        <v>25022219719.299999</v>
      </c>
      <c r="J1331" s="54">
        <v>0</v>
      </c>
      <c r="K1331" s="56">
        <f t="shared" si="60"/>
        <v>25022219719.299999</v>
      </c>
      <c r="L1331" s="60">
        <v>0</v>
      </c>
      <c r="O1331" s="38" t="str">
        <f>IF([1]totrevprm!O1332="","",[1]totrevprm!O1332)</f>
        <v/>
      </c>
      <c r="P1331" s="35">
        <v>876699355.00303209</v>
      </c>
      <c r="Q1331" s="35">
        <v>338397784.83537453</v>
      </c>
      <c r="V1331" s="38"/>
      <c r="W1331" s="58"/>
      <c r="X1331" s="58"/>
      <c r="Y1331" s="58"/>
      <c r="Z1331" s="58"/>
    </row>
    <row r="1332" spans="1:26">
      <c r="A1332" s="50" t="s">
        <v>62</v>
      </c>
      <c r="B1332" s="51" t="s">
        <v>286</v>
      </c>
      <c r="C1332" s="52"/>
      <c r="D1332" s="53">
        <v>2019</v>
      </c>
      <c r="E1332" s="37">
        <v>5118727523</v>
      </c>
      <c r="F1332" s="37">
        <v>9120481250</v>
      </c>
      <c r="G1332" s="37">
        <v>10439550328.592899</v>
      </c>
      <c r="H1332" s="37">
        <v>1614738247</v>
      </c>
      <c r="I1332" s="55">
        <f t="shared" si="61"/>
        <v>26293497348.592899</v>
      </c>
      <c r="J1332" s="54">
        <v>0</v>
      </c>
      <c r="K1332" s="56">
        <f t="shared" si="60"/>
        <v>26293497348.592899</v>
      </c>
      <c r="L1332" s="60">
        <v>0</v>
      </c>
      <c r="O1332" s="38" t="str">
        <f>IF([1]totrevprm!O1333="","",[1]totrevprm!O1333)</f>
        <v/>
      </c>
      <c r="P1332" s="35">
        <v>883979776.07318068</v>
      </c>
      <c r="Q1332" s="35">
        <v>346012339.93560255</v>
      </c>
      <c r="V1332" s="38"/>
      <c r="W1332" s="58"/>
      <c r="X1332" s="58"/>
      <c r="Y1332" s="58"/>
      <c r="Z1332" s="58"/>
    </row>
    <row r="1333" spans="1:26">
      <c r="A1333" s="50" t="s">
        <v>62</v>
      </c>
      <c r="B1333" s="51" t="s">
        <v>286</v>
      </c>
      <c r="C1333" s="52"/>
      <c r="D1333" s="53">
        <v>2020</v>
      </c>
      <c r="E1333" s="37">
        <v>5204244682</v>
      </c>
      <c r="F1333" s="37">
        <v>8964390480</v>
      </c>
      <c r="G1333" s="37">
        <v>10180912524</v>
      </c>
      <c r="H1333" s="37">
        <v>1021753855</v>
      </c>
      <c r="I1333" s="55">
        <f t="shared" si="61"/>
        <v>25371301541</v>
      </c>
      <c r="J1333" s="54">
        <v>0</v>
      </c>
      <c r="K1333" s="56">
        <f t="shared" si="60"/>
        <v>25371301541</v>
      </c>
      <c r="L1333" s="60">
        <v>0</v>
      </c>
      <c r="O1333" s="38" t="str">
        <f>IF([1]totrevprm!O1334="","",[1]totrevprm!O1334)</f>
        <v/>
      </c>
      <c r="P1333" s="35">
        <v>906811183</v>
      </c>
      <c r="Q1333" s="35">
        <v>331752272</v>
      </c>
      <c r="V1333" s="38"/>
      <c r="W1333" s="58"/>
      <c r="X1333" s="58"/>
      <c r="Y1333" s="58"/>
      <c r="Z1333" s="58"/>
    </row>
    <row r="1334" spans="1:26">
      <c r="A1334" s="50" t="s">
        <v>62</v>
      </c>
      <c r="B1334" s="51" t="s">
        <v>286</v>
      </c>
      <c r="C1334" s="52"/>
      <c r="D1334" s="53">
        <v>2021</v>
      </c>
      <c r="E1334" s="37">
        <v>5703110431</v>
      </c>
      <c r="F1334" s="37">
        <v>10008391325</v>
      </c>
      <c r="G1334" s="37">
        <v>10205349821.139999</v>
      </c>
      <c r="H1334" s="37">
        <v>574258617</v>
      </c>
      <c r="I1334" s="55">
        <f t="shared" si="61"/>
        <v>26491110194.139999</v>
      </c>
      <c r="J1334" s="54">
        <v>0</v>
      </c>
      <c r="K1334" s="56">
        <f t="shared" si="60"/>
        <v>26491110194.139999</v>
      </c>
      <c r="L1334" s="60">
        <v>0</v>
      </c>
      <c r="O1334" s="38"/>
      <c r="P1334" s="35">
        <v>889328842.86000001</v>
      </c>
      <c r="Q1334" s="35">
        <v>346971958</v>
      </c>
      <c r="V1334" s="38"/>
      <c r="W1334" s="58"/>
      <c r="X1334" s="58"/>
      <c r="Y1334" s="58"/>
      <c r="Z1334" s="58"/>
    </row>
    <row r="1335" spans="1:26">
      <c r="A1335" s="50" t="s">
        <v>62</v>
      </c>
      <c r="B1335" s="51" t="s">
        <v>286</v>
      </c>
      <c r="C1335" s="52"/>
      <c r="D1335" s="53">
        <v>2022</v>
      </c>
      <c r="E1335" s="37">
        <v>5540500498</v>
      </c>
      <c r="F1335" s="37">
        <v>12512082608</v>
      </c>
      <c r="G1335" s="37">
        <v>12422638652</v>
      </c>
      <c r="H1335" s="37">
        <v>667583964</v>
      </c>
      <c r="I1335" s="55">
        <f t="shared" si="61"/>
        <v>31142805722</v>
      </c>
      <c r="J1335" s="54">
        <v>0</v>
      </c>
      <c r="K1335" s="56">
        <f t="shared" si="60"/>
        <v>31142805722</v>
      </c>
      <c r="L1335" s="60">
        <v>0</v>
      </c>
      <c r="M1335" s="67" t="s">
        <v>739</v>
      </c>
      <c r="O1335" s="38" t="str">
        <f>IF([1]totrevprm!O1338="","",[1]totrevprm!O1338)</f>
        <v/>
      </c>
      <c r="P1335" s="60">
        <v>925888032</v>
      </c>
      <c r="Q1335" s="60">
        <v>333640373</v>
      </c>
    </row>
    <row r="1336" spans="1:26">
      <c r="A1336" s="50" t="s">
        <v>62</v>
      </c>
      <c r="B1336" s="51" t="s">
        <v>286</v>
      </c>
      <c r="C1336" s="52"/>
      <c r="D1336" s="53">
        <v>2023</v>
      </c>
      <c r="E1336" s="37">
        <v>5662904274</v>
      </c>
      <c r="F1336" s="37">
        <v>16655538218.1775</v>
      </c>
      <c r="G1336" s="37">
        <v>12903755177.2589</v>
      </c>
      <c r="H1336" s="37">
        <v>653446337</v>
      </c>
      <c r="I1336" s="55">
        <f t="shared" si="61"/>
        <v>35875644006.436401</v>
      </c>
      <c r="K1336" s="56">
        <f t="shared" si="60"/>
        <v>35875644006.436401</v>
      </c>
      <c r="L1336" s="37">
        <v>0</v>
      </c>
      <c r="M1336" s="67" t="s">
        <v>739</v>
      </c>
      <c r="O1336" s="38"/>
      <c r="P1336" s="60">
        <v>1053845510.54</v>
      </c>
      <c r="Q1336" s="60">
        <v>338567515</v>
      </c>
    </row>
    <row r="1337" spans="1:26">
      <c r="A1337" s="50"/>
      <c r="B1337" s="52"/>
      <c r="C1337" s="52"/>
      <c r="E1337" s="54"/>
      <c r="F1337" s="54"/>
      <c r="G1337" s="54"/>
      <c r="H1337" s="54"/>
      <c r="I1337" s="55"/>
      <c r="K1337" s="65"/>
      <c r="L1337" s="37"/>
      <c r="O1337" s="38"/>
    </row>
    <row r="1338" spans="1:26">
      <c r="A1338" s="50" t="s">
        <v>63</v>
      </c>
      <c r="B1338" s="51" t="s">
        <v>245</v>
      </c>
      <c r="C1338" s="52" t="s">
        <v>730</v>
      </c>
      <c r="D1338" s="53">
        <v>1988</v>
      </c>
      <c r="E1338" s="54">
        <v>616592071</v>
      </c>
      <c r="F1338" s="54">
        <v>419483946</v>
      </c>
      <c r="G1338" s="54">
        <v>642145110</v>
      </c>
      <c r="H1338" s="54">
        <v>0</v>
      </c>
      <c r="I1338" s="55">
        <f t="shared" si="61"/>
        <v>1678221127</v>
      </c>
      <c r="J1338" s="54">
        <v>-6724697</v>
      </c>
      <c r="K1338" s="56">
        <f>SUM(I1338:J1338)</f>
        <v>1671496430</v>
      </c>
      <c r="L1338" s="37">
        <v>0</v>
      </c>
      <c r="O1338" s="38" t="str">
        <f>IF([1]totrevprm!O1339="","",[1]totrevprm!O1339)</f>
        <v/>
      </c>
    </row>
    <row r="1339" spans="1:26">
      <c r="A1339" s="50" t="s">
        <v>63</v>
      </c>
      <c r="B1339" s="51" t="s">
        <v>245</v>
      </c>
      <c r="C1339" s="52" t="s">
        <v>731</v>
      </c>
      <c r="D1339" s="53">
        <v>1989</v>
      </c>
      <c r="E1339" s="54">
        <v>588134826</v>
      </c>
      <c r="F1339" s="54">
        <v>444775606</v>
      </c>
      <c r="G1339" s="54">
        <v>698963531</v>
      </c>
      <c r="H1339" s="54">
        <v>0</v>
      </c>
      <c r="I1339" s="55">
        <f t="shared" si="61"/>
        <v>1731873963</v>
      </c>
      <c r="J1339" s="54">
        <v>-969540</v>
      </c>
      <c r="K1339" s="56">
        <f t="shared" ref="K1339:K1373" si="62">SUM(I1339:J1339)</f>
        <v>1730904423</v>
      </c>
      <c r="L1339" s="37">
        <v>0</v>
      </c>
      <c r="O1339" s="38" t="str">
        <f>IF([1]totrevprm!O1340="","",[1]totrevprm!O1340)</f>
        <v/>
      </c>
    </row>
    <row r="1340" spans="1:26">
      <c r="A1340" s="50" t="s">
        <v>63</v>
      </c>
      <c r="B1340" s="51" t="s">
        <v>245</v>
      </c>
      <c r="C1340" s="52" t="s">
        <v>731</v>
      </c>
      <c r="D1340" s="53">
        <v>1990</v>
      </c>
      <c r="E1340" s="54">
        <v>612296761</v>
      </c>
      <c r="F1340" s="54">
        <v>543871818.07999992</v>
      </c>
      <c r="G1340" s="54">
        <v>733415184</v>
      </c>
      <c r="H1340" s="54">
        <v>0</v>
      </c>
      <c r="I1340" s="55">
        <f t="shared" si="61"/>
        <v>1889583763.0799999</v>
      </c>
      <c r="J1340" s="54">
        <v>-6132457</v>
      </c>
      <c r="K1340" s="56">
        <f t="shared" si="62"/>
        <v>1883451306.0799999</v>
      </c>
      <c r="L1340" s="37">
        <v>0</v>
      </c>
      <c r="O1340" s="38" t="str">
        <f>IF([1]totrevprm!O1341="","",[1]totrevprm!O1341)</f>
        <v/>
      </c>
    </row>
    <row r="1341" spans="1:26">
      <c r="A1341" s="50" t="s">
        <v>63</v>
      </c>
      <c r="B1341" s="51" t="s">
        <v>245</v>
      </c>
      <c r="C1341" s="52" t="s">
        <v>731</v>
      </c>
      <c r="D1341" s="53">
        <v>1991</v>
      </c>
      <c r="E1341" s="54">
        <v>668388118</v>
      </c>
      <c r="F1341" s="54">
        <v>578791425</v>
      </c>
      <c r="G1341" s="54">
        <v>784259157</v>
      </c>
      <c r="H1341" s="54">
        <v>0</v>
      </c>
      <c r="I1341" s="55">
        <f t="shared" si="61"/>
        <v>2031438700</v>
      </c>
      <c r="J1341" s="54">
        <v>-2018740</v>
      </c>
      <c r="K1341" s="56">
        <f t="shared" si="62"/>
        <v>2029419960</v>
      </c>
      <c r="L1341" s="37">
        <v>0</v>
      </c>
      <c r="O1341" s="38" t="str">
        <f>IF([1]totrevprm!O1342="","",[1]totrevprm!O1342)</f>
        <v/>
      </c>
    </row>
    <row r="1342" spans="1:26">
      <c r="A1342" s="50" t="s">
        <v>63</v>
      </c>
      <c r="B1342" s="51" t="s">
        <v>245</v>
      </c>
      <c r="C1342" s="52" t="s">
        <v>731</v>
      </c>
      <c r="D1342" s="53">
        <v>1992</v>
      </c>
      <c r="E1342" s="54">
        <v>707696169</v>
      </c>
      <c r="F1342" s="54">
        <v>629789857.84000003</v>
      </c>
      <c r="G1342" s="54">
        <v>845953596</v>
      </c>
      <c r="H1342" s="54">
        <v>0</v>
      </c>
      <c r="I1342" s="55">
        <f t="shared" si="61"/>
        <v>2183439622.8400002</v>
      </c>
      <c r="J1342" s="54">
        <v>-249088</v>
      </c>
      <c r="K1342" s="56">
        <f t="shared" si="62"/>
        <v>2183190534.8400002</v>
      </c>
      <c r="L1342" s="37">
        <v>0</v>
      </c>
      <c r="O1342" s="38" t="str">
        <f>IF([1]totrevprm!O1343="","",[1]totrevprm!O1343)</f>
        <v/>
      </c>
    </row>
    <row r="1343" spans="1:26">
      <c r="A1343" s="50" t="s">
        <v>63</v>
      </c>
      <c r="B1343" s="51" t="s">
        <v>245</v>
      </c>
      <c r="C1343" s="52" t="s">
        <v>731</v>
      </c>
      <c r="D1343" s="53">
        <v>1993</v>
      </c>
      <c r="E1343" s="54">
        <v>724875640</v>
      </c>
      <c r="F1343" s="54">
        <v>536701938</v>
      </c>
      <c r="G1343" s="54">
        <v>1071589567</v>
      </c>
      <c r="H1343" s="54">
        <v>0</v>
      </c>
      <c r="I1343" s="55">
        <f t="shared" si="61"/>
        <v>2333167145</v>
      </c>
      <c r="J1343" s="54">
        <v>-17561</v>
      </c>
      <c r="K1343" s="56">
        <f t="shared" si="62"/>
        <v>2333149584</v>
      </c>
      <c r="L1343" s="37">
        <v>0</v>
      </c>
      <c r="O1343" s="38" t="str">
        <f>IF([1]totrevprm!O1344="","",[1]totrevprm!O1344)</f>
        <v/>
      </c>
    </row>
    <row r="1344" spans="1:26">
      <c r="A1344" s="50" t="s">
        <v>63</v>
      </c>
      <c r="B1344" s="51" t="s">
        <v>245</v>
      </c>
      <c r="C1344" s="52" t="s">
        <v>731</v>
      </c>
      <c r="D1344" s="53">
        <v>1994</v>
      </c>
      <c r="E1344" s="54">
        <v>792088110</v>
      </c>
      <c r="F1344" s="54">
        <v>582260416</v>
      </c>
      <c r="G1344" s="54">
        <v>1080525188</v>
      </c>
      <c r="H1344" s="54">
        <v>0</v>
      </c>
      <c r="I1344" s="55">
        <f t="shared" si="61"/>
        <v>2454873714</v>
      </c>
      <c r="J1344" s="54">
        <v>-901918</v>
      </c>
      <c r="K1344" s="56">
        <f t="shared" si="62"/>
        <v>2453971796</v>
      </c>
      <c r="L1344" s="37">
        <v>0</v>
      </c>
      <c r="O1344" s="38" t="str">
        <f>IF([1]totrevprm!O1345="","",[1]totrevprm!O1345)</f>
        <v/>
      </c>
    </row>
    <row r="1345" spans="1:26">
      <c r="A1345" s="50" t="s">
        <v>63</v>
      </c>
      <c r="B1345" s="51" t="s">
        <v>245</v>
      </c>
      <c r="C1345" s="52" t="s">
        <v>731</v>
      </c>
      <c r="D1345" s="53">
        <v>1995</v>
      </c>
      <c r="E1345" s="54">
        <v>814360950</v>
      </c>
      <c r="F1345" s="54">
        <v>620410943</v>
      </c>
      <c r="G1345" s="54">
        <v>1125179250</v>
      </c>
      <c r="H1345" s="54">
        <v>0</v>
      </c>
      <c r="I1345" s="55">
        <f t="shared" si="61"/>
        <v>2559951143</v>
      </c>
      <c r="J1345" s="54">
        <v>-2302058</v>
      </c>
      <c r="K1345" s="56">
        <f t="shared" si="62"/>
        <v>2557649085</v>
      </c>
      <c r="L1345" s="37">
        <v>0</v>
      </c>
      <c r="O1345" s="38" t="str">
        <f>IF([1]totrevprm!O1346="","",[1]totrevprm!O1346)</f>
        <v/>
      </c>
    </row>
    <row r="1346" spans="1:26">
      <c r="A1346" s="50" t="s">
        <v>63</v>
      </c>
      <c r="B1346" s="51" t="s">
        <v>245</v>
      </c>
      <c r="C1346" s="52" t="s">
        <v>731</v>
      </c>
      <c r="D1346" s="53">
        <v>1996</v>
      </c>
      <c r="E1346" s="54">
        <v>789424307</v>
      </c>
      <c r="F1346" s="54">
        <v>490109556</v>
      </c>
      <c r="G1346" s="54">
        <v>1184654949</v>
      </c>
      <c r="H1346" s="54">
        <v>0</v>
      </c>
      <c r="I1346" s="55">
        <f t="shared" si="61"/>
        <v>2464188812</v>
      </c>
      <c r="J1346" s="54">
        <v>-3116113</v>
      </c>
      <c r="K1346" s="56">
        <f t="shared" si="62"/>
        <v>2461072699</v>
      </c>
      <c r="L1346" s="37">
        <v>0</v>
      </c>
      <c r="O1346" s="38" t="str">
        <f>IF([1]totrevprm!O1347="","",[1]totrevprm!O1347)</f>
        <v/>
      </c>
    </row>
    <row r="1347" spans="1:26">
      <c r="A1347" s="50" t="s">
        <v>63</v>
      </c>
      <c r="B1347" s="51" t="s">
        <v>245</v>
      </c>
      <c r="C1347" s="52" t="s">
        <v>731</v>
      </c>
      <c r="D1347" s="53">
        <v>1997</v>
      </c>
      <c r="E1347" s="54">
        <v>770220072</v>
      </c>
      <c r="F1347" s="54">
        <v>494871326</v>
      </c>
      <c r="G1347" s="54">
        <v>1244437896</v>
      </c>
      <c r="H1347" s="54">
        <v>0</v>
      </c>
      <c r="I1347" s="55">
        <f t="shared" si="61"/>
        <v>2509529294</v>
      </c>
      <c r="J1347" s="54">
        <v>-2639452</v>
      </c>
      <c r="K1347" s="56">
        <f t="shared" si="62"/>
        <v>2506889842</v>
      </c>
      <c r="L1347" s="37">
        <v>0</v>
      </c>
      <c r="O1347" s="38" t="str">
        <f>IF([1]totrevprm!O1348="","",[1]totrevprm!O1348)</f>
        <v/>
      </c>
    </row>
    <row r="1348" spans="1:26">
      <c r="A1348" s="50" t="s">
        <v>63</v>
      </c>
      <c r="B1348" s="51" t="s">
        <v>245</v>
      </c>
      <c r="C1348" s="52" t="s">
        <v>731</v>
      </c>
      <c r="D1348" s="53">
        <v>1998</v>
      </c>
      <c r="E1348" s="54">
        <v>776113533</v>
      </c>
      <c r="F1348" s="54">
        <v>475026538</v>
      </c>
      <c r="G1348" s="54">
        <v>1310866836</v>
      </c>
      <c r="H1348" s="54">
        <v>0</v>
      </c>
      <c r="I1348" s="55">
        <f t="shared" si="61"/>
        <v>2562006907</v>
      </c>
      <c r="J1348" s="54">
        <v>-13785373</v>
      </c>
      <c r="K1348" s="56">
        <f t="shared" si="62"/>
        <v>2548221534</v>
      </c>
      <c r="L1348" s="37">
        <v>0</v>
      </c>
      <c r="O1348" s="38" t="str">
        <f>IF([1]totrevprm!O1349="","",[1]totrevprm!O1349)</f>
        <v/>
      </c>
    </row>
    <row r="1349" spans="1:26">
      <c r="A1349" s="50" t="s">
        <v>63</v>
      </c>
      <c r="B1349" s="51" t="s">
        <v>245</v>
      </c>
      <c r="C1349" s="52" t="s">
        <v>731</v>
      </c>
      <c r="D1349" s="53">
        <v>1999</v>
      </c>
      <c r="E1349" s="54">
        <v>780537634</v>
      </c>
      <c r="F1349" s="54">
        <v>618103240</v>
      </c>
      <c r="G1349" s="54">
        <v>1300192293</v>
      </c>
      <c r="H1349" s="54">
        <v>0</v>
      </c>
      <c r="I1349" s="55">
        <f t="shared" si="61"/>
        <v>2698833167</v>
      </c>
      <c r="J1349" s="54">
        <v>-174562</v>
      </c>
      <c r="K1349" s="56">
        <f t="shared" si="62"/>
        <v>2698658605</v>
      </c>
      <c r="L1349" s="37">
        <v>0</v>
      </c>
      <c r="O1349" s="38" t="str">
        <f>IF([1]totrevprm!O1350="","",[1]totrevprm!O1350)</f>
        <v/>
      </c>
    </row>
    <row r="1350" spans="1:26">
      <c r="A1350" s="50" t="s">
        <v>63</v>
      </c>
      <c r="B1350" s="51" t="s">
        <v>245</v>
      </c>
      <c r="C1350" s="52" t="s">
        <v>731</v>
      </c>
      <c r="D1350" s="53">
        <v>2000</v>
      </c>
      <c r="E1350" s="54">
        <v>811989165</v>
      </c>
      <c r="F1350" s="54">
        <v>698871483</v>
      </c>
      <c r="G1350" s="54">
        <v>1371204007</v>
      </c>
      <c r="H1350" s="54">
        <v>0</v>
      </c>
      <c r="I1350" s="55">
        <f t="shared" si="61"/>
        <v>2882064655</v>
      </c>
      <c r="J1350" s="54">
        <v>-6466845</v>
      </c>
      <c r="K1350" s="56">
        <f t="shared" si="62"/>
        <v>2875597810</v>
      </c>
      <c r="L1350" s="37">
        <v>0</v>
      </c>
      <c r="O1350" s="38" t="str">
        <f>IF([1]totrevprm!O1351="","",[1]totrevprm!O1351)</f>
        <v/>
      </c>
      <c r="V1350" s="38" t="s">
        <v>245</v>
      </c>
      <c r="W1350" s="58">
        <v>571726</v>
      </c>
      <c r="X1350" s="58">
        <v>2985892</v>
      </c>
      <c r="Y1350" s="58">
        <v>12239093</v>
      </c>
      <c r="Z1350" s="58">
        <v>0</v>
      </c>
    </row>
    <row r="1351" spans="1:26">
      <c r="A1351" s="50" t="s">
        <v>63</v>
      </c>
      <c r="B1351" s="51" t="s">
        <v>245</v>
      </c>
      <c r="C1351" s="52" t="s">
        <v>731</v>
      </c>
      <c r="D1351" s="53">
        <v>2001</v>
      </c>
      <c r="E1351" s="54">
        <v>876872355</v>
      </c>
      <c r="F1351" s="54">
        <v>984869537</v>
      </c>
      <c r="G1351" s="54">
        <v>1495429443</v>
      </c>
      <c r="H1351" s="54">
        <v>0</v>
      </c>
      <c r="I1351" s="55">
        <f t="shared" si="61"/>
        <v>3357171335</v>
      </c>
      <c r="J1351" s="54">
        <v>-838087</v>
      </c>
      <c r="K1351" s="56">
        <f t="shared" si="62"/>
        <v>3356333248</v>
      </c>
      <c r="L1351" s="37">
        <v>0</v>
      </c>
      <c r="O1351" s="38" t="str">
        <f>IF([1]totrevprm!O1352="","",[1]totrevprm!O1352)</f>
        <v/>
      </c>
      <c r="V1351" s="38"/>
      <c r="W1351" s="58"/>
      <c r="X1351" s="58"/>
      <c r="Y1351" s="58"/>
      <c r="Z1351" s="58"/>
    </row>
    <row r="1352" spans="1:26">
      <c r="A1352" s="50" t="s">
        <v>63</v>
      </c>
      <c r="B1352" s="51" t="s">
        <v>245</v>
      </c>
      <c r="C1352" s="52" t="s">
        <v>731</v>
      </c>
      <c r="D1352" s="53">
        <v>2002</v>
      </c>
      <c r="E1352" s="54">
        <v>866788664</v>
      </c>
      <c r="F1352" s="54">
        <v>1205522724</v>
      </c>
      <c r="G1352" s="54">
        <v>1584870053</v>
      </c>
      <c r="H1352" s="54">
        <v>0</v>
      </c>
      <c r="I1352" s="55">
        <f t="shared" si="61"/>
        <v>3657181441</v>
      </c>
      <c r="J1352" s="54">
        <v>-35941</v>
      </c>
      <c r="K1352" s="56">
        <f t="shared" si="62"/>
        <v>3657145500</v>
      </c>
      <c r="L1352" s="37">
        <v>0</v>
      </c>
      <c r="O1352" s="38" t="str">
        <f>IF([1]totrevprm!O1353="","",[1]totrevprm!O1353)</f>
        <v/>
      </c>
      <c r="V1352" s="38"/>
      <c r="W1352" s="58"/>
      <c r="X1352" s="58"/>
      <c r="Y1352" s="58"/>
      <c r="Z1352" s="58"/>
    </row>
    <row r="1353" spans="1:26">
      <c r="A1353" s="50" t="s">
        <v>63</v>
      </c>
      <c r="B1353" s="51" t="s">
        <v>245</v>
      </c>
      <c r="C1353" s="52" t="s">
        <v>731</v>
      </c>
      <c r="D1353" s="53">
        <v>2003</v>
      </c>
      <c r="E1353" s="59">
        <v>911263971</v>
      </c>
      <c r="F1353" s="59">
        <v>1120068031</v>
      </c>
      <c r="G1353" s="59">
        <v>1727633006</v>
      </c>
      <c r="H1353" s="54">
        <v>0</v>
      </c>
      <c r="I1353" s="55">
        <f t="shared" si="61"/>
        <v>3758965008</v>
      </c>
      <c r="J1353" s="54">
        <v>-3998</v>
      </c>
      <c r="K1353" s="56">
        <f t="shared" si="62"/>
        <v>3758961010</v>
      </c>
      <c r="L1353" s="37">
        <v>0</v>
      </c>
      <c r="O1353" s="38" t="str">
        <f>IF([1]totrevprm!O1354="","",[1]totrevprm!O1354)</f>
        <v/>
      </c>
      <c r="V1353" s="38"/>
      <c r="W1353" s="58"/>
      <c r="X1353" s="58"/>
      <c r="Y1353" s="58"/>
      <c r="Z1353" s="58"/>
    </row>
    <row r="1354" spans="1:26">
      <c r="A1354" s="50" t="s">
        <v>63</v>
      </c>
      <c r="B1354" s="51" t="s">
        <v>245</v>
      </c>
      <c r="C1354" s="52" t="s">
        <v>731</v>
      </c>
      <c r="D1354" s="53">
        <v>2004</v>
      </c>
      <c r="E1354" s="59">
        <v>931033557</v>
      </c>
      <c r="F1354" s="59">
        <v>1062686358</v>
      </c>
      <c r="G1354" s="59">
        <v>1831615910</v>
      </c>
      <c r="H1354" s="54">
        <v>0</v>
      </c>
      <c r="I1354" s="55">
        <f t="shared" si="61"/>
        <v>3825335825</v>
      </c>
      <c r="J1354" s="54">
        <v>-779886</v>
      </c>
      <c r="K1354" s="56">
        <f t="shared" si="62"/>
        <v>3824555939</v>
      </c>
      <c r="L1354" s="37">
        <v>0</v>
      </c>
      <c r="O1354" s="38" t="str">
        <f>IF([1]totrevprm!O1355="","",[1]totrevprm!O1355)</f>
        <v/>
      </c>
      <c r="V1354" s="38"/>
      <c r="W1354" s="58"/>
      <c r="X1354" s="58"/>
      <c r="Y1354" s="58"/>
      <c r="Z1354" s="58"/>
    </row>
    <row r="1355" spans="1:26">
      <c r="A1355" s="50" t="s">
        <v>63</v>
      </c>
      <c r="B1355" s="51" t="s">
        <v>245</v>
      </c>
      <c r="C1355" s="52"/>
      <c r="D1355" s="53">
        <v>2005</v>
      </c>
      <c r="E1355" s="59">
        <v>926444980</v>
      </c>
      <c r="F1355" s="59">
        <v>987551770</v>
      </c>
      <c r="G1355" s="59">
        <v>1980212670.6599901</v>
      </c>
      <c r="H1355" s="54">
        <v>0</v>
      </c>
      <c r="I1355" s="55">
        <f t="shared" si="61"/>
        <v>3894209420.6599903</v>
      </c>
      <c r="J1355" s="54">
        <v>-152832</v>
      </c>
      <c r="K1355" s="56">
        <f t="shared" si="62"/>
        <v>3894056588.6599903</v>
      </c>
      <c r="L1355" s="37">
        <v>0</v>
      </c>
      <c r="O1355" s="38" t="str">
        <f>IF([1]totrevprm!O1356="","",[1]totrevprm!O1356)</f>
        <v/>
      </c>
      <c r="V1355" s="38"/>
      <c r="W1355" s="58"/>
      <c r="X1355" s="58"/>
      <c r="Y1355" s="58"/>
      <c r="Z1355" s="58"/>
    </row>
    <row r="1356" spans="1:26">
      <c r="A1356" s="50" t="s">
        <v>63</v>
      </c>
      <c r="B1356" s="51" t="s">
        <v>245</v>
      </c>
      <c r="C1356" s="52"/>
      <c r="D1356" s="53">
        <v>2006</v>
      </c>
      <c r="E1356" s="37">
        <v>1060841763</v>
      </c>
      <c r="F1356" s="37">
        <v>1063511980</v>
      </c>
      <c r="G1356" s="37">
        <v>2171467297</v>
      </c>
      <c r="H1356" s="37">
        <v>0</v>
      </c>
      <c r="I1356" s="55">
        <f t="shared" si="61"/>
        <v>4295821040</v>
      </c>
      <c r="J1356" s="54">
        <v>-705002</v>
      </c>
      <c r="K1356" s="56">
        <f t="shared" si="62"/>
        <v>4295116038</v>
      </c>
      <c r="L1356" s="37">
        <v>0</v>
      </c>
      <c r="O1356" s="38" t="str">
        <f>IF([1]totrevprm!O1357="","",[1]totrevprm!O1357)</f>
        <v/>
      </c>
      <c r="V1356" s="38"/>
      <c r="W1356" s="58"/>
      <c r="X1356" s="58"/>
      <c r="Y1356" s="58"/>
      <c r="Z1356" s="58"/>
    </row>
    <row r="1357" spans="1:26">
      <c r="A1357" s="50" t="s">
        <v>63</v>
      </c>
      <c r="B1357" s="51" t="s">
        <v>245</v>
      </c>
      <c r="C1357" s="52"/>
      <c r="D1357" s="53">
        <v>2007</v>
      </c>
      <c r="E1357" s="37">
        <v>1097782359</v>
      </c>
      <c r="F1357" s="37">
        <v>1017178609</v>
      </c>
      <c r="G1357" s="37">
        <v>2512947694</v>
      </c>
      <c r="H1357" s="37">
        <v>0</v>
      </c>
      <c r="I1357" s="55">
        <f t="shared" si="61"/>
        <v>4627908662</v>
      </c>
      <c r="J1357" s="54">
        <v>-1</v>
      </c>
      <c r="K1357" s="56">
        <f t="shared" si="62"/>
        <v>4627908661</v>
      </c>
      <c r="L1357" s="37">
        <v>0</v>
      </c>
      <c r="O1357" s="38" t="str">
        <f>IF([1]totrevprm!O1358="","",[1]totrevprm!O1358)</f>
        <v/>
      </c>
      <c r="V1357" s="38"/>
      <c r="W1357" s="58"/>
      <c r="X1357" s="58"/>
      <c r="Y1357" s="58"/>
      <c r="Z1357" s="58"/>
    </row>
    <row r="1358" spans="1:26">
      <c r="A1358" s="50" t="s">
        <v>63</v>
      </c>
      <c r="B1358" s="51" t="s">
        <v>245</v>
      </c>
      <c r="C1358" s="52"/>
      <c r="D1358" s="53">
        <v>2008</v>
      </c>
      <c r="E1358" s="37">
        <v>1136588750</v>
      </c>
      <c r="F1358" s="37">
        <v>1491541386</v>
      </c>
      <c r="G1358" s="37">
        <v>2650865096</v>
      </c>
      <c r="H1358" s="37">
        <v>0</v>
      </c>
      <c r="I1358" s="55">
        <f t="shared" si="61"/>
        <v>5278995232</v>
      </c>
      <c r="J1358" s="54">
        <v>-36075</v>
      </c>
      <c r="K1358" s="56">
        <f t="shared" si="62"/>
        <v>5278959157</v>
      </c>
      <c r="L1358" s="37">
        <v>0</v>
      </c>
      <c r="O1358" s="38" t="str">
        <f>IF([1]totrevprm!O1359="","",[1]totrevprm!O1359)</f>
        <v/>
      </c>
      <c r="V1358" s="38"/>
      <c r="W1358" s="58"/>
      <c r="X1358" s="58"/>
      <c r="Y1358" s="58"/>
      <c r="Z1358" s="58"/>
    </row>
    <row r="1359" spans="1:26">
      <c r="A1359" s="50" t="s">
        <v>63</v>
      </c>
      <c r="B1359" s="51" t="s">
        <v>245</v>
      </c>
      <c r="C1359" s="52"/>
      <c r="D1359" s="53">
        <v>2009</v>
      </c>
      <c r="E1359" s="37">
        <v>1197855066</v>
      </c>
      <c r="F1359" s="37">
        <v>1370248919</v>
      </c>
      <c r="G1359" s="37">
        <v>2812704895</v>
      </c>
      <c r="H1359" s="37">
        <v>0</v>
      </c>
      <c r="I1359" s="55">
        <f t="shared" si="61"/>
        <v>5380808880</v>
      </c>
      <c r="J1359" s="54">
        <v>-49119</v>
      </c>
      <c r="K1359" s="56">
        <f t="shared" si="62"/>
        <v>5380759761</v>
      </c>
      <c r="L1359" s="37">
        <v>0</v>
      </c>
      <c r="O1359" s="38" t="str">
        <f>IF([1]totrevprm!O1360="","",[1]totrevprm!O1360)</f>
        <v/>
      </c>
      <c r="V1359" s="38"/>
      <c r="W1359" s="58"/>
      <c r="X1359" s="58"/>
      <c r="Y1359" s="58"/>
      <c r="Z1359" s="58"/>
    </row>
    <row r="1360" spans="1:26">
      <c r="A1360" s="50" t="s">
        <v>63</v>
      </c>
      <c r="B1360" s="51" t="s">
        <v>245</v>
      </c>
      <c r="C1360" s="52"/>
      <c r="D1360" s="53">
        <v>2010</v>
      </c>
      <c r="E1360" s="37">
        <v>1265817967</v>
      </c>
      <c r="F1360" s="37">
        <v>1189363350</v>
      </c>
      <c r="G1360" s="37">
        <v>2990023534</v>
      </c>
      <c r="H1360" s="37">
        <v>0</v>
      </c>
      <c r="I1360" s="55">
        <f t="shared" si="61"/>
        <v>5445204851</v>
      </c>
      <c r="J1360" s="54">
        <v>-12601</v>
      </c>
      <c r="K1360" s="56">
        <f t="shared" si="62"/>
        <v>5445192250</v>
      </c>
      <c r="L1360" s="37">
        <v>0</v>
      </c>
      <c r="O1360" s="38" t="str">
        <f>IF([1]totrevprm!O1361="","",[1]totrevprm!O1361)</f>
        <v/>
      </c>
      <c r="V1360" s="38"/>
      <c r="W1360" s="58"/>
      <c r="X1360" s="58"/>
      <c r="Y1360" s="58"/>
      <c r="Z1360" s="58"/>
    </row>
    <row r="1361" spans="1:26">
      <c r="A1361" s="50" t="s">
        <v>63</v>
      </c>
      <c r="B1361" s="51" t="s">
        <v>245</v>
      </c>
      <c r="C1361" s="52"/>
      <c r="D1361" s="53">
        <v>2011</v>
      </c>
      <c r="E1361" s="37">
        <v>1281469359</v>
      </c>
      <c r="F1361" s="37">
        <v>1162870153</v>
      </c>
      <c r="G1361" s="37">
        <v>2993867350.4099998</v>
      </c>
      <c r="H1361" s="37">
        <v>0</v>
      </c>
      <c r="I1361" s="55">
        <f t="shared" si="61"/>
        <v>5438206862.4099998</v>
      </c>
      <c r="J1361" s="54">
        <v>-1032</v>
      </c>
      <c r="K1361" s="56">
        <f t="shared" si="62"/>
        <v>5438205830.4099998</v>
      </c>
      <c r="L1361" s="37">
        <v>0</v>
      </c>
      <c r="O1361" s="38" t="str">
        <f>IF([1]totrevprm!O1362="","",[1]totrevprm!O1362)</f>
        <v/>
      </c>
      <c r="V1361" s="38"/>
      <c r="W1361" s="58"/>
      <c r="X1361" s="58"/>
      <c r="Y1361" s="58"/>
      <c r="Z1361" s="58"/>
    </row>
    <row r="1362" spans="1:26">
      <c r="A1362" s="50" t="s">
        <v>63</v>
      </c>
      <c r="B1362" s="51" t="s">
        <v>245</v>
      </c>
      <c r="C1362" s="52"/>
      <c r="D1362" s="53">
        <v>2012</v>
      </c>
      <c r="E1362" s="37">
        <v>1324959076</v>
      </c>
      <c r="F1362" s="37">
        <v>1368007325</v>
      </c>
      <c r="G1362" s="37">
        <v>2985855018</v>
      </c>
      <c r="H1362" s="37">
        <v>0</v>
      </c>
      <c r="I1362" s="55">
        <f t="shared" si="61"/>
        <v>5678821419</v>
      </c>
      <c r="J1362" s="54">
        <v>-104880</v>
      </c>
      <c r="K1362" s="56">
        <f t="shared" si="62"/>
        <v>5678716539</v>
      </c>
      <c r="L1362" s="37">
        <v>0</v>
      </c>
      <c r="O1362" s="38" t="str">
        <f>IF([1]totrevprm!O1363="","",[1]totrevprm!O1363)</f>
        <v/>
      </c>
      <c r="V1362" s="38"/>
      <c r="W1362" s="58"/>
      <c r="X1362" s="58"/>
      <c r="Y1362" s="58"/>
      <c r="Z1362" s="58"/>
    </row>
    <row r="1363" spans="1:26">
      <c r="A1363" s="50" t="s">
        <v>63</v>
      </c>
      <c r="B1363" s="51" t="s">
        <v>245</v>
      </c>
      <c r="C1363" s="52"/>
      <c r="D1363" s="53">
        <v>2013</v>
      </c>
      <c r="E1363" s="37">
        <v>1359541281</v>
      </c>
      <c r="F1363" s="37">
        <v>1239044898</v>
      </c>
      <c r="G1363" s="37">
        <v>3015560032</v>
      </c>
      <c r="H1363" s="37">
        <v>0</v>
      </c>
      <c r="I1363" s="55">
        <f t="shared" si="61"/>
        <v>5614146211</v>
      </c>
      <c r="J1363" s="54">
        <v>-200060</v>
      </c>
      <c r="K1363" s="56">
        <f t="shared" si="62"/>
        <v>5613946151</v>
      </c>
      <c r="L1363" s="37">
        <v>0</v>
      </c>
      <c r="O1363" s="38" t="str">
        <f>IF([1]totrevprm!O1364="","",[1]totrevprm!O1364)</f>
        <v/>
      </c>
      <c r="V1363" s="38"/>
      <c r="W1363" s="58"/>
      <c r="X1363" s="58"/>
      <c r="Y1363" s="58"/>
      <c r="Z1363" s="58"/>
    </row>
    <row r="1364" spans="1:26">
      <c r="A1364" s="50" t="s">
        <v>63</v>
      </c>
      <c r="B1364" s="51" t="s">
        <v>245</v>
      </c>
      <c r="C1364" s="52"/>
      <c r="D1364" s="53">
        <v>2014</v>
      </c>
      <c r="E1364" s="37">
        <v>1381698580</v>
      </c>
      <c r="F1364" s="37">
        <v>1323348614</v>
      </c>
      <c r="G1364" s="37">
        <v>3362525623.52</v>
      </c>
      <c r="H1364" s="37">
        <v>0</v>
      </c>
      <c r="I1364" s="55">
        <f t="shared" si="61"/>
        <v>6067572817.5200005</v>
      </c>
      <c r="J1364" s="54">
        <v>-9127</v>
      </c>
      <c r="K1364" s="56">
        <f t="shared" si="62"/>
        <v>6067563690.5200005</v>
      </c>
      <c r="L1364" s="37">
        <v>0</v>
      </c>
      <c r="O1364" s="38" t="str">
        <f>IF([1]totrevprm!O1365="","",[1]totrevprm!O1365)</f>
        <v/>
      </c>
      <c r="V1364" s="38"/>
      <c r="W1364" s="58"/>
      <c r="X1364" s="58"/>
      <c r="Y1364" s="58"/>
      <c r="Z1364" s="58"/>
    </row>
    <row r="1365" spans="1:26">
      <c r="A1365" s="50" t="s">
        <v>63</v>
      </c>
      <c r="B1365" s="51" t="s">
        <v>245</v>
      </c>
      <c r="C1365" s="52"/>
      <c r="D1365" s="53">
        <v>2015</v>
      </c>
      <c r="E1365" s="37">
        <v>1413156660</v>
      </c>
      <c r="F1365" s="37">
        <v>1582535340</v>
      </c>
      <c r="G1365" s="37">
        <v>3347770476</v>
      </c>
      <c r="H1365" s="37">
        <v>0</v>
      </c>
      <c r="I1365" s="55">
        <f t="shared" si="61"/>
        <v>6343462476</v>
      </c>
      <c r="J1365" s="54">
        <v>-1415</v>
      </c>
      <c r="K1365" s="56">
        <f t="shared" si="62"/>
        <v>6343461061</v>
      </c>
      <c r="L1365" s="37">
        <v>0</v>
      </c>
      <c r="O1365" s="38" t="str">
        <f>IF([1]totrevprm!O1366="","",[1]totrevprm!O1366)</f>
        <v/>
      </c>
      <c r="P1365" s="35">
        <v>210735806.19441172</v>
      </c>
      <c r="Q1365" s="35">
        <v>91888274.922537312</v>
      </c>
      <c r="V1365" s="38"/>
      <c r="W1365" s="58"/>
      <c r="X1365" s="58"/>
      <c r="Y1365" s="58"/>
      <c r="Z1365" s="58"/>
    </row>
    <row r="1366" spans="1:26">
      <c r="A1366" s="50" t="s">
        <v>63</v>
      </c>
      <c r="B1366" s="51" t="s">
        <v>245</v>
      </c>
      <c r="C1366" s="52"/>
      <c r="D1366" s="53">
        <v>2016</v>
      </c>
      <c r="E1366" s="37">
        <v>1414401562</v>
      </c>
      <c r="F1366" s="37">
        <v>1475566462</v>
      </c>
      <c r="G1366" s="37">
        <v>3494959511</v>
      </c>
      <c r="H1366" s="37">
        <v>0</v>
      </c>
      <c r="I1366" s="55">
        <f t="shared" si="61"/>
        <v>6384927535</v>
      </c>
      <c r="J1366" s="54">
        <v>-3</v>
      </c>
      <c r="K1366" s="56">
        <f t="shared" si="62"/>
        <v>6384927532</v>
      </c>
      <c r="L1366" s="37">
        <v>0</v>
      </c>
      <c r="O1366" s="38" t="str">
        <f>IF([1]totrevprm!O1367="","",[1]totrevprm!O1367)</f>
        <v/>
      </c>
      <c r="P1366" s="35">
        <v>216425417.72106627</v>
      </c>
      <c r="Q1366" s="35">
        <v>92238637.402631566</v>
      </c>
      <c r="V1366" s="38"/>
      <c r="W1366" s="58"/>
      <c r="X1366" s="58"/>
      <c r="Y1366" s="58"/>
      <c r="Z1366" s="58"/>
    </row>
    <row r="1367" spans="1:26">
      <c r="A1367" s="50" t="s">
        <v>63</v>
      </c>
      <c r="B1367" s="51" t="s">
        <v>245</v>
      </c>
      <c r="C1367" s="52"/>
      <c r="D1367" s="53">
        <v>2017</v>
      </c>
      <c r="E1367" s="37">
        <v>1435622014</v>
      </c>
      <c r="F1367" s="37">
        <v>1518789590</v>
      </c>
      <c r="G1367" s="37">
        <v>3817822394.2600002</v>
      </c>
      <c r="H1367" s="37">
        <v>0</v>
      </c>
      <c r="I1367" s="55">
        <f t="shared" si="61"/>
        <v>6772233998.2600002</v>
      </c>
      <c r="J1367" s="54">
        <v>-26868</v>
      </c>
      <c r="K1367" s="56">
        <f t="shared" si="62"/>
        <v>6772207130.2600002</v>
      </c>
      <c r="L1367" s="37">
        <v>0</v>
      </c>
      <c r="M1367" s="69" t="s">
        <v>749</v>
      </c>
      <c r="N1367" t="s">
        <v>708</v>
      </c>
      <c r="O1367" s="38" t="str">
        <f>IF([1]totrevprm!O1368="","",[1]totrevprm!O1368)</f>
        <v/>
      </c>
      <c r="P1367" s="35">
        <v>223140168.73893377</v>
      </c>
      <c r="Q1367" s="35">
        <v>87110904.722362205</v>
      </c>
      <c r="R1367" s="72"/>
      <c r="S1367" s="60">
        <v>128271215</v>
      </c>
      <c r="T1367" s="36" t="s">
        <v>717</v>
      </c>
      <c r="U1367" s="36">
        <v>6</v>
      </c>
      <c r="V1367" s="38"/>
      <c r="W1367" s="58"/>
      <c r="X1367" s="58"/>
      <c r="Y1367" s="60">
        <v>3946093609.2600002</v>
      </c>
      <c r="Z1367" s="58"/>
    </row>
    <row r="1368" spans="1:26">
      <c r="A1368" s="50" t="s">
        <v>63</v>
      </c>
      <c r="B1368" s="51" t="s">
        <v>245</v>
      </c>
      <c r="C1368" s="52"/>
      <c r="D1368" s="53">
        <v>2018</v>
      </c>
      <c r="E1368" s="37">
        <v>1524384742</v>
      </c>
      <c r="F1368" s="37">
        <v>1896115449</v>
      </c>
      <c r="G1368" s="37">
        <v>4094852306.0599999</v>
      </c>
      <c r="H1368" s="37">
        <v>0</v>
      </c>
      <c r="I1368" s="55">
        <f t="shared" si="61"/>
        <v>7515352497.0599995</v>
      </c>
      <c r="J1368" s="54">
        <v>-66</v>
      </c>
      <c r="K1368" s="56">
        <f t="shared" si="62"/>
        <v>7515352431.0599995</v>
      </c>
      <c r="L1368" s="60">
        <v>0</v>
      </c>
      <c r="M1368" s="69" t="s">
        <v>749</v>
      </c>
      <c r="N1368" t="s">
        <v>708</v>
      </c>
      <c r="O1368" s="38" t="str">
        <f>IF([1]totrevprm!O1369="","",[1]totrevprm!O1369)</f>
        <v/>
      </c>
      <c r="P1368" s="35">
        <v>243789159.68247259</v>
      </c>
      <c r="Q1368" s="35">
        <v>84651757.465846583</v>
      </c>
      <c r="R1368" s="72"/>
      <c r="S1368" s="60">
        <v>622817858</v>
      </c>
      <c r="V1368" s="38"/>
      <c r="W1368" s="58"/>
      <c r="X1368" s="58"/>
      <c r="Y1368" s="60">
        <v>3946093609.2600002</v>
      </c>
      <c r="Z1368" s="58"/>
    </row>
    <row r="1369" spans="1:26">
      <c r="A1369" s="50" t="s">
        <v>63</v>
      </c>
      <c r="B1369" s="51" t="s">
        <v>245</v>
      </c>
      <c r="C1369" s="52"/>
      <c r="D1369" s="53">
        <v>2019</v>
      </c>
      <c r="E1369" s="37">
        <v>1503683419</v>
      </c>
      <c r="F1369" s="37">
        <v>1728068881</v>
      </c>
      <c r="G1369" s="37">
        <v>4805517437.2739</v>
      </c>
      <c r="H1369" s="37">
        <v>0</v>
      </c>
      <c r="I1369" s="55">
        <f t="shared" si="61"/>
        <v>8037269737.2739</v>
      </c>
      <c r="J1369" s="54">
        <v>-4019935</v>
      </c>
      <c r="K1369" s="56">
        <f t="shared" si="62"/>
        <v>8033249802.2739</v>
      </c>
      <c r="L1369" s="60">
        <v>0</v>
      </c>
      <c r="M1369" s="69" t="s">
        <v>771</v>
      </c>
      <c r="N1369" t="s">
        <v>708</v>
      </c>
      <c r="O1369" s="38" t="str">
        <f>IF([1]totrevprm!O1370="","",[1]totrevprm!O1370)</f>
        <v>Yes</v>
      </c>
      <c r="P1369" s="35">
        <v>249499813.90034401</v>
      </c>
      <c r="Q1369" s="35">
        <v>85715742.67630133</v>
      </c>
      <c r="R1369" s="72"/>
      <c r="S1369" s="58"/>
      <c r="V1369" s="38"/>
      <c r="W1369" s="58"/>
      <c r="X1369" s="58"/>
      <c r="Y1369" s="58"/>
      <c r="Z1369" s="58"/>
    </row>
    <row r="1370" spans="1:26">
      <c r="A1370" s="50" t="s">
        <v>63</v>
      </c>
      <c r="B1370" s="51" t="s">
        <v>245</v>
      </c>
      <c r="C1370" s="52"/>
      <c r="D1370" s="53">
        <v>2020</v>
      </c>
      <c r="E1370" s="37">
        <v>1538559621</v>
      </c>
      <c r="F1370" s="37">
        <v>1517811467</v>
      </c>
      <c r="G1370" s="37">
        <v>4653161248</v>
      </c>
      <c r="H1370" s="37">
        <v>0</v>
      </c>
      <c r="I1370" s="55">
        <f t="shared" si="61"/>
        <v>7709532336</v>
      </c>
      <c r="J1370" s="54">
        <v>-5</v>
      </c>
      <c r="K1370" s="56">
        <f t="shared" si="62"/>
        <v>7709532331</v>
      </c>
      <c r="L1370" s="60">
        <v>0</v>
      </c>
      <c r="M1370" s="69" t="s">
        <v>739</v>
      </c>
      <c r="N1370" t="s">
        <v>708</v>
      </c>
      <c r="O1370" s="38" t="str">
        <f>IF([1]totrevprm!O1371="","",[1]totrevprm!O1371)</f>
        <v/>
      </c>
      <c r="P1370" s="35">
        <v>244743618</v>
      </c>
      <c r="Q1370" s="35">
        <v>82051171</v>
      </c>
      <c r="R1370" s="72"/>
      <c r="S1370" s="58"/>
      <c r="V1370" s="38"/>
      <c r="W1370" s="58"/>
      <c r="X1370" s="58"/>
      <c r="Y1370" s="58"/>
      <c r="Z1370" s="58"/>
    </row>
    <row r="1371" spans="1:26">
      <c r="A1371" s="50" t="s">
        <v>63</v>
      </c>
      <c r="B1371" s="51" t="s">
        <v>245</v>
      </c>
      <c r="C1371" s="52"/>
      <c r="D1371" s="53">
        <v>2021</v>
      </c>
      <c r="E1371" s="37">
        <v>1593607803</v>
      </c>
      <c r="F1371" s="37">
        <v>1946941804</v>
      </c>
      <c r="G1371" s="37">
        <v>4917891972</v>
      </c>
      <c r="H1371" s="37">
        <v>0</v>
      </c>
      <c r="I1371" s="55">
        <f t="shared" si="61"/>
        <v>8458441579</v>
      </c>
      <c r="J1371" s="60">
        <v>-5</v>
      </c>
      <c r="K1371" s="56">
        <f t="shared" si="62"/>
        <v>8458441574</v>
      </c>
      <c r="L1371" s="60">
        <v>0</v>
      </c>
      <c r="M1371" s="69" t="s">
        <v>739</v>
      </c>
      <c r="N1371" t="s">
        <v>708</v>
      </c>
      <c r="O1371" s="38"/>
      <c r="P1371" s="35">
        <v>246964003.32999998</v>
      </c>
      <c r="Q1371" s="35">
        <v>88054146</v>
      </c>
      <c r="R1371" s="72"/>
      <c r="S1371" s="58"/>
      <c r="V1371" s="38"/>
      <c r="W1371" s="58"/>
      <c r="X1371" s="58"/>
      <c r="Y1371" s="58"/>
      <c r="Z1371" s="58"/>
    </row>
    <row r="1372" spans="1:26">
      <c r="A1372" s="50" t="s">
        <v>63</v>
      </c>
      <c r="B1372" s="51" t="s">
        <v>245</v>
      </c>
      <c r="C1372" s="52"/>
      <c r="D1372" s="53">
        <v>2022</v>
      </c>
      <c r="E1372" s="37">
        <v>1650797740</v>
      </c>
      <c r="F1372" s="37">
        <v>2120528424</v>
      </c>
      <c r="G1372" s="37">
        <v>5093472973</v>
      </c>
      <c r="H1372" s="37">
        <v>0</v>
      </c>
      <c r="I1372" s="55">
        <f t="shared" si="61"/>
        <v>8864799137</v>
      </c>
      <c r="J1372" s="60">
        <v>-18062</v>
      </c>
      <c r="K1372" s="56">
        <f t="shared" si="62"/>
        <v>8864781075</v>
      </c>
      <c r="L1372" s="60">
        <v>0</v>
      </c>
      <c r="M1372" s="69" t="s">
        <v>739</v>
      </c>
      <c r="N1372" t="s">
        <v>708</v>
      </c>
      <c r="O1372" s="38" t="str">
        <f>IF([1]totrevprm!O1375="","",[1]totrevprm!O1375)</f>
        <v/>
      </c>
      <c r="P1372" s="60">
        <v>264806984</v>
      </c>
      <c r="Q1372" s="60">
        <v>85223435</v>
      </c>
    </row>
    <row r="1373" spans="1:26">
      <c r="A1373" s="50" t="s">
        <v>63</v>
      </c>
      <c r="B1373" s="51" t="s">
        <v>245</v>
      </c>
      <c r="C1373" s="52"/>
      <c r="D1373" s="53">
        <v>2023</v>
      </c>
      <c r="E1373" s="37">
        <v>1671295696</v>
      </c>
      <c r="F1373" s="37">
        <v>2625235206.6893001</v>
      </c>
      <c r="G1373" s="37">
        <v>5447234387.8299999</v>
      </c>
      <c r="H1373" s="37">
        <v>0</v>
      </c>
      <c r="I1373" s="55">
        <f t="shared" si="61"/>
        <v>9743765290.5193005</v>
      </c>
      <c r="J1373" s="60">
        <v>-41005</v>
      </c>
      <c r="K1373" s="56">
        <f t="shared" si="62"/>
        <v>9743724285.5193005</v>
      </c>
      <c r="L1373" s="37">
        <v>0</v>
      </c>
      <c r="M1373" s="69" t="s">
        <v>739</v>
      </c>
      <c r="O1373" s="38"/>
      <c r="P1373" s="60">
        <v>286214182.74000001</v>
      </c>
      <c r="Q1373" s="60">
        <v>83490425</v>
      </c>
    </row>
    <row r="1374" spans="1:26">
      <c r="A1374" s="50"/>
      <c r="B1374" s="52"/>
      <c r="C1374" s="52"/>
      <c r="E1374" s="54"/>
      <c r="F1374" s="54"/>
      <c r="G1374" s="54"/>
      <c r="H1374" s="54"/>
      <c r="I1374" s="55"/>
      <c r="K1374" s="65"/>
      <c r="L1374" s="37"/>
      <c r="M1374" s="69"/>
      <c r="O1374" s="38"/>
    </row>
    <row r="1375" spans="1:26">
      <c r="A1375" s="50" t="s">
        <v>64</v>
      </c>
      <c r="B1375" s="51" t="s">
        <v>803</v>
      </c>
      <c r="C1375" s="52" t="s">
        <v>730</v>
      </c>
      <c r="D1375" s="53">
        <v>1988</v>
      </c>
      <c r="E1375" s="54">
        <v>506312289</v>
      </c>
      <c r="F1375" s="54">
        <v>895696039</v>
      </c>
      <c r="G1375" s="54">
        <v>428769940</v>
      </c>
      <c r="H1375" s="54">
        <v>0</v>
      </c>
      <c r="I1375" s="55">
        <f t="shared" ref="I1375:I1438" si="63">SUM(E1375:H1375)</f>
        <v>1830778268</v>
      </c>
      <c r="J1375" s="54">
        <v>-5087780</v>
      </c>
      <c r="K1375" s="56">
        <f>SUM(I1375:J1375)</f>
        <v>1825690488</v>
      </c>
      <c r="L1375" s="37">
        <v>0</v>
      </c>
      <c r="O1375" s="38" t="str">
        <f>IF([1]totrevprm!O1376="","",[1]totrevprm!O1376)</f>
        <v/>
      </c>
    </row>
    <row r="1376" spans="1:26">
      <c r="A1376" s="50" t="s">
        <v>64</v>
      </c>
      <c r="B1376" s="51" t="s">
        <v>803</v>
      </c>
      <c r="C1376" s="52" t="s">
        <v>731</v>
      </c>
      <c r="D1376" s="53">
        <v>1989</v>
      </c>
      <c r="E1376" s="54">
        <v>514579970</v>
      </c>
      <c r="F1376" s="54">
        <v>1030798115</v>
      </c>
      <c r="G1376" s="54">
        <v>476923224</v>
      </c>
      <c r="H1376" s="54">
        <v>0</v>
      </c>
      <c r="I1376" s="55">
        <f t="shared" si="63"/>
        <v>2022301309</v>
      </c>
      <c r="J1376" s="54">
        <v>-2127436</v>
      </c>
      <c r="K1376" s="56">
        <f t="shared" ref="K1376:K1410" si="64">SUM(I1376:J1376)</f>
        <v>2020173873</v>
      </c>
      <c r="L1376" s="37">
        <v>0</v>
      </c>
      <c r="O1376" s="38" t="str">
        <f>IF([1]totrevprm!O1377="","",[1]totrevprm!O1377)</f>
        <v/>
      </c>
    </row>
    <row r="1377" spans="1:26">
      <c r="A1377" s="50" t="s">
        <v>64</v>
      </c>
      <c r="B1377" s="51" t="s">
        <v>803</v>
      </c>
      <c r="C1377" s="52" t="s">
        <v>731</v>
      </c>
      <c r="D1377" s="53">
        <v>1990</v>
      </c>
      <c r="E1377" s="54">
        <v>537896369</v>
      </c>
      <c r="F1377" s="54">
        <v>937962526.03999996</v>
      </c>
      <c r="G1377" s="54">
        <v>544414811</v>
      </c>
      <c r="H1377" s="54">
        <v>0</v>
      </c>
      <c r="I1377" s="55">
        <f t="shared" si="63"/>
        <v>2020273706.04</v>
      </c>
      <c r="J1377" s="54">
        <v>-6746774</v>
      </c>
      <c r="K1377" s="56">
        <f t="shared" si="64"/>
        <v>2013526932.04</v>
      </c>
      <c r="L1377" s="37">
        <v>0</v>
      </c>
      <c r="O1377" s="38" t="str">
        <f>IF([1]totrevprm!O1378="","",[1]totrevprm!O1378)</f>
        <v/>
      </c>
    </row>
    <row r="1378" spans="1:26">
      <c r="A1378" s="50" t="s">
        <v>64</v>
      </c>
      <c r="B1378" s="51" t="s">
        <v>803</v>
      </c>
      <c r="C1378" s="52" t="s">
        <v>731</v>
      </c>
      <c r="D1378" s="53">
        <v>1991</v>
      </c>
      <c r="E1378" s="54">
        <v>567228111</v>
      </c>
      <c r="F1378" s="54">
        <v>830408324</v>
      </c>
      <c r="G1378" s="54">
        <v>555223454</v>
      </c>
      <c r="H1378" s="54">
        <v>260045972</v>
      </c>
      <c r="I1378" s="55">
        <f t="shared" si="63"/>
        <v>2212905861</v>
      </c>
      <c r="J1378" s="54">
        <v>0</v>
      </c>
      <c r="K1378" s="56">
        <f t="shared" si="64"/>
        <v>2212905861</v>
      </c>
      <c r="L1378" s="37">
        <v>0</v>
      </c>
      <c r="O1378" s="38" t="str">
        <f>IF([1]totrevprm!O1379="","",[1]totrevprm!O1379)</f>
        <v/>
      </c>
    </row>
    <row r="1379" spans="1:26">
      <c r="A1379" s="50" t="s">
        <v>64</v>
      </c>
      <c r="B1379" s="51" t="s">
        <v>803</v>
      </c>
      <c r="C1379" s="52" t="s">
        <v>804</v>
      </c>
      <c r="D1379" s="53">
        <v>1992</v>
      </c>
      <c r="E1379" s="54">
        <v>596415790</v>
      </c>
      <c r="F1379" s="54">
        <v>812673519.63999999</v>
      </c>
      <c r="G1379" s="54">
        <v>627877935</v>
      </c>
      <c r="H1379" s="54">
        <v>281849324</v>
      </c>
      <c r="I1379" s="55">
        <f t="shared" si="63"/>
        <v>2318816568.6399999</v>
      </c>
      <c r="J1379" s="54">
        <v>0</v>
      </c>
      <c r="K1379" s="56">
        <f t="shared" si="64"/>
        <v>2318816568.6399999</v>
      </c>
      <c r="L1379" s="37">
        <v>0</v>
      </c>
      <c r="O1379" s="38" t="str">
        <f>IF([1]totrevprm!O1380="","",[1]totrevprm!O1380)</f>
        <v/>
      </c>
    </row>
    <row r="1380" spans="1:26">
      <c r="A1380" s="50" t="s">
        <v>64</v>
      </c>
      <c r="B1380" s="51" t="s">
        <v>803</v>
      </c>
      <c r="C1380" s="52" t="s">
        <v>805</v>
      </c>
      <c r="D1380" s="53">
        <v>1993</v>
      </c>
      <c r="E1380" s="54">
        <v>622685909</v>
      </c>
      <c r="F1380" s="54">
        <v>696695276</v>
      </c>
      <c r="G1380" s="54">
        <v>582601955</v>
      </c>
      <c r="H1380" s="54">
        <v>192373597</v>
      </c>
      <c r="I1380" s="55">
        <f t="shared" si="63"/>
        <v>2094356737</v>
      </c>
      <c r="J1380" s="54">
        <v>0</v>
      </c>
      <c r="K1380" s="56">
        <f t="shared" si="64"/>
        <v>2094356737</v>
      </c>
      <c r="L1380" s="37">
        <v>0</v>
      </c>
      <c r="O1380" s="38" t="str">
        <f>IF([1]totrevprm!O1381="","",[1]totrevprm!O1381)</f>
        <v/>
      </c>
    </row>
    <row r="1381" spans="1:26">
      <c r="A1381" s="50" t="s">
        <v>64</v>
      </c>
      <c r="B1381" s="51" t="s">
        <v>803</v>
      </c>
      <c r="C1381" s="52" t="s">
        <v>731</v>
      </c>
      <c r="D1381" s="53">
        <v>1994</v>
      </c>
      <c r="E1381" s="54">
        <v>697121068</v>
      </c>
      <c r="F1381" s="54">
        <v>925325110</v>
      </c>
      <c r="G1381" s="54">
        <v>569074748</v>
      </c>
      <c r="H1381" s="54">
        <v>152049491</v>
      </c>
      <c r="I1381" s="55">
        <f t="shared" si="63"/>
        <v>2343570417</v>
      </c>
      <c r="J1381" s="54">
        <v>0</v>
      </c>
      <c r="K1381" s="56">
        <f t="shared" si="64"/>
        <v>2343570417</v>
      </c>
      <c r="L1381" s="37">
        <v>0</v>
      </c>
      <c r="O1381" s="38" t="str">
        <f>IF([1]totrevprm!O1382="","",[1]totrevprm!O1382)</f>
        <v/>
      </c>
    </row>
    <row r="1382" spans="1:26">
      <c r="A1382" s="50" t="s">
        <v>64</v>
      </c>
      <c r="B1382" s="51" t="s">
        <v>803</v>
      </c>
      <c r="C1382" s="52" t="s">
        <v>731</v>
      </c>
      <c r="D1382" s="53">
        <v>1995</v>
      </c>
      <c r="E1382" s="54">
        <v>714798506</v>
      </c>
      <c r="F1382" s="54">
        <v>914040453</v>
      </c>
      <c r="G1382" s="54">
        <v>613797359</v>
      </c>
      <c r="H1382" s="54">
        <v>60386398</v>
      </c>
      <c r="I1382" s="55">
        <f t="shared" si="63"/>
        <v>2303022716</v>
      </c>
      <c r="J1382" s="54">
        <v>0</v>
      </c>
      <c r="K1382" s="56">
        <f t="shared" si="64"/>
        <v>2303022716</v>
      </c>
      <c r="L1382" s="37">
        <v>0</v>
      </c>
      <c r="O1382" s="38" t="str">
        <f>IF([1]totrevprm!O1383="","",[1]totrevprm!O1383)</f>
        <v/>
      </c>
    </row>
    <row r="1383" spans="1:26">
      <c r="A1383" s="50" t="s">
        <v>64</v>
      </c>
      <c r="B1383" s="51" t="s">
        <v>803</v>
      </c>
      <c r="C1383" s="52" t="s">
        <v>731</v>
      </c>
      <c r="D1383" s="53">
        <v>1996</v>
      </c>
      <c r="E1383" s="54">
        <v>755357432</v>
      </c>
      <c r="F1383" s="54">
        <v>715264307</v>
      </c>
      <c r="G1383" s="54">
        <v>654376965</v>
      </c>
      <c r="H1383" s="54">
        <v>62180671</v>
      </c>
      <c r="I1383" s="55">
        <f t="shared" si="63"/>
        <v>2187179375</v>
      </c>
      <c r="J1383" s="54">
        <v>0</v>
      </c>
      <c r="K1383" s="56">
        <f t="shared" si="64"/>
        <v>2187179375</v>
      </c>
      <c r="L1383" s="37">
        <v>0</v>
      </c>
      <c r="O1383" s="38" t="str">
        <f>IF([1]totrevprm!O1384="","",[1]totrevprm!O1384)</f>
        <v/>
      </c>
    </row>
    <row r="1384" spans="1:26">
      <c r="A1384" s="50" t="s">
        <v>64</v>
      </c>
      <c r="B1384" s="51" t="s">
        <v>803</v>
      </c>
      <c r="C1384" s="52" t="s">
        <v>731</v>
      </c>
      <c r="D1384" s="53">
        <v>1997</v>
      </c>
      <c r="E1384" s="54">
        <v>719950509</v>
      </c>
      <c r="F1384" s="54">
        <v>686661197</v>
      </c>
      <c r="G1384" s="54">
        <v>792864569</v>
      </c>
      <c r="H1384" s="54">
        <v>65154294</v>
      </c>
      <c r="I1384" s="55">
        <f t="shared" si="63"/>
        <v>2264630569</v>
      </c>
      <c r="J1384" s="54">
        <v>0</v>
      </c>
      <c r="K1384" s="56">
        <f t="shared" si="64"/>
        <v>2264630569</v>
      </c>
      <c r="L1384" s="37">
        <v>0</v>
      </c>
      <c r="O1384" s="38" t="str">
        <f>IF([1]totrevprm!O1385="","",[1]totrevprm!O1385)</f>
        <v/>
      </c>
    </row>
    <row r="1385" spans="1:26">
      <c r="A1385" s="50" t="s">
        <v>64</v>
      </c>
      <c r="B1385" s="51" t="s">
        <v>803</v>
      </c>
      <c r="C1385" s="52" t="s">
        <v>731</v>
      </c>
      <c r="D1385" s="53">
        <v>1998</v>
      </c>
      <c r="E1385" s="54">
        <v>720826519</v>
      </c>
      <c r="F1385" s="54">
        <v>550848286</v>
      </c>
      <c r="G1385" s="54">
        <v>960047164</v>
      </c>
      <c r="H1385" s="54">
        <v>56616238</v>
      </c>
      <c r="I1385" s="55">
        <f t="shared" si="63"/>
        <v>2288338207</v>
      </c>
      <c r="J1385" s="54">
        <v>0</v>
      </c>
      <c r="K1385" s="56">
        <f t="shared" si="64"/>
        <v>2288338207</v>
      </c>
      <c r="L1385" s="37">
        <v>0</v>
      </c>
      <c r="O1385" s="38" t="str">
        <f>IF([1]totrevprm!O1386="","",[1]totrevprm!O1386)</f>
        <v/>
      </c>
    </row>
    <row r="1386" spans="1:26">
      <c r="A1386" s="50" t="s">
        <v>64</v>
      </c>
      <c r="B1386" s="51" t="s">
        <v>803</v>
      </c>
      <c r="C1386" s="52" t="s">
        <v>731</v>
      </c>
      <c r="D1386" s="53">
        <v>1999</v>
      </c>
      <c r="E1386" s="54">
        <v>728877210</v>
      </c>
      <c r="F1386" s="54">
        <v>726671578</v>
      </c>
      <c r="G1386" s="54">
        <v>786285685</v>
      </c>
      <c r="H1386" s="54">
        <v>125216390</v>
      </c>
      <c r="I1386" s="55">
        <f t="shared" si="63"/>
        <v>2367050863</v>
      </c>
      <c r="J1386" s="54">
        <v>0</v>
      </c>
      <c r="K1386" s="56">
        <f t="shared" si="64"/>
        <v>2367050863</v>
      </c>
      <c r="L1386" s="37">
        <v>0</v>
      </c>
      <c r="O1386" s="38" t="str">
        <f>IF([1]totrevprm!O1387="","",[1]totrevprm!O1387)</f>
        <v/>
      </c>
    </row>
    <row r="1387" spans="1:26">
      <c r="A1387" s="50" t="s">
        <v>64</v>
      </c>
      <c r="B1387" s="51" t="s">
        <v>803</v>
      </c>
      <c r="C1387" s="52" t="s">
        <v>731</v>
      </c>
      <c r="D1387" s="53">
        <v>2000</v>
      </c>
      <c r="E1387" s="54">
        <v>743282612</v>
      </c>
      <c r="F1387" s="54">
        <v>893636452</v>
      </c>
      <c r="G1387" s="54">
        <v>909940157</v>
      </c>
      <c r="H1387" s="54">
        <v>73526876</v>
      </c>
      <c r="I1387" s="55">
        <f t="shared" si="63"/>
        <v>2620386097</v>
      </c>
      <c r="J1387" s="54">
        <v>0</v>
      </c>
      <c r="K1387" s="56">
        <f t="shared" si="64"/>
        <v>2620386097</v>
      </c>
      <c r="L1387" s="37">
        <v>0</v>
      </c>
      <c r="O1387" s="38" t="str">
        <f>IF([1]totrevprm!O1388="","",[1]totrevprm!O1388)</f>
        <v/>
      </c>
      <c r="V1387" s="38" t="s">
        <v>803</v>
      </c>
      <c r="W1387" s="58">
        <v>792743</v>
      </c>
      <c r="X1387" s="58">
        <v>26037207</v>
      </c>
      <c r="Y1387" s="58">
        <v>10981979</v>
      </c>
      <c r="Z1387" s="58">
        <v>0</v>
      </c>
    </row>
    <row r="1388" spans="1:26">
      <c r="A1388" s="50" t="s">
        <v>64</v>
      </c>
      <c r="B1388" s="51" t="s">
        <v>803</v>
      </c>
      <c r="C1388" s="52" t="s">
        <v>731</v>
      </c>
      <c r="D1388" s="53">
        <v>2001</v>
      </c>
      <c r="E1388" s="54">
        <v>771999343</v>
      </c>
      <c r="F1388" s="54">
        <v>1004482176</v>
      </c>
      <c r="G1388" s="54">
        <v>803603902</v>
      </c>
      <c r="H1388" s="54">
        <v>93354686</v>
      </c>
      <c r="I1388" s="55">
        <f t="shared" si="63"/>
        <v>2673440107</v>
      </c>
      <c r="J1388" s="54">
        <v>0</v>
      </c>
      <c r="K1388" s="56">
        <f t="shared" si="64"/>
        <v>2673440107</v>
      </c>
      <c r="L1388" s="37">
        <v>0</v>
      </c>
      <c r="O1388" s="38" t="str">
        <f>IF([1]totrevprm!O1389="","",[1]totrevprm!O1389)</f>
        <v/>
      </c>
      <c r="V1388" s="38"/>
      <c r="W1388" s="58"/>
      <c r="X1388" s="58"/>
      <c r="Y1388" s="58"/>
      <c r="Z1388" s="58"/>
    </row>
    <row r="1389" spans="1:26">
      <c r="A1389" s="50" t="s">
        <v>64</v>
      </c>
      <c r="B1389" s="51" t="s">
        <v>803</v>
      </c>
      <c r="C1389" s="52" t="s">
        <v>731</v>
      </c>
      <c r="D1389" s="53">
        <v>2002</v>
      </c>
      <c r="E1389" s="54">
        <v>790911199</v>
      </c>
      <c r="F1389" s="54">
        <v>1332585909</v>
      </c>
      <c r="G1389" s="54">
        <v>848558514</v>
      </c>
      <c r="H1389" s="54">
        <v>51183511</v>
      </c>
      <c r="I1389" s="55">
        <f t="shared" si="63"/>
        <v>3023239133</v>
      </c>
      <c r="J1389" s="54">
        <v>0</v>
      </c>
      <c r="K1389" s="56">
        <f t="shared" si="64"/>
        <v>3023239133</v>
      </c>
      <c r="L1389" s="37">
        <v>0</v>
      </c>
      <c r="O1389" s="38" t="str">
        <f>IF([1]totrevprm!O1390="","",[1]totrevprm!O1390)</f>
        <v/>
      </c>
      <c r="V1389" s="38"/>
      <c r="W1389" s="58"/>
      <c r="X1389" s="58"/>
      <c r="Y1389" s="58"/>
      <c r="Z1389" s="58"/>
    </row>
    <row r="1390" spans="1:26">
      <c r="A1390" s="50" t="s">
        <v>64</v>
      </c>
      <c r="B1390" s="51" t="s">
        <v>803</v>
      </c>
      <c r="C1390" s="52" t="s">
        <v>731</v>
      </c>
      <c r="D1390" s="53">
        <v>2003</v>
      </c>
      <c r="E1390" s="59">
        <v>847274270</v>
      </c>
      <c r="F1390" s="59">
        <v>1396433518</v>
      </c>
      <c r="G1390" s="59">
        <v>884605712</v>
      </c>
      <c r="H1390" s="59">
        <v>48002935</v>
      </c>
      <c r="I1390" s="55">
        <f t="shared" si="63"/>
        <v>3176316435</v>
      </c>
      <c r="J1390" s="54">
        <v>0</v>
      </c>
      <c r="K1390" s="56">
        <f t="shared" si="64"/>
        <v>3176316435</v>
      </c>
      <c r="L1390" s="37">
        <v>0</v>
      </c>
      <c r="O1390" s="38" t="str">
        <f>IF([1]totrevprm!O1391="","",[1]totrevprm!O1391)</f>
        <v/>
      </c>
      <c r="V1390" s="38"/>
      <c r="W1390" s="58"/>
      <c r="X1390" s="58"/>
      <c r="Y1390" s="58"/>
      <c r="Z1390" s="58"/>
    </row>
    <row r="1391" spans="1:26">
      <c r="A1391" s="50" t="s">
        <v>64</v>
      </c>
      <c r="B1391" s="51" t="s">
        <v>803</v>
      </c>
      <c r="C1391" s="52" t="s">
        <v>731</v>
      </c>
      <c r="D1391" s="53">
        <v>2004</v>
      </c>
      <c r="E1391" s="59">
        <v>880003563</v>
      </c>
      <c r="F1391" s="59">
        <v>1274161437</v>
      </c>
      <c r="G1391" s="59">
        <v>987967712</v>
      </c>
      <c r="H1391" s="59">
        <v>38304389</v>
      </c>
      <c r="I1391" s="55">
        <f t="shared" si="63"/>
        <v>3180437101</v>
      </c>
      <c r="J1391" s="54">
        <v>0</v>
      </c>
      <c r="K1391" s="56">
        <f t="shared" si="64"/>
        <v>3180437101</v>
      </c>
      <c r="L1391" s="37">
        <v>0</v>
      </c>
      <c r="O1391" s="38" t="str">
        <f>IF([1]totrevprm!O1392="","",[1]totrevprm!O1392)</f>
        <v/>
      </c>
      <c r="V1391" s="38"/>
      <c r="W1391" s="58"/>
      <c r="X1391" s="58"/>
      <c r="Y1391" s="58"/>
      <c r="Z1391" s="58"/>
    </row>
    <row r="1392" spans="1:26">
      <c r="A1392" s="50" t="s">
        <v>64</v>
      </c>
      <c r="B1392" s="51" t="s">
        <v>803</v>
      </c>
      <c r="C1392" s="52"/>
      <c r="D1392" s="53">
        <v>2005</v>
      </c>
      <c r="E1392" s="59">
        <v>856725793</v>
      </c>
      <c r="F1392" s="59">
        <v>1082211585</v>
      </c>
      <c r="G1392" s="59">
        <v>1118685177.0999899</v>
      </c>
      <c r="H1392" s="59">
        <v>21704483</v>
      </c>
      <c r="I1392" s="55">
        <f t="shared" si="63"/>
        <v>3079327038.0999899</v>
      </c>
      <c r="J1392" s="54">
        <v>0</v>
      </c>
      <c r="K1392" s="56">
        <f t="shared" si="64"/>
        <v>3079327038.0999899</v>
      </c>
      <c r="L1392" s="37">
        <v>0</v>
      </c>
      <c r="O1392" s="38" t="str">
        <f>IF([1]totrevprm!O1393="","",[1]totrevprm!O1393)</f>
        <v/>
      </c>
      <c r="V1392" s="38"/>
      <c r="W1392" s="58"/>
      <c r="X1392" s="58"/>
      <c r="Y1392" s="58"/>
      <c r="Z1392" s="58"/>
    </row>
    <row r="1393" spans="1:26">
      <c r="A1393" s="50" t="s">
        <v>64</v>
      </c>
      <c r="B1393" s="51" t="s">
        <v>803</v>
      </c>
      <c r="C1393" s="52"/>
      <c r="D1393" s="53">
        <v>2006</v>
      </c>
      <c r="E1393" s="37">
        <v>928149167</v>
      </c>
      <c r="F1393" s="37">
        <v>1099881946</v>
      </c>
      <c r="G1393" s="37">
        <v>1346163921</v>
      </c>
      <c r="H1393" s="37">
        <v>15663377</v>
      </c>
      <c r="I1393" s="55">
        <f t="shared" si="63"/>
        <v>3389858411</v>
      </c>
      <c r="J1393" s="54">
        <v>0</v>
      </c>
      <c r="K1393" s="56">
        <f t="shared" si="64"/>
        <v>3389858411</v>
      </c>
      <c r="L1393" s="37">
        <v>0</v>
      </c>
      <c r="O1393" s="38" t="str">
        <f>IF([1]totrevprm!O1394="","",[1]totrevprm!O1394)</f>
        <v/>
      </c>
      <c r="V1393" s="38"/>
      <c r="W1393" s="58"/>
      <c r="X1393" s="58"/>
      <c r="Y1393" s="58"/>
      <c r="Z1393" s="58"/>
    </row>
    <row r="1394" spans="1:26">
      <c r="A1394" s="50" t="s">
        <v>64</v>
      </c>
      <c r="B1394" s="51" t="s">
        <v>803</v>
      </c>
      <c r="C1394" s="52"/>
      <c r="D1394" s="53">
        <v>2007</v>
      </c>
      <c r="E1394" s="37">
        <v>940070559</v>
      </c>
      <c r="F1394" s="37">
        <v>1228133633</v>
      </c>
      <c r="G1394" s="37">
        <v>1985559448</v>
      </c>
      <c r="H1394" s="54">
        <v>-101448253</v>
      </c>
      <c r="I1394" s="55">
        <f t="shared" si="63"/>
        <v>4052315387</v>
      </c>
      <c r="J1394" s="54">
        <v>0</v>
      </c>
      <c r="K1394" s="56">
        <f t="shared" si="64"/>
        <v>4052315387</v>
      </c>
      <c r="L1394" s="37">
        <v>0</v>
      </c>
      <c r="O1394" s="38" t="str">
        <f>IF([1]totrevprm!O1395="","",[1]totrevprm!O1395)</f>
        <v/>
      </c>
      <c r="V1394" s="38"/>
      <c r="W1394" s="58"/>
      <c r="X1394" s="58"/>
      <c r="Y1394" s="58"/>
      <c r="Z1394" s="58"/>
    </row>
    <row r="1395" spans="1:26">
      <c r="A1395" s="50" t="s">
        <v>64</v>
      </c>
      <c r="B1395" s="51" t="s">
        <v>803</v>
      </c>
      <c r="C1395" s="52"/>
      <c r="D1395" s="53">
        <v>2008</v>
      </c>
      <c r="E1395" s="37">
        <v>966239499</v>
      </c>
      <c r="F1395" s="37">
        <v>1589801073</v>
      </c>
      <c r="G1395" s="37">
        <v>1962685043</v>
      </c>
      <c r="H1395" s="37">
        <v>19167596</v>
      </c>
      <c r="I1395" s="55">
        <f t="shared" si="63"/>
        <v>4537893211</v>
      </c>
      <c r="J1395" s="54">
        <v>0</v>
      </c>
      <c r="K1395" s="56">
        <f t="shared" si="64"/>
        <v>4537893211</v>
      </c>
      <c r="L1395" s="37">
        <v>0</v>
      </c>
      <c r="O1395" s="38" t="str">
        <f>IF([1]totrevprm!O1396="","",[1]totrevprm!O1396)</f>
        <v/>
      </c>
      <c r="V1395" s="38"/>
      <c r="W1395" s="58"/>
      <c r="X1395" s="58"/>
      <c r="Y1395" s="58"/>
      <c r="Z1395" s="58"/>
    </row>
    <row r="1396" spans="1:26">
      <c r="A1396" s="50" t="s">
        <v>64</v>
      </c>
      <c r="B1396" s="51" t="s">
        <v>803</v>
      </c>
      <c r="C1396" s="52"/>
      <c r="D1396" s="53">
        <v>2009</v>
      </c>
      <c r="E1396" s="37">
        <v>1017455661</v>
      </c>
      <c r="F1396" s="37">
        <v>1530980278</v>
      </c>
      <c r="G1396" s="37">
        <v>1964912338</v>
      </c>
      <c r="H1396" s="37">
        <v>44277832</v>
      </c>
      <c r="I1396" s="55">
        <f t="shared" si="63"/>
        <v>4557626109</v>
      </c>
      <c r="J1396" s="54">
        <v>0</v>
      </c>
      <c r="K1396" s="56">
        <f t="shared" si="64"/>
        <v>4557626109</v>
      </c>
      <c r="L1396" s="37">
        <v>0</v>
      </c>
      <c r="O1396" s="38" t="str">
        <f>IF([1]totrevprm!O1397="","",[1]totrevprm!O1397)</f>
        <v/>
      </c>
      <c r="V1396" s="38"/>
      <c r="W1396" s="58"/>
      <c r="X1396" s="58"/>
      <c r="Y1396" s="58"/>
      <c r="Z1396" s="58"/>
    </row>
    <row r="1397" spans="1:26">
      <c r="A1397" s="50" t="s">
        <v>64</v>
      </c>
      <c r="B1397" s="51" t="s">
        <v>803</v>
      </c>
      <c r="C1397" s="52"/>
      <c r="D1397" s="53">
        <v>2010</v>
      </c>
      <c r="E1397" s="37">
        <v>1049139067</v>
      </c>
      <c r="F1397" s="37">
        <v>1500106331</v>
      </c>
      <c r="G1397" s="37">
        <v>2080036886</v>
      </c>
      <c r="H1397" s="37">
        <v>62447343</v>
      </c>
      <c r="I1397" s="55">
        <f t="shared" si="63"/>
        <v>4691729627</v>
      </c>
      <c r="J1397" s="54">
        <v>0</v>
      </c>
      <c r="K1397" s="56">
        <f t="shared" si="64"/>
        <v>4691729627</v>
      </c>
      <c r="L1397" s="37">
        <v>0</v>
      </c>
      <c r="O1397" s="38" t="str">
        <f>IF([1]totrevprm!O1398="","",[1]totrevprm!O1398)</f>
        <v/>
      </c>
      <c r="V1397" s="38"/>
      <c r="W1397" s="58"/>
      <c r="X1397" s="58"/>
      <c r="Y1397" s="58"/>
      <c r="Z1397" s="58"/>
    </row>
    <row r="1398" spans="1:26">
      <c r="A1398" s="50" t="s">
        <v>64</v>
      </c>
      <c r="B1398" s="51" t="s">
        <v>803</v>
      </c>
      <c r="C1398" s="52"/>
      <c r="D1398" s="53">
        <v>2011</v>
      </c>
      <c r="E1398" s="37">
        <v>1090276860</v>
      </c>
      <c r="F1398" s="37">
        <v>1259814723</v>
      </c>
      <c r="G1398" s="37">
        <v>2213758036.5799999</v>
      </c>
      <c r="H1398" s="37">
        <v>62825317</v>
      </c>
      <c r="I1398" s="55">
        <f t="shared" si="63"/>
        <v>4626674936.5799999</v>
      </c>
      <c r="J1398" s="54">
        <v>0</v>
      </c>
      <c r="K1398" s="56">
        <f t="shared" si="64"/>
        <v>4626674936.5799999</v>
      </c>
      <c r="L1398" s="37">
        <v>0</v>
      </c>
      <c r="O1398" s="38" t="str">
        <f>IF([1]totrevprm!O1399="","",[1]totrevprm!O1399)</f>
        <v/>
      </c>
      <c r="V1398" s="38"/>
      <c r="W1398" s="58"/>
      <c r="X1398" s="58"/>
      <c r="Y1398" s="58"/>
      <c r="Z1398" s="58"/>
    </row>
    <row r="1399" spans="1:26">
      <c r="A1399" s="50" t="s">
        <v>64</v>
      </c>
      <c r="B1399" s="51" t="s">
        <v>803</v>
      </c>
      <c r="C1399" s="52"/>
      <c r="D1399" s="53">
        <v>2012</v>
      </c>
      <c r="E1399" s="37">
        <v>1108512537</v>
      </c>
      <c r="F1399" s="37">
        <v>1321757513</v>
      </c>
      <c r="G1399" s="37">
        <v>1510631717</v>
      </c>
      <c r="H1399" s="37">
        <v>48366542</v>
      </c>
      <c r="I1399" s="55">
        <f t="shared" si="63"/>
        <v>3989268309</v>
      </c>
      <c r="J1399" s="54">
        <v>0</v>
      </c>
      <c r="K1399" s="56">
        <f t="shared" si="64"/>
        <v>3989268309</v>
      </c>
      <c r="L1399" s="37">
        <v>0</v>
      </c>
      <c r="O1399" s="38" t="str">
        <f>IF([1]totrevprm!O1400="","",[1]totrevprm!O1400)</f>
        <v/>
      </c>
      <c r="V1399" s="38"/>
      <c r="W1399" s="58"/>
      <c r="X1399" s="58"/>
      <c r="Y1399" s="58"/>
      <c r="Z1399" s="58"/>
    </row>
    <row r="1400" spans="1:26">
      <c r="A1400" s="50" t="s">
        <v>64</v>
      </c>
      <c r="B1400" s="51" t="s">
        <v>803</v>
      </c>
      <c r="C1400" s="52"/>
      <c r="D1400" s="53">
        <v>2013</v>
      </c>
      <c r="E1400" s="37">
        <v>1099992671</v>
      </c>
      <c r="F1400" s="37">
        <v>1366316746</v>
      </c>
      <c r="G1400" s="37">
        <v>1594284187</v>
      </c>
      <c r="H1400" s="37">
        <v>48830750</v>
      </c>
      <c r="I1400" s="55">
        <f t="shared" si="63"/>
        <v>4109424354</v>
      </c>
      <c r="J1400" s="54">
        <v>0</v>
      </c>
      <c r="K1400" s="56">
        <f t="shared" si="64"/>
        <v>4109424354</v>
      </c>
      <c r="L1400" s="37">
        <v>0</v>
      </c>
      <c r="O1400" s="38" t="str">
        <f>IF([1]totrevprm!O1401="","",[1]totrevprm!O1401)</f>
        <v/>
      </c>
      <c r="V1400" s="38"/>
      <c r="W1400" s="58"/>
      <c r="X1400" s="58"/>
      <c r="Y1400" s="58"/>
      <c r="Z1400" s="58"/>
    </row>
    <row r="1401" spans="1:26">
      <c r="A1401" s="50" t="s">
        <v>64</v>
      </c>
      <c r="B1401" s="51" t="s">
        <v>803</v>
      </c>
      <c r="C1401" s="52"/>
      <c r="D1401" s="53">
        <v>2014</v>
      </c>
      <c r="E1401" s="37">
        <v>1153577720</v>
      </c>
      <c r="F1401" s="37">
        <v>1525669016</v>
      </c>
      <c r="G1401" s="37">
        <v>1648109090.48</v>
      </c>
      <c r="H1401" s="37">
        <v>62301029</v>
      </c>
      <c r="I1401" s="55">
        <f t="shared" si="63"/>
        <v>4389656855.4799995</v>
      </c>
      <c r="J1401" s="54">
        <v>0</v>
      </c>
      <c r="K1401" s="56">
        <f t="shared" si="64"/>
        <v>4389656855.4799995</v>
      </c>
      <c r="L1401" s="37">
        <v>0</v>
      </c>
      <c r="O1401" s="38" t="str">
        <f>IF([1]totrevprm!O1402="","",[1]totrevprm!O1402)</f>
        <v/>
      </c>
      <c r="V1401" s="38"/>
      <c r="W1401" s="58"/>
      <c r="X1401" s="58"/>
      <c r="Y1401" s="58"/>
      <c r="Z1401" s="58"/>
    </row>
    <row r="1402" spans="1:26">
      <c r="A1402" s="50" t="s">
        <v>64</v>
      </c>
      <c r="B1402" s="51" t="s">
        <v>803</v>
      </c>
      <c r="C1402" s="52"/>
      <c r="D1402" s="53">
        <v>2015</v>
      </c>
      <c r="E1402" s="37">
        <v>1173943291</v>
      </c>
      <c r="F1402" s="37">
        <v>1651855009</v>
      </c>
      <c r="G1402" s="37">
        <v>1656057822</v>
      </c>
      <c r="H1402" s="37">
        <v>68311429</v>
      </c>
      <c r="I1402" s="55">
        <f t="shared" si="63"/>
        <v>4550167551</v>
      </c>
      <c r="J1402" s="54">
        <v>0</v>
      </c>
      <c r="K1402" s="56">
        <f t="shared" si="64"/>
        <v>4550167551</v>
      </c>
      <c r="L1402" s="37">
        <v>0</v>
      </c>
      <c r="O1402" s="38" t="str">
        <f>IF([1]totrevprm!O1403="","",[1]totrevprm!O1403)</f>
        <v/>
      </c>
      <c r="P1402" s="35">
        <v>284886915.89254552</v>
      </c>
      <c r="Q1402" s="35">
        <v>141069736.17313433</v>
      </c>
      <c r="V1402" s="38"/>
      <c r="W1402" s="58"/>
      <c r="X1402" s="58"/>
      <c r="Y1402" s="58"/>
      <c r="Z1402" s="58"/>
    </row>
    <row r="1403" spans="1:26">
      <c r="A1403" s="50" t="s">
        <v>64</v>
      </c>
      <c r="B1403" s="51" t="s">
        <v>803</v>
      </c>
      <c r="C1403" s="52"/>
      <c r="D1403" s="53">
        <v>2016</v>
      </c>
      <c r="E1403" s="37">
        <v>1226169489</v>
      </c>
      <c r="F1403" s="37">
        <v>1845096960</v>
      </c>
      <c r="G1403" s="37">
        <v>1617437271</v>
      </c>
      <c r="H1403" s="37">
        <v>96278666</v>
      </c>
      <c r="I1403" s="55">
        <f t="shared" si="63"/>
        <v>4784982386</v>
      </c>
      <c r="J1403" s="54">
        <v>0</v>
      </c>
      <c r="K1403" s="56">
        <f t="shared" si="64"/>
        <v>4784982386</v>
      </c>
      <c r="L1403" s="37">
        <v>0</v>
      </c>
      <c r="O1403" s="38" t="str">
        <f>IF([1]totrevprm!O1404="","",[1]totrevprm!O1404)</f>
        <v/>
      </c>
      <c r="P1403" s="35">
        <v>296240556.46210694</v>
      </c>
      <c r="Q1403" s="35">
        <v>145005355.02902257</v>
      </c>
      <c r="V1403" s="38"/>
      <c r="W1403" s="58"/>
      <c r="X1403" s="58"/>
      <c r="Y1403" s="58"/>
      <c r="Z1403" s="58"/>
    </row>
    <row r="1404" spans="1:26">
      <c r="A1404" s="50" t="s">
        <v>64</v>
      </c>
      <c r="B1404" s="51" t="s">
        <v>803</v>
      </c>
      <c r="C1404" s="52"/>
      <c r="D1404" s="53">
        <v>2017</v>
      </c>
      <c r="E1404" s="37">
        <v>1261514496</v>
      </c>
      <c r="F1404" s="37">
        <v>1741493618</v>
      </c>
      <c r="G1404" s="37">
        <v>1405128341.78</v>
      </c>
      <c r="H1404" s="37">
        <v>74596790</v>
      </c>
      <c r="I1404" s="55">
        <f t="shared" si="63"/>
        <v>4482733245.7799997</v>
      </c>
      <c r="J1404" s="54">
        <v>0</v>
      </c>
      <c r="K1404" s="56">
        <f t="shared" si="64"/>
        <v>4482733245.7799997</v>
      </c>
      <c r="L1404" s="37">
        <v>0</v>
      </c>
      <c r="O1404" s="38" t="str">
        <f>IF([1]totrevprm!O1405="","",[1]totrevprm!O1405)</f>
        <v/>
      </c>
      <c r="P1404" s="35">
        <v>313164837.31790841</v>
      </c>
      <c r="Q1404" s="35">
        <v>141174157.00330707</v>
      </c>
      <c r="V1404" s="38"/>
      <c r="W1404" s="58"/>
      <c r="X1404" s="58"/>
      <c r="Y1404" s="58"/>
      <c r="Z1404" s="58"/>
    </row>
    <row r="1405" spans="1:26">
      <c r="A1405" s="50" t="s">
        <v>64</v>
      </c>
      <c r="B1405" s="51" t="s">
        <v>803</v>
      </c>
      <c r="C1405" s="52"/>
      <c r="D1405" s="53">
        <v>2018</v>
      </c>
      <c r="E1405" s="37">
        <v>1289321205</v>
      </c>
      <c r="F1405" s="37">
        <v>2113266872</v>
      </c>
      <c r="G1405" s="37">
        <v>1543021071.1100001</v>
      </c>
      <c r="H1405" s="37">
        <v>54907683</v>
      </c>
      <c r="I1405" s="55">
        <f t="shared" si="63"/>
        <v>5000516831.1100006</v>
      </c>
      <c r="J1405" s="54">
        <v>0</v>
      </c>
      <c r="K1405" s="56">
        <f t="shared" si="64"/>
        <v>5000516831.1100006</v>
      </c>
      <c r="L1405" s="60">
        <v>0</v>
      </c>
      <c r="O1405" s="38" t="str">
        <f>IF([1]totrevprm!O1406="","",[1]totrevprm!O1406)</f>
        <v/>
      </c>
      <c r="P1405" s="35">
        <v>329028866.77707201</v>
      </c>
      <c r="Q1405" s="35">
        <v>143062555.38999999</v>
      </c>
      <c r="V1405" s="38"/>
      <c r="W1405" s="58"/>
      <c r="X1405" s="58"/>
      <c r="Y1405" s="58"/>
      <c r="Z1405" s="58"/>
    </row>
    <row r="1406" spans="1:26">
      <c r="A1406" s="50" t="s">
        <v>64</v>
      </c>
      <c r="B1406" s="51" t="s">
        <v>803</v>
      </c>
      <c r="C1406" s="52"/>
      <c r="D1406" s="53">
        <v>2019</v>
      </c>
      <c r="E1406" s="37">
        <v>1310686624</v>
      </c>
      <c r="F1406" s="37">
        <v>2347333562</v>
      </c>
      <c r="G1406" s="37">
        <v>1648970700.0999999</v>
      </c>
      <c r="H1406" s="37">
        <v>27818163</v>
      </c>
      <c r="I1406" s="55">
        <f t="shared" si="63"/>
        <v>5334809049.1000004</v>
      </c>
      <c r="J1406" s="54">
        <v>0</v>
      </c>
      <c r="K1406" s="55">
        <f t="shared" si="64"/>
        <v>5334809049.1000004</v>
      </c>
      <c r="L1406" s="37">
        <v>37156883</v>
      </c>
      <c r="M1406" s="67" t="s">
        <v>735</v>
      </c>
      <c r="N1406" t="s">
        <v>708</v>
      </c>
      <c r="O1406" s="38" t="str">
        <f>IF([1]totrevprm!O1407="","",[1]totrevprm!O1407)</f>
        <v/>
      </c>
      <c r="P1406" s="35">
        <v>352328112.01792014</v>
      </c>
      <c r="Q1406" s="35">
        <v>140470891.48058301</v>
      </c>
      <c r="V1406" s="38"/>
      <c r="W1406" s="58"/>
      <c r="X1406" s="58"/>
      <c r="Y1406" s="58"/>
      <c r="Z1406" s="58"/>
    </row>
    <row r="1407" spans="1:26">
      <c r="A1407" s="50" t="s">
        <v>64</v>
      </c>
      <c r="B1407" s="51" t="s">
        <v>803</v>
      </c>
      <c r="C1407" s="52"/>
      <c r="D1407" s="53">
        <v>2020</v>
      </c>
      <c r="E1407" s="37">
        <v>1324261962</v>
      </c>
      <c r="F1407" s="37">
        <v>1928873542</v>
      </c>
      <c r="G1407" s="37">
        <v>1690080284</v>
      </c>
      <c r="H1407" s="37">
        <v>847417</v>
      </c>
      <c r="I1407" s="55">
        <f t="shared" si="63"/>
        <v>4944063205</v>
      </c>
      <c r="J1407" s="54">
        <v>0</v>
      </c>
      <c r="K1407" s="56">
        <f t="shared" si="64"/>
        <v>4944063205</v>
      </c>
      <c r="L1407" s="60">
        <v>27377831</v>
      </c>
      <c r="M1407" s="67" t="s">
        <v>806</v>
      </c>
      <c r="N1407" t="s">
        <v>708</v>
      </c>
      <c r="O1407" s="38" t="str">
        <f>IF([1]totrevprm!O1408="","",[1]totrevprm!O1408)</f>
        <v/>
      </c>
      <c r="P1407" s="35">
        <v>348385631</v>
      </c>
      <c r="Q1407" s="35">
        <v>136758751</v>
      </c>
      <c r="V1407" s="38"/>
      <c r="W1407" s="58"/>
      <c r="X1407" s="58"/>
      <c r="Y1407" s="58"/>
      <c r="Z1407" s="58"/>
    </row>
    <row r="1408" spans="1:26">
      <c r="A1408" s="50" t="s">
        <v>64</v>
      </c>
      <c r="B1408" s="51" t="s">
        <v>803</v>
      </c>
      <c r="C1408" s="52"/>
      <c r="D1408" s="53">
        <v>2021</v>
      </c>
      <c r="E1408" s="37">
        <v>1397602818</v>
      </c>
      <c r="F1408" s="37">
        <v>2174056620</v>
      </c>
      <c r="G1408" s="37">
        <v>1694231562</v>
      </c>
      <c r="H1408" s="37">
        <v>0</v>
      </c>
      <c r="I1408" s="55">
        <f t="shared" si="63"/>
        <v>5265891000</v>
      </c>
      <c r="J1408" s="60">
        <v>-4</v>
      </c>
      <c r="K1408" s="56">
        <f t="shared" si="64"/>
        <v>5265890996</v>
      </c>
      <c r="L1408" s="60">
        <v>0</v>
      </c>
      <c r="M1408" s="67"/>
      <c r="N1408" t="s">
        <v>708</v>
      </c>
      <c r="O1408" s="38"/>
      <c r="P1408" s="35">
        <v>331640045.61000001</v>
      </c>
      <c r="Q1408" s="35">
        <v>141943975</v>
      </c>
      <c r="V1408" s="38"/>
      <c r="W1408" s="58"/>
      <c r="X1408" s="58"/>
      <c r="Y1408" s="58"/>
      <c r="Z1408" s="58"/>
    </row>
    <row r="1409" spans="1:26">
      <c r="A1409" s="50" t="s">
        <v>64</v>
      </c>
      <c r="B1409" s="51" t="s">
        <v>803</v>
      </c>
      <c r="C1409" s="52"/>
      <c r="D1409" s="53">
        <v>2022</v>
      </c>
      <c r="E1409" s="37">
        <v>1435273160</v>
      </c>
      <c r="F1409" s="37">
        <v>2704678575</v>
      </c>
      <c r="G1409" s="37">
        <v>1769004726</v>
      </c>
      <c r="H1409" s="37">
        <v>0</v>
      </c>
      <c r="I1409" s="55">
        <f t="shared" si="63"/>
        <v>5908956461</v>
      </c>
      <c r="J1409" s="60">
        <v>-1026801</v>
      </c>
      <c r="K1409" s="56">
        <f t="shared" si="64"/>
        <v>5907929660</v>
      </c>
      <c r="L1409" s="60">
        <v>0</v>
      </c>
      <c r="O1409" s="38" t="str">
        <f>IF([1]totrevprm!O1412="","",[1]totrevprm!O1412)</f>
        <v/>
      </c>
      <c r="P1409" s="60">
        <v>394355554</v>
      </c>
      <c r="Q1409" s="60">
        <v>139665068</v>
      </c>
    </row>
    <row r="1410" spans="1:26">
      <c r="A1410" s="50" t="s">
        <v>64</v>
      </c>
      <c r="B1410" s="51" t="s">
        <v>803</v>
      </c>
      <c r="C1410" s="52"/>
      <c r="D1410" s="53">
        <v>2023</v>
      </c>
      <c r="E1410" s="37">
        <v>1456970088</v>
      </c>
      <c r="F1410" s="37">
        <v>3323101677.3895001</v>
      </c>
      <c r="G1410" s="37">
        <v>2008382724.4000001</v>
      </c>
      <c r="H1410" s="37">
        <v>0</v>
      </c>
      <c r="I1410" s="55">
        <f t="shared" si="63"/>
        <v>6788454489.7894993</v>
      </c>
      <c r="J1410" s="60">
        <v>-77745</v>
      </c>
      <c r="K1410" s="56">
        <f t="shared" si="64"/>
        <v>6788376744.7894993</v>
      </c>
      <c r="L1410" s="37">
        <v>0</v>
      </c>
      <c r="O1410" s="38"/>
      <c r="P1410" s="60">
        <v>375744434.38999999</v>
      </c>
      <c r="Q1410" s="60">
        <v>133711994</v>
      </c>
    </row>
    <row r="1411" spans="1:26">
      <c r="A1411" s="50"/>
      <c r="B1411" s="52"/>
      <c r="C1411" s="52"/>
      <c r="E1411" s="54"/>
      <c r="F1411" s="54"/>
      <c r="G1411" s="54"/>
      <c r="H1411" s="54"/>
      <c r="I1411" s="55"/>
      <c r="K1411" s="65"/>
      <c r="L1411" s="37"/>
      <c r="O1411" s="38"/>
    </row>
    <row r="1412" spans="1:26">
      <c r="A1412" s="50" t="s">
        <v>65</v>
      </c>
      <c r="B1412" s="51" t="s">
        <v>198</v>
      </c>
      <c r="C1412" s="52" t="s">
        <v>730</v>
      </c>
      <c r="D1412" s="53">
        <v>1988</v>
      </c>
      <c r="E1412" s="54">
        <v>2700343793</v>
      </c>
      <c r="F1412" s="54">
        <v>2724377425</v>
      </c>
      <c r="G1412" s="54">
        <v>1690553654</v>
      </c>
      <c r="H1412" s="54">
        <v>0</v>
      </c>
      <c r="I1412" s="55">
        <f t="shared" si="63"/>
        <v>7115274872</v>
      </c>
      <c r="J1412" s="54">
        <v>-4583433</v>
      </c>
      <c r="K1412" s="56">
        <f>SUM(I1412:J1412)</f>
        <v>7110691439</v>
      </c>
      <c r="L1412" s="37">
        <v>0</v>
      </c>
      <c r="O1412" s="38" t="str">
        <f>IF([1]totrevprm!O1413="","",[1]totrevprm!O1413)</f>
        <v/>
      </c>
    </row>
    <row r="1413" spans="1:26">
      <c r="A1413" s="50" t="s">
        <v>65</v>
      </c>
      <c r="B1413" s="51" t="s">
        <v>198</v>
      </c>
      <c r="C1413" s="52" t="s">
        <v>731</v>
      </c>
      <c r="D1413" s="53">
        <v>1989</v>
      </c>
      <c r="E1413" s="54">
        <v>2859921673</v>
      </c>
      <c r="F1413" s="54">
        <v>3506394627</v>
      </c>
      <c r="G1413" s="54">
        <v>1785997652</v>
      </c>
      <c r="H1413" s="54">
        <v>0</v>
      </c>
      <c r="I1413" s="55">
        <f t="shared" si="63"/>
        <v>8152313952</v>
      </c>
      <c r="J1413" s="54">
        <v>-13686679</v>
      </c>
      <c r="K1413" s="56">
        <f t="shared" ref="K1413:K1447" si="65">SUM(I1413:J1413)</f>
        <v>8138627273</v>
      </c>
      <c r="L1413" s="37">
        <v>0</v>
      </c>
      <c r="O1413" s="38" t="str">
        <f>IF([1]totrevprm!O1414="","",[1]totrevprm!O1414)</f>
        <v/>
      </c>
    </row>
    <row r="1414" spans="1:26">
      <c r="A1414" s="50" t="s">
        <v>65</v>
      </c>
      <c r="B1414" s="51" t="s">
        <v>198</v>
      </c>
      <c r="C1414" s="52" t="s">
        <v>731</v>
      </c>
      <c r="D1414" s="53">
        <v>1990</v>
      </c>
      <c r="E1414" s="54">
        <v>3035490589</v>
      </c>
      <c r="F1414" s="54">
        <v>3622625730.4000001</v>
      </c>
      <c r="G1414" s="54">
        <v>1888296161</v>
      </c>
      <c r="H1414" s="54">
        <v>0</v>
      </c>
      <c r="I1414" s="55">
        <f t="shared" si="63"/>
        <v>8546412480.3999996</v>
      </c>
      <c r="J1414" s="54">
        <v>-18074081</v>
      </c>
      <c r="K1414" s="56">
        <f t="shared" si="65"/>
        <v>8528338399.3999996</v>
      </c>
      <c r="L1414" s="37">
        <v>0</v>
      </c>
      <c r="O1414" s="38" t="str">
        <f>IF([1]totrevprm!O1415="","",[1]totrevprm!O1415)</f>
        <v/>
      </c>
    </row>
    <row r="1415" spans="1:26">
      <c r="A1415" s="50" t="s">
        <v>65</v>
      </c>
      <c r="B1415" s="51" t="s">
        <v>198</v>
      </c>
      <c r="C1415" s="52" t="s">
        <v>731</v>
      </c>
      <c r="D1415" s="53">
        <v>1991</v>
      </c>
      <c r="E1415" s="54">
        <v>3191579628</v>
      </c>
      <c r="F1415" s="54">
        <v>2821578406</v>
      </c>
      <c r="G1415" s="54">
        <v>1985179991</v>
      </c>
      <c r="H1415" s="54">
        <v>0</v>
      </c>
      <c r="I1415" s="55">
        <f t="shared" si="63"/>
        <v>7998338025</v>
      </c>
      <c r="J1415" s="54">
        <v>-7566735</v>
      </c>
      <c r="K1415" s="56">
        <f t="shared" si="65"/>
        <v>7990771290</v>
      </c>
      <c r="L1415" s="37">
        <v>0</v>
      </c>
      <c r="O1415" s="38" t="str">
        <f>IF([1]totrevprm!O1416="","",[1]totrevprm!O1416)</f>
        <v/>
      </c>
    </row>
    <row r="1416" spans="1:26">
      <c r="A1416" s="50" t="s">
        <v>65</v>
      </c>
      <c r="B1416" s="51" t="s">
        <v>198</v>
      </c>
      <c r="C1416" s="52" t="s">
        <v>759</v>
      </c>
      <c r="D1416" s="53">
        <v>1992</v>
      </c>
      <c r="E1416" s="54">
        <v>3358538676</v>
      </c>
      <c r="F1416" s="54">
        <v>2438918555.1599998</v>
      </c>
      <c r="G1416" s="54">
        <v>2017525467</v>
      </c>
      <c r="H1416" s="54">
        <v>1628237584</v>
      </c>
      <c r="I1416" s="55">
        <f t="shared" si="63"/>
        <v>9443220282.1599998</v>
      </c>
      <c r="J1416" s="54">
        <v>0</v>
      </c>
      <c r="K1416" s="56">
        <f t="shared" si="65"/>
        <v>9443220282.1599998</v>
      </c>
      <c r="L1416" s="37">
        <v>0</v>
      </c>
      <c r="O1416" s="38" t="str">
        <f>IF([1]totrevprm!O1417="","",[1]totrevprm!O1417)</f>
        <v/>
      </c>
    </row>
    <row r="1417" spans="1:26">
      <c r="A1417" s="50" t="s">
        <v>65</v>
      </c>
      <c r="B1417" s="51" t="s">
        <v>198</v>
      </c>
      <c r="C1417" s="52" t="s">
        <v>731</v>
      </c>
      <c r="D1417" s="53">
        <v>1993</v>
      </c>
      <c r="E1417" s="54">
        <v>3578335954</v>
      </c>
      <c r="F1417" s="54">
        <v>2225973485</v>
      </c>
      <c r="G1417" s="54">
        <v>2117059165</v>
      </c>
      <c r="H1417" s="54">
        <v>1379394121</v>
      </c>
      <c r="I1417" s="55">
        <f t="shared" si="63"/>
        <v>9300762725</v>
      </c>
      <c r="J1417" s="54">
        <v>0</v>
      </c>
      <c r="K1417" s="56">
        <f t="shared" si="65"/>
        <v>9300762725</v>
      </c>
      <c r="L1417" s="37">
        <v>0</v>
      </c>
      <c r="O1417" s="38" t="str">
        <f>IF([1]totrevprm!O1418="","",[1]totrevprm!O1418)</f>
        <v/>
      </c>
    </row>
    <row r="1418" spans="1:26">
      <c r="A1418" s="50" t="s">
        <v>65</v>
      </c>
      <c r="B1418" s="51" t="s">
        <v>198</v>
      </c>
      <c r="C1418" s="52" t="s">
        <v>731</v>
      </c>
      <c r="D1418" s="53">
        <v>1994</v>
      </c>
      <c r="E1418" s="54">
        <v>3734032803</v>
      </c>
      <c r="F1418" s="54">
        <v>2530741767</v>
      </c>
      <c r="G1418" s="54">
        <v>2228943235</v>
      </c>
      <c r="H1418" s="54">
        <v>1369288162</v>
      </c>
      <c r="I1418" s="55">
        <f t="shared" si="63"/>
        <v>9863005967</v>
      </c>
      <c r="J1418" s="54">
        <v>0</v>
      </c>
      <c r="K1418" s="56">
        <f t="shared" si="65"/>
        <v>9863005967</v>
      </c>
      <c r="L1418" s="37">
        <v>0</v>
      </c>
      <c r="O1418" s="38" t="str">
        <f>IF([1]totrevprm!O1419="","",[1]totrevprm!O1419)</f>
        <v/>
      </c>
    </row>
    <row r="1419" spans="1:26">
      <c r="A1419" s="50" t="s">
        <v>65</v>
      </c>
      <c r="B1419" s="51" t="s">
        <v>198</v>
      </c>
      <c r="C1419" s="52" t="s">
        <v>731</v>
      </c>
      <c r="D1419" s="53">
        <v>1995</v>
      </c>
      <c r="E1419" s="54">
        <v>3790467592</v>
      </c>
      <c r="F1419" s="54">
        <v>2878497123</v>
      </c>
      <c r="G1419" s="54">
        <v>2354037821</v>
      </c>
      <c r="H1419" s="54">
        <v>1244507998</v>
      </c>
      <c r="I1419" s="55">
        <f t="shared" si="63"/>
        <v>10267510534</v>
      </c>
      <c r="J1419" s="54">
        <v>0</v>
      </c>
      <c r="K1419" s="56">
        <f t="shared" si="65"/>
        <v>10267510534</v>
      </c>
      <c r="L1419" s="37">
        <v>0</v>
      </c>
      <c r="O1419" s="38" t="str">
        <f>IF([1]totrevprm!O1420="","",[1]totrevprm!O1420)</f>
        <v/>
      </c>
    </row>
    <row r="1420" spans="1:26">
      <c r="A1420" s="50" t="s">
        <v>65</v>
      </c>
      <c r="B1420" s="51" t="s">
        <v>198</v>
      </c>
      <c r="C1420" s="52" t="s">
        <v>731</v>
      </c>
      <c r="D1420" s="53">
        <v>1996</v>
      </c>
      <c r="E1420" s="54">
        <v>3878535536</v>
      </c>
      <c r="F1420" s="54">
        <v>2375412080</v>
      </c>
      <c r="G1420" s="54">
        <v>2442567996</v>
      </c>
      <c r="H1420" s="54">
        <v>942485425</v>
      </c>
      <c r="I1420" s="55">
        <f t="shared" si="63"/>
        <v>9639001037</v>
      </c>
      <c r="J1420" s="54">
        <v>0</v>
      </c>
      <c r="K1420" s="56">
        <f t="shared" si="65"/>
        <v>9639001037</v>
      </c>
      <c r="L1420" s="37">
        <v>0</v>
      </c>
      <c r="O1420" s="38" t="str">
        <f>IF([1]totrevprm!O1421="","",[1]totrevprm!O1421)</f>
        <v/>
      </c>
    </row>
    <row r="1421" spans="1:26">
      <c r="A1421" s="50" t="s">
        <v>65</v>
      </c>
      <c r="B1421" s="51" t="s">
        <v>198</v>
      </c>
      <c r="C1421" s="52" t="s">
        <v>731</v>
      </c>
      <c r="D1421" s="53">
        <v>1997</v>
      </c>
      <c r="E1421" s="54">
        <v>4096755372</v>
      </c>
      <c r="F1421" s="54">
        <v>2561449089</v>
      </c>
      <c r="G1421" s="54">
        <v>3046664447</v>
      </c>
      <c r="H1421" s="54">
        <v>1121172513</v>
      </c>
      <c r="I1421" s="55">
        <f t="shared" si="63"/>
        <v>10826041421</v>
      </c>
      <c r="J1421" s="54">
        <v>0</v>
      </c>
      <c r="K1421" s="56">
        <f t="shared" si="65"/>
        <v>10826041421</v>
      </c>
      <c r="L1421" s="37">
        <v>0</v>
      </c>
      <c r="O1421" s="38" t="str">
        <f>IF([1]totrevprm!O1422="","",[1]totrevprm!O1422)</f>
        <v/>
      </c>
    </row>
    <row r="1422" spans="1:26">
      <c r="A1422" s="50" t="s">
        <v>65</v>
      </c>
      <c r="B1422" s="51" t="s">
        <v>198</v>
      </c>
      <c r="C1422" s="52" t="s">
        <v>731</v>
      </c>
      <c r="D1422" s="53">
        <v>1998</v>
      </c>
      <c r="E1422" s="54">
        <v>4404475350</v>
      </c>
      <c r="F1422" s="54">
        <v>2543399536</v>
      </c>
      <c r="G1422" s="54">
        <v>3807399187</v>
      </c>
      <c r="H1422" s="54">
        <v>1180688239</v>
      </c>
      <c r="I1422" s="55">
        <f t="shared" si="63"/>
        <v>11935962312</v>
      </c>
      <c r="J1422" s="54">
        <v>0</v>
      </c>
      <c r="K1422" s="56">
        <f t="shared" si="65"/>
        <v>11935962312</v>
      </c>
      <c r="L1422" s="37">
        <v>0</v>
      </c>
      <c r="O1422" s="38" t="str">
        <f>IF([1]totrevprm!O1423="","",[1]totrevprm!O1423)</f>
        <v/>
      </c>
    </row>
    <row r="1423" spans="1:26">
      <c r="A1423" s="50" t="s">
        <v>65</v>
      </c>
      <c r="B1423" s="51" t="s">
        <v>198</v>
      </c>
      <c r="C1423" s="52" t="s">
        <v>731</v>
      </c>
      <c r="D1423" s="53">
        <v>1999</v>
      </c>
      <c r="E1423" s="54">
        <v>3949231052</v>
      </c>
      <c r="F1423" s="54">
        <v>3219744087</v>
      </c>
      <c r="G1423" s="54">
        <v>4298497622</v>
      </c>
      <c r="H1423" s="54">
        <v>1691105187</v>
      </c>
      <c r="I1423" s="55">
        <f t="shared" si="63"/>
        <v>13158577948</v>
      </c>
      <c r="J1423" s="54">
        <v>0</v>
      </c>
      <c r="K1423" s="56">
        <f t="shared" si="65"/>
        <v>13158577948</v>
      </c>
      <c r="L1423" s="37">
        <v>0</v>
      </c>
      <c r="O1423" s="38" t="str">
        <f>IF([1]totrevprm!O1424="","",[1]totrevprm!O1424)</f>
        <v/>
      </c>
    </row>
    <row r="1424" spans="1:26">
      <c r="A1424" s="50" t="s">
        <v>65</v>
      </c>
      <c r="B1424" s="51" t="s">
        <v>198</v>
      </c>
      <c r="C1424" s="52" t="s">
        <v>731</v>
      </c>
      <c r="D1424" s="53">
        <v>2000</v>
      </c>
      <c r="E1424" s="54">
        <v>4065294184</v>
      </c>
      <c r="F1424" s="54">
        <v>4488726962</v>
      </c>
      <c r="G1424" s="54">
        <v>4761736114</v>
      </c>
      <c r="H1424" s="54">
        <v>2041018228</v>
      </c>
      <c r="I1424" s="55">
        <f t="shared" si="63"/>
        <v>15356775488</v>
      </c>
      <c r="J1424" s="54">
        <v>0</v>
      </c>
      <c r="K1424" s="56">
        <f t="shared" si="65"/>
        <v>15356775488</v>
      </c>
      <c r="L1424" s="37">
        <v>0</v>
      </c>
      <c r="O1424" s="38" t="str">
        <f>IF([1]totrevprm!O1425="","",[1]totrevprm!O1425)</f>
        <v/>
      </c>
      <c r="V1424" s="38" t="s">
        <v>198</v>
      </c>
      <c r="W1424" s="58">
        <v>600580</v>
      </c>
      <c r="X1424" s="58">
        <v>23221188</v>
      </c>
      <c r="Y1424" s="58">
        <v>41816414</v>
      </c>
      <c r="Z1424" s="58">
        <v>0</v>
      </c>
    </row>
    <row r="1425" spans="1:26">
      <c r="A1425" s="50" t="s">
        <v>65</v>
      </c>
      <c r="B1425" s="51" t="s">
        <v>198</v>
      </c>
      <c r="C1425" s="52" t="s">
        <v>731</v>
      </c>
      <c r="D1425" s="53">
        <v>2001</v>
      </c>
      <c r="E1425" s="54">
        <v>4102437813</v>
      </c>
      <c r="F1425" s="54">
        <v>6056074057</v>
      </c>
      <c r="G1425" s="54">
        <v>5453565481</v>
      </c>
      <c r="H1425" s="54">
        <v>1279744383</v>
      </c>
      <c r="I1425" s="55">
        <f t="shared" si="63"/>
        <v>16891821734</v>
      </c>
      <c r="J1425" s="54">
        <v>0</v>
      </c>
      <c r="K1425" s="56">
        <f t="shared" si="65"/>
        <v>16891821734</v>
      </c>
      <c r="L1425" s="37">
        <v>0</v>
      </c>
      <c r="O1425" s="38" t="str">
        <f>IF([1]totrevprm!O1426="","",[1]totrevprm!O1426)</f>
        <v/>
      </c>
      <c r="V1425" s="38"/>
      <c r="W1425" s="58"/>
      <c r="X1425" s="58"/>
      <c r="Y1425" s="58"/>
      <c r="Z1425" s="58"/>
    </row>
    <row r="1426" spans="1:26">
      <c r="A1426" s="50" t="s">
        <v>65</v>
      </c>
      <c r="B1426" s="51" t="s">
        <v>198</v>
      </c>
      <c r="C1426" s="52" t="s">
        <v>731</v>
      </c>
      <c r="D1426" s="53">
        <v>2002</v>
      </c>
      <c r="E1426" s="54">
        <v>4241759312</v>
      </c>
      <c r="F1426" s="54">
        <v>7757730305</v>
      </c>
      <c r="G1426" s="54">
        <v>5423904037</v>
      </c>
      <c r="H1426" s="54">
        <v>886465132</v>
      </c>
      <c r="I1426" s="55">
        <f t="shared" si="63"/>
        <v>18309858786</v>
      </c>
      <c r="J1426" s="54">
        <v>0</v>
      </c>
      <c r="K1426" s="56">
        <f t="shared" si="65"/>
        <v>18309858786</v>
      </c>
      <c r="L1426" s="37">
        <v>0</v>
      </c>
      <c r="O1426" s="38" t="str">
        <f>IF([1]totrevprm!O1427="","",[1]totrevprm!O1427)</f>
        <v/>
      </c>
      <c r="V1426" s="38"/>
      <c r="W1426" s="58"/>
      <c r="X1426" s="58"/>
      <c r="Y1426" s="58"/>
      <c r="Z1426" s="58"/>
    </row>
    <row r="1427" spans="1:26">
      <c r="A1427" s="50" t="s">
        <v>65</v>
      </c>
      <c r="B1427" s="51" t="s">
        <v>198</v>
      </c>
      <c r="C1427" s="52" t="s">
        <v>731</v>
      </c>
      <c r="D1427" s="53">
        <v>2003</v>
      </c>
      <c r="E1427" s="59">
        <v>4283734618</v>
      </c>
      <c r="F1427" s="59">
        <v>6612923769</v>
      </c>
      <c r="G1427" s="59">
        <v>5454626329</v>
      </c>
      <c r="H1427" s="59">
        <v>1999372190</v>
      </c>
      <c r="I1427" s="55">
        <f t="shared" si="63"/>
        <v>18350656906</v>
      </c>
      <c r="J1427" s="54">
        <v>0</v>
      </c>
      <c r="K1427" s="56">
        <f t="shared" si="65"/>
        <v>18350656906</v>
      </c>
      <c r="L1427" s="37">
        <v>0</v>
      </c>
      <c r="O1427" s="38" t="str">
        <f>IF([1]totrevprm!O1428="","",[1]totrevprm!O1428)</f>
        <v/>
      </c>
      <c r="V1427" s="38"/>
      <c r="W1427" s="58"/>
      <c r="X1427" s="58"/>
      <c r="Y1427" s="58"/>
      <c r="Z1427" s="58"/>
    </row>
    <row r="1428" spans="1:26">
      <c r="A1428" s="50" t="s">
        <v>65</v>
      </c>
      <c r="B1428" s="51" t="s">
        <v>198</v>
      </c>
      <c r="C1428" s="52" t="s">
        <v>731</v>
      </c>
      <c r="D1428" s="53">
        <v>2004</v>
      </c>
      <c r="E1428" s="59">
        <v>4440999335</v>
      </c>
      <c r="F1428" s="59">
        <v>5576480544</v>
      </c>
      <c r="G1428" s="59">
        <v>6099829758</v>
      </c>
      <c r="H1428" s="59">
        <v>1689775776</v>
      </c>
      <c r="I1428" s="55">
        <f t="shared" si="63"/>
        <v>17807085413</v>
      </c>
      <c r="J1428" s="54">
        <v>0</v>
      </c>
      <c r="K1428" s="56">
        <f t="shared" si="65"/>
        <v>17807085413</v>
      </c>
      <c r="L1428" s="37">
        <v>0</v>
      </c>
      <c r="O1428" s="38" t="str">
        <f>IF([1]totrevprm!O1429="","",[1]totrevprm!O1429)</f>
        <v/>
      </c>
      <c r="V1428" s="38"/>
      <c r="W1428" s="58"/>
      <c r="X1428" s="58"/>
      <c r="Y1428" s="58"/>
      <c r="Z1428" s="58"/>
    </row>
    <row r="1429" spans="1:26">
      <c r="A1429" s="50" t="s">
        <v>65</v>
      </c>
      <c r="B1429" s="51" t="s">
        <v>198</v>
      </c>
      <c r="C1429" s="52"/>
      <c r="D1429" s="53">
        <v>2005</v>
      </c>
      <c r="E1429" s="59">
        <v>4483627399</v>
      </c>
      <c r="F1429" s="59">
        <v>5460271116</v>
      </c>
      <c r="G1429" s="59">
        <v>6311221044.0699902</v>
      </c>
      <c r="H1429" s="59">
        <v>1692178534</v>
      </c>
      <c r="I1429" s="55">
        <f t="shared" si="63"/>
        <v>17947298093.069992</v>
      </c>
      <c r="J1429" s="54">
        <v>0</v>
      </c>
      <c r="K1429" s="56">
        <f t="shared" si="65"/>
        <v>17947298093.069992</v>
      </c>
      <c r="L1429" s="37">
        <v>0</v>
      </c>
      <c r="O1429" s="38" t="str">
        <f>IF([1]totrevprm!O1430="","",[1]totrevprm!O1430)</f>
        <v/>
      </c>
      <c r="V1429" s="38"/>
      <c r="W1429" s="58"/>
      <c r="X1429" s="58"/>
      <c r="Y1429" s="58"/>
      <c r="Z1429" s="58"/>
    </row>
    <row r="1430" spans="1:26">
      <c r="A1430" s="50" t="s">
        <v>65</v>
      </c>
      <c r="B1430" s="51" t="s">
        <v>198</v>
      </c>
      <c r="C1430" s="52"/>
      <c r="D1430" s="53">
        <v>2006</v>
      </c>
      <c r="E1430" s="37">
        <v>4768194250</v>
      </c>
      <c r="F1430" s="37">
        <v>6048284361</v>
      </c>
      <c r="G1430" s="37">
        <v>6921767748</v>
      </c>
      <c r="H1430" s="37">
        <v>1274331754</v>
      </c>
      <c r="I1430" s="55">
        <f t="shared" si="63"/>
        <v>19012578113</v>
      </c>
      <c r="J1430" s="54">
        <v>0</v>
      </c>
      <c r="K1430" s="56">
        <f t="shared" si="65"/>
        <v>19012578113</v>
      </c>
      <c r="L1430" s="37">
        <v>0</v>
      </c>
      <c r="O1430" s="38" t="str">
        <f>IF([1]totrevprm!O1431="","",[1]totrevprm!O1431)</f>
        <v/>
      </c>
      <c r="V1430" s="38"/>
      <c r="W1430" s="58"/>
      <c r="X1430" s="58"/>
      <c r="Y1430" s="58"/>
      <c r="Z1430" s="58"/>
    </row>
    <row r="1431" spans="1:26">
      <c r="A1431" s="50" t="s">
        <v>65</v>
      </c>
      <c r="B1431" s="51" t="s">
        <v>198</v>
      </c>
      <c r="C1431" s="52"/>
      <c r="D1431" s="53">
        <v>2007</v>
      </c>
      <c r="E1431" s="37">
        <v>5066977183</v>
      </c>
      <c r="F1431" s="37">
        <v>5466247689</v>
      </c>
      <c r="G1431" s="37">
        <v>9928397167</v>
      </c>
      <c r="H1431" s="37">
        <v>1261160193</v>
      </c>
      <c r="I1431" s="55">
        <f t="shared" si="63"/>
        <v>21722782232</v>
      </c>
      <c r="J1431" s="54">
        <v>0</v>
      </c>
      <c r="K1431" s="56">
        <f t="shared" si="65"/>
        <v>21722782232</v>
      </c>
      <c r="L1431" s="37">
        <v>0</v>
      </c>
      <c r="O1431" s="38" t="str">
        <f>IF([1]totrevprm!O1432="","",[1]totrevprm!O1432)</f>
        <v/>
      </c>
      <c r="V1431" s="38"/>
      <c r="W1431" s="58"/>
      <c r="X1431" s="58"/>
      <c r="Y1431" s="58"/>
      <c r="Z1431" s="58"/>
    </row>
    <row r="1432" spans="1:26">
      <c r="A1432" s="50" t="s">
        <v>65</v>
      </c>
      <c r="B1432" s="51" t="s">
        <v>198</v>
      </c>
      <c r="C1432" s="52"/>
      <c r="D1432" s="53">
        <v>2008</v>
      </c>
      <c r="E1432" s="37">
        <v>5205611810</v>
      </c>
      <c r="F1432" s="37">
        <v>7478753172</v>
      </c>
      <c r="G1432" s="37">
        <v>11184147263</v>
      </c>
      <c r="H1432" s="37">
        <v>1728321413</v>
      </c>
      <c r="I1432" s="55">
        <f t="shared" si="63"/>
        <v>25596833658</v>
      </c>
      <c r="J1432" s="54">
        <v>0</v>
      </c>
      <c r="K1432" s="56">
        <f t="shared" si="65"/>
        <v>25596833658</v>
      </c>
      <c r="L1432" s="37">
        <v>0</v>
      </c>
      <c r="O1432" s="38" t="str">
        <f>IF([1]totrevprm!O1433="","",[1]totrevprm!O1433)</f>
        <v/>
      </c>
      <c r="V1432" s="38"/>
      <c r="W1432" s="58"/>
      <c r="X1432" s="58"/>
      <c r="Y1432" s="58"/>
      <c r="Z1432" s="58"/>
    </row>
    <row r="1433" spans="1:26">
      <c r="A1433" s="50" t="s">
        <v>65</v>
      </c>
      <c r="B1433" s="51" t="s">
        <v>198</v>
      </c>
      <c r="C1433" s="52"/>
      <c r="D1433" s="53">
        <v>2009</v>
      </c>
      <c r="E1433" s="37">
        <v>5353285595</v>
      </c>
      <c r="F1433" s="37">
        <v>7676423343</v>
      </c>
      <c r="G1433" s="37">
        <v>11075676444</v>
      </c>
      <c r="H1433" s="37">
        <v>1281332384</v>
      </c>
      <c r="I1433" s="55">
        <f t="shared" si="63"/>
        <v>25386717766</v>
      </c>
      <c r="J1433" s="54">
        <v>0</v>
      </c>
      <c r="K1433" s="56">
        <f t="shared" si="65"/>
        <v>25386717766</v>
      </c>
      <c r="L1433" s="37">
        <v>0</v>
      </c>
      <c r="O1433" s="38" t="str">
        <f>IF([1]totrevprm!O1434="","",[1]totrevprm!O1434)</f>
        <v/>
      </c>
      <c r="V1433" s="38"/>
      <c r="W1433" s="58"/>
      <c r="X1433" s="58"/>
      <c r="Y1433" s="58"/>
      <c r="Z1433" s="58"/>
    </row>
    <row r="1434" spans="1:26">
      <c r="A1434" s="50" t="s">
        <v>65</v>
      </c>
      <c r="B1434" s="51" t="s">
        <v>198</v>
      </c>
      <c r="C1434" s="52"/>
      <c r="D1434" s="53">
        <v>2010</v>
      </c>
      <c r="E1434" s="37">
        <v>5636140327</v>
      </c>
      <c r="F1434" s="37">
        <v>7066633789</v>
      </c>
      <c r="G1434" s="37">
        <v>11650282301</v>
      </c>
      <c r="H1434" s="37">
        <v>1301573231</v>
      </c>
      <c r="I1434" s="55">
        <f t="shared" si="63"/>
        <v>25654629648</v>
      </c>
      <c r="J1434" s="54">
        <v>0</v>
      </c>
      <c r="K1434" s="56">
        <f t="shared" si="65"/>
        <v>25654629648</v>
      </c>
      <c r="L1434" s="37">
        <v>0</v>
      </c>
      <c r="O1434" s="38" t="str">
        <f>IF([1]totrevprm!O1435="","",[1]totrevprm!O1435)</f>
        <v/>
      </c>
      <c r="V1434" s="38"/>
      <c r="W1434" s="58"/>
      <c r="X1434" s="58"/>
      <c r="Y1434" s="58"/>
      <c r="Z1434" s="58"/>
    </row>
    <row r="1435" spans="1:26">
      <c r="A1435" s="50" t="s">
        <v>65</v>
      </c>
      <c r="B1435" s="51" t="s">
        <v>198</v>
      </c>
      <c r="C1435" s="52"/>
      <c r="D1435" s="53">
        <v>2011</v>
      </c>
      <c r="E1435" s="37">
        <v>5811507389</v>
      </c>
      <c r="F1435" s="37">
        <v>6596059850</v>
      </c>
      <c r="G1435" s="37">
        <v>12454795522.610001</v>
      </c>
      <c r="H1435" s="37">
        <v>1527433646</v>
      </c>
      <c r="I1435" s="55">
        <f t="shared" si="63"/>
        <v>26389796407.610001</v>
      </c>
      <c r="J1435" s="54">
        <v>0</v>
      </c>
      <c r="K1435" s="56">
        <f t="shared" si="65"/>
        <v>26389796407.610001</v>
      </c>
      <c r="L1435" s="37">
        <v>0</v>
      </c>
      <c r="O1435" s="38" t="str">
        <f>IF([1]totrevprm!O1436="","",[1]totrevprm!O1436)</f>
        <v/>
      </c>
      <c r="V1435" s="38"/>
      <c r="W1435" s="58"/>
      <c r="X1435" s="58"/>
      <c r="Y1435" s="58"/>
      <c r="Z1435" s="58"/>
    </row>
    <row r="1436" spans="1:26">
      <c r="A1436" s="50" t="s">
        <v>65</v>
      </c>
      <c r="B1436" s="51" t="s">
        <v>198</v>
      </c>
      <c r="C1436" s="52"/>
      <c r="D1436" s="53">
        <v>2012</v>
      </c>
      <c r="E1436" s="37">
        <v>5990227116</v>
      </c>
      <c r="F1436" s="37">
        <v>7503416133</v>
      </c>
      <c r="G1436" s="37">
        <v>10664417471</v>
      </c>
      <c r="H1436" s="37">
        <v>3251184196</v>
      </c>
      <c r="I1436" s="55">
        <f t="shared" si="63"/>
        <v>27409244916</v>
      </c>
      <c r="J1436" s="54">
        <v>0</v>
      </c>
      <c r="K1436" s="56">
        <f t="shared" si="65"/>
        <v>27409244916</v>
      </c>
      <c r="L1436" s="37">
        <v>0</v>
      </c>
      <c r="O1436" s="38" t="str">
        <f>IF([1]totrevprm!O1437="","",[1]totrevprm!O1437)</f>
        <v/>
      </c>
      <c r="V1436" s="38"/>
      <c r="W1436" s="58"/>
      <c r="X1436" s="58"/>
      <c r="Y1436" s="58"/>
      <c r="Z1436" s="58"/>
    </row>
    <row r="1437" spans="1:26">
      <c r="A1437" s="50" t="s">
        <v>65</v>
      </c>
      <c r="B1437" s="51" t="s">
        <v>198</v>
      </c>
      <c r="C1437" s="52"/>
      <c r="D1437" s="53">
        <v>2013</v>
      </c>
      <c r="E1437" s="37">
        <v>5920112582</v>
      </c>
      <c r="F1437" s="37">
        <v>6720359304</v>
      </c>
      <c r="G1437" s="37">
        <v>10568395499</v>
      </c>
      <c r="H1437" s="37">
        <v>1869439380</v>
      </c>
      <c r="I1437" s="55">
        <f t="shared" si="63"/>
        <v>25078306765</v>
      </c>
      <c r="J1437" s="54">
        <v>0</v>
      </c>
      <c r="K1437" s="56">
        <f t="shared" si="65"/>
        <v>25078306765</v>
      </c>
      <c r="L1437" s="37">
        <v>0</v>
      </c>
      <c r="O1437" s="38" t="str">
        <f>IF([1]totrevprm!O1438="","",[1]totrevprm!O1438)</f>
        <v/>
      </c>
      <c r="V1437" s="38"/>
      <c r="W1437" s="58"/>
      <c r="X1437" s="58"/>
      <c r="Y1437" s="58"/>
      <c r="Z1437" s="58"/>
    </row>
    <row r="1438" spans="1:26">
      <c r="A1438" s="50" t="s">
        <v>65</v>
      </c>
      <c r="B1438" s="51" t="s">
        <v>198</v>
      </c>
      <c r="C1438" s="52"/>
      <c r="D1438" s="53">
        <v>2014</v>
      </c>
      <c r="E1438" s="37">
        <v>6025992624</v>
      </c>
      <c r="F1438" s="37">
        <v>7444443899</v>
      </c>
      <c r="G1438" s="37">
        <v>11939933948.51</v>
      </c>
      <c r="H1438" s="37">
        <v>1965205332</v>
      </c>
      <c r="I1438" s="55">
        <f t="shared" si="63"/>
        <v>27375575803.510002</v>
      </c>
      <c r="J1438" s="54">
        <v>0</v>
      </c>
      <c r="K1438" s="56">
        <f t="shared" si="65"/>
        <v>27375575803.510002</v>
      </c>
      <c r="L1438" s="37">
        <v>0</v>
      </c>
      <c r="O1438" s="38" t="str">
        <f>IF([1]totrevprm!O1439="","",[1]totrevprm!O1439)</f>
        <v/>
      </c>
      <c r="V1438" s="38"/>
      <c r="W1438" s="58"/>
      <c r="X1438" s="58"/>
      <c r="Y1438" s="58"/>
      <c r="Z1438" s="58"/>
    </row>
    <row r="1439" spans="1:26">
      <c r="A1439" s="50" t="s">
        <v>65</v>
      </c>
      <c r="B1439" s="51" t="s">
        <v>198</v>
      </c>
      <c r="C1439" s="52"/>
      <c r="D1439" s="53">
        <v>2015</v>
      </c>
      <c r="E1439" s="37">
        <v>6193416685</v>
      </c>
      <c r="F1439" s="37">
        <v>8722631480</v>
      </c>
      <c r="G1439" s="37">
        <v>11286310241</v>
      </c>
      <c r="H1439" s="37">
        <v>1758356483</v>
      </c>
      <c r="I1439" s="55">
        <f t="shared" ref="I1439:I1502" si="66">SUM(E1439:H1439)</f>
        <v>27960714889</v>
      </c>
      <c r="J1439" s="54">
        <v>0</v>
      </c>
      <c r="K1439" s="56">
        <f t="shared" si="65"/>
        <v>27960714889</v>
      </c>
      <c r="L1439" s="37">
        <v>0</v>
      </c>
      <c r="O1439" s="38" t="str">
        <f>IF([1]totrevprm!O1440="","",[1]totrevprm!O1440)</f>
        <v/>
      </c>
      <c r="P1439" s="35">
        <v>1133309751.3990731</v>
      </c>
      <c r="Q1439" s="35">
        <v>449527533.21343285</v>
      </c>
      <c r="V1439" s="38"/>
      <c r="W1439" s="58"/>
      <c r="X1439" s="58"/>
      <c r="Y1439" s="58"/>
      <c r="Z1439" s="58"/>
    </row>
    <row r="1440" spans="1:26">
      <c r="A1440" s="50" t="s">
        <v>65</v>
      </c>
      <c r="B1440" s="51" t="s">
        <v>198</v>
      </c>
      <c r="C1440" s="52"/>
      <c r="D1440" s="53">
        <v>2016</v>
      </c>
      <c r="E1440" s="37">
        <v>6247803734</v>
      </c>
      <c r="F1440" s="37">
        <v>9678768629</v>
      </c>
      <c r="G1440" s="37">
        <v>11239573035</v>
      </c>
      <c r="H1440" s="37">
        <v>2287592791</v>
      </c>
      <c r="I1440" s="55">
        <f t="shared" si="66"/>
        <v>29453738189</v>
      </c>
      <c r="J1440" s="54">
        <v>0</v>
      </c>
      <c r="K1440" s="56">
        <f t="shared" si="65"/>
        <v>29453738189</v>
      </c>
      <c r="L1440" s="37">
        <v>0</v>
      </c>
      <c r="O1440" s="38" t="str">
        <f>IF([1]totrevprm!O1441="","",[1]totrevprm!O1441)</f>
        <v/>
      </c>
      <c r="P1440" s="35">
        <v>1138489620.1016026</v>
      </c>
      <c r="Q1440" s="35">
        <v>451827480.23541355</v>
      </c>
      <c r="V1440" s="38"/>
      <c r="W1440" s="58"/>
      <c r="X1440" s="58"/>
      <c r="Y1440" s="58"/>
      <c r="Z1440" s="58"/>
    </row>
    <row r="1441" spans="1:26">
      <c r="A1441" s="50" t="s">
        <v>65</v>
      </c>
      <c r="B1441" s="51" t="s">
        <v>198</v>
      </c>
      <c r="C1441" s="52"/>
      <c r="D1441" s="53">
        <v>2017</v>
      </c>
      <c r="E1441" s="37">
        <v>6630297791</v>
      </c>
      <c r="F1441" s="37">
        <v>9777477685</v>
      </c>
      <c r="G1441" s="37">
        <v>11505315821.040001</v>
      </c>
      <c r="H1441" s="37">
        <v>1919229945</v>
      </c>
      <c r="I1441" s="55">
        <f t="shared" si="66"/>
        <v>29832321242.040001</v>
      </c>
      <c r="J1441" s="54">
        <v>0</v>
      </c>
      <c r="K1441" s="56">
        <f t="shared" si="65"/>
        <v>29832321242.040001</v>
      </c>
      <c r="L1441" s="37">
        <v>0</v>
      </c>
      <c r="O1441" s="38" t="str">
        <f>IF([1]totrevprm!O1442="","",[1]totrevprm!O1442)</f>
        <v/>
      </c>
      <c r="P1441" s="35">
        <v>1184135260.5642383</v>
      </c>
      <c r="Q1441" s="35">
        <v>454494455.23094493</v>
      </c>
      <c r="V1441" s="38"/>
      <c r="W1441" s="58"/>
      <c r="X1441" s="58"/>
      <c r="Y1441" s="58"/>
      <c r="Z1441" s="58"/>
    </row>
    <row r="1442" spans="1:26">
      <c r="A1442" s="50" t="s">
        <v>65</v>
      </c>
      <c r="B1442" s="51" t="s">
        <v>198</v>
      </c>
      <c r="C1442" s="52"/>
      <c r="D1442" s="53">
        <v>2018</v>
      </c>
      <c r="E1442" s="37">
        <v>6398270156</v>
      </c>
      <c r="F1442" s="37">
        <v>10970446601</v>
      </c>
      <c r="G1442" s="37">
        <v>9542176688.2099991</v>
      </c>
      <c r="H1442" s="37">
        <v>1833910736</v>
      </c>
      <c r="I1442" s="55">
        <f t="shared" si="66"/>
        <v>28744804181.209999</v>
      </c>
      <c r="J1442" s="54">
        <v>0</v>
      </c>
      <c r="K1442" s="56">
        <f t="shared" si="65"/>
        <v>28744804181.209999</v>
      </c>
      <c r="L1442" s="60">
        <v>0</v>
      </c>
      <c r="O1442" s="38" t="str">
        <f>IF([1]totrevprm!O1443="","",[1]totrevprm!O1443)</f>
        <v/>
      </c>
      <c r="P1442" s="35">
        <v>1199439043.1836531</v>
      </c>
      <c r="Q1442" s="35">
        <v>449265016.26659155</v>
      </c>
      <c r="V1442" s="38"/>
      <c r="W1442" s="58"/>
      <c r="X1442" s="58"/>
      <c r="Y1442" s="58"/>
      <c r="Z1442" s="58"/>
    </row>
    <row r="1443" spans="1:26">
      <c r="A1443" s="50" t="s">
        <v>65</v>
      </c>
      <c r="B1443" s="51" t="s">
        <v>198</v>
      </c>
      <c r="C1443" s="52"/>
      <c r="D1443" s="53">
        <v>2019</v>
      </c>
      <c r="E1443" s="37">
        <v>6650197126</v>
      </c>
      <c r="F1443" s="37">
        <v>11744479848</v>
      </c>
      <c r="G1443" s="37">
        <v>8593322267.0391006</v>
      </c>
      <c r="H1443" s="37">
        <v>2667443114</v>
      </c>
      <c r="I1443" s="55">
        <f t="shared" si="66"/>
        <v>29655442355.039101</v>
      </c>
      <c r="J1443" s="54">
        <v>0</v>
      </c>
      <c r="K1443" s="56">
        <f t="shared" si="65"/>
        <v>29655442355.039101</v>
      </c>
      <c r="L1443" s="60">
        <v>0</v>
      </c>
      <c r="O1443" s="38" t="str">
        <f>IF([1]totrevprm!O1444="","",[1]totrevprm!O1444)</f>
        <v/>
      </c>
      <c r="P1443" s="35">
        <v>1273716674.6397669</v>
      </c>
      <c r="Q1443" s="35">
        <v>441295083.75280434</v>
      </c>
      <c r="V1443" s="38"/>
      <c r="W1443" s="58"/>
      <c r="X1443" s="58"/>
      <c r="Y1443" s="58"/>
      <c r="Z1443" s="58"/>
    </row>
    <row r="1444" spans="1:26">
      <c r="A1444" s="50" t="s">
        <v>65</v>
      </c>
      <c r="B1444" s="51" t="s">
        <v>198</v>
      </c>
      <c r="C1444" s="52"/>
      <c r="D1444" s="53">
        <v>2020</v>
      </c>
      <c r="E1444" s="37">
        <v>6535126188</v>
      </c>
      <c r="F1444" s="37">
        <v>12427758540</v>
      </c>
      <c r="G1444" s="37">
        <v>19384074582</v>
      </c>
      <c r="H1444" s="37">
        <v>2181294123</v>
      </c>
      <c r="I1444" s="55">
        <f t="shared" si="66"/>
        <v>40528253433</v>
      </c>
      <c r="J1444" s="54">
        <v>0</v>
      </c>
      <c r="K1444" s="56">
        <f t="shared" si="65"/>
        <v>40528253433</v>
      </c>
      <c r="L1444" s="60">
        <v>0</v>
      </c>
      <c r="M1444" s="69" t="s">
        <v>760</v>
      </c>
      <c r="N1444" t="s">
        <v>708</v>
      </c>
      <c r="O1444" s="38" t="str">
        <f>IF([1]totrevprm!O1445="","",[1]totrevprm!O1445)</f>
        <v>Yes</v>
      </c>
      <c r="P1444" s="35">
        <v>1268186966</v>
      </c>
      <c r="Q1444" s="35">
        <v>422324282</v>
      </c>
      <c r="V1444" s="38"/>
      <c r="W1444" s="58"/>
      <c r="X1444" s="58"/>
      <c r="Y1444" s="58"/>
      <c r="Z1444" s="58"/>
    </row>
    <row r="1445" spans="1:26">
      <c r="A1445" s="50" t="s">
        <v>65</v>
      </c>
      <c r="B1445" s="51" t="s">
        <v>198</v>
      </c>
      <c r="C1445" s="52"/>
      <c r="D1445" s="53">
        <v>2021</v>
      </c>
      <c r="E1445" s="37">
        <v>7107255939</v>
      </c>
      <c r="F1445" s="37">
        <v>14387132519</v>
      </c>
      <c r="G1445" s="37">
        <v>18738444265.279999</v>
      </c>
      <c r="H1445" s="37">
        <v>367952611</v>
      </c>
      <c r="I1445" s="55">
        <f t="shared" si="66"/>
        <v>40600785334.279999</v>
      </c>
      <c r="J1445" s="54">
        <v>0</v>
      </c>
      <c r="K1445" s="56">
        <f t="shared" si="65"/>
        <v>40600785334.279999</v>
      </c>
      <c r="L1445" s="60">
        <v>0</v>
      </c>
      <c r="M1445" s="69" t="s">
        <v>739</v>
      </c>
      <c r="N1445" t="s">
        <v>708</v>
      </c>
      <c r="O1445" s="38"/>
      <c r="P1445" s="35">
        <v>1263851965.8</v>
      </c>
      <c r="Q1445" s="35">
        <v>462766391</v>
      </c>
      <c r="V1445" s="38"/>
      <c r="W1445" s="58"/>
      <c r="X1445" s="58"/>
      <c r="Y1445" s="58"/>
      <c r="Z1445" s="58"/>
    </row>
    <row r="1446" spans="1:26">
      <c r="A1446" s="50" t="s">
        <v>65</v>
      </c>
      <c r="B1446" s="51" t="s">
        <v>198</v>
      </c>
      <c r="C1446" s="52"/>
      <c r="D1446" s="53">
        <v>2022</v>
      </c>
      <c r="E1446" s="37">
        <v>6976658713</v>
      </c>
      <c r="F1446" s="37">
        <v>17302035778</v>
      </c>
      <c r="G1446" s="37">
        <v>18817287009</v>
      </c>
      <c r="H1446" s="37">
        <v>379327126</v>
      </c>
      <c r="I1446" s="55">
        <f t="shared" si="66"/>
        <v>43475308626</v>
      </c>
      <c r="J1446" s="54">
        <v>0</v>
      </c>
      <c r="K1446" s="56">
        <f t="shared" si="65"/>
        <v>43475308626</v>
      </c>
      <c r="L1446" s="60">
        <v>0</v>
      </c>
      <c r="M1446" s="69" t="s">
        <v>739</v>
      </c>
      <c r="N1446" t="s">
        <v>708</v>
      </c>
      <c r="O1446" s="38" t="str">
        <f>IF([1]totrevprm!O1449="","",[1]totrevprm!O1449)</f>
        <v/>
      </c>
      <c r="P1446" s="60">
        <v>1327361479</v>
      </c>
      <c r="Q1446" s="60">
        <v>456927575</v>
      </c>
    </row>
    <row r="1447" spans="1:26">
      <c r="A1447" s="50" t="s">
        <v>65</v>
      </c>
      <c r="B1447" s="51" t="s">
        <v>198</v>
      </c>
      <c r="C1447" s="52"/>
      <c r="D1447" s="53">
        <v>2023</v>
      </c>
      <c r="E1447" s="37">
        <v>7005773306</v>
      </c>
      <c r="F1447" s="37">
        <v>22349661954.8922</v>
      </c>
      <c r="G1447" s="37">
        <v>19076659496.074402</v>
      </c>
      <c r="H1447" s="37">
        <v>198723243</v>
      </c>
      <c r="I1447" s="55">
        <f t="shared" si="66"/>
        <v>48630817999.966599</v>
      </c>
      <c r="J1447" s="54">
        <v>0</v>
      </c>
      <c r="K1447" s="56">
        <f t="shared" si="65"/>
        <v>48630817999.966599</v>
      </c>
      <c r="L1447" s="37">
        <v>0</v>
      </c>
      <c r="M1447" s="69" t="s">
        <v>739</v>
      </c>
      <c r="O1447" s="38"/>
      <c r="P1447" s="60">
        <v>1394180060.5</v>
      </c>
      <c r="Q1447" s="60">
        <v>457769890</v>
      </c>
    </row>
    <row r="1448" spans="1:26">
      <c r="A1448" s="50"/>
      <c r="B1448" s="52"/>
      <c r="C1448" s="52"/>
      <c r="E1448" s="54"/>
      <c r="F1448" s="54"/>
      <c r="G1448" s="54"/>
      <c r="H1448" s="54"/>
      <c r="I1448" s="55"/>
      <c r="K1448" s="65"/>
      <c r="L1448" s="37"/>
      <c r="O1448" s="38"/>
    </row>
    <row r="1449" spans="1:26">
      <c r="A1449" s="50" t="s">
        <v>66</v>
      </c>
      <c r="B1449" s="51" t="s">
        <v>807</v>
      </c>
      <c r="C1449" s="52" t="s">
        <v>730</v>
      </c>
      <c r="D1449" s="53">
        <v>1988</v>
      </c>
      <c r="E1449" s="54">
        <v>202599488</v>
      </c>
      <c r="F1449" s="54">
        <v>25279811</v>
      </c>
      <c r="G1449" s="54">
        <v>425612159</v>
      </c>
      <c r="H1449" s="54">
        <v>0</v>
      </c>
      <c r="I1449" s="55">
        <f t="shared" si="66"/>
        <v>653491458</v>
      </c>
      <c r="J1449" s="54">
        <v>-133694</v>
      </c>
      <c r="K1449" s="56">
        <f>SUM(I1449:J1449)</f>
        <v>653357764</v>
      </c>
      <c r="L1449" s="37">
        <v>0</v>
      </c>
      <c r="O1449" s="38" t="str">
        <f>IF([1]totrevprm!O1450="","",[1]totrevprm!O1450)</f>
        <v/>
      </c>
    </row>
    <row r="1450" spans="1:26">
      <c r="A1450" s="50" t="s">
        <v>66</v>
      </c>
      <c r="B1450" s="51" t="s">
        <v>807</v>
      </c>
      <c r="C1450" s="52" t="s">
        <v>731</v>
      </c>
      <c r="D1450" s="53">
        <v>1989</v>
      </c>
      <c r="E1450" s="54">
        <v>208835315</v>
      </c>
      <c r="F1450" s="54">
        <v>39507260</v>
      </c>
      <c r="G1450" s="54">
        <v>459918822</v>
      </c>
      <c r="H1450" s="54">
        <v>0</v>
      </c>
      <c r="I1450" s="55">
        <f t="shared" si="66"/>
        <v>708261397</v>
      </c>
      <c r="J1450" s="54">
        <v>-3187</v>
      </c>
      <c r="K1450" s="56">
        <f t="shared" ref="K1450:K1484" si="67">SUM(I1450:J1450)</f>
        <v>708258210</v>
      </c>
      <c r="L1450" s="37">
        <v>0</v>
      </c>
      <c r="O1450" s="38" t="str">
        <f>IF([1]totrevprm!O1451="","",[1]totrevprm!O1451)</f>
        <v/>
      </c>
    </row>
    <row r="1451" spans="1:26">
      <c r="A1451" s="50" t="s">
        <v>66</v>
      </c>
      <c r="B1451" s="51" t="s">
        <v>807</v>
      </c>
      <c r="C1451" s="52" t="s">
        <v>731</v>
      </c>
      <c r="D1451" s="53">
        <v>1990</v>
      </c>
      <c r="E1451" s="54">
        <v>218158248</v>
      </c>
      <c r="F1451" s="54">
        <v>44600135.520000003</v>
      </c>
      <c r="G1451" s="54">
        <v>491454195</v>
      </c>
      <c r="H1451" s="54">
        <v>0</v>
      </c>
      <c r="I1451" s="55">
        <f t="shared" si="66"/>
        <v>754212578.51999998</v>
      </c>
      <c r="J1451" s="54">
        <v>-3355</v>
      </c>
      <c r="K1451" s="56">
        <f t="shared" si="67"/>
        <v>754209223.51999998</v>
      </c>
      <c r="L1451" s="37">
        <v>0</v>
      </c>
      <c r="O1451" s="38" t="str">
        <f>IF([1]totrevprm!O1452="","",[1]totrevprm!O1452)</f>
        <v/>
      </c>
    </row>
    <row r="1452" spans="1:26">
      <c r="A1452" s="50" t="s">
        <v>66</v>
      </c>
      <c r="B1452" s="51" t="s">
        <v>807</v>
      </c>
      <c r="C1452" s="52" t="s">
        <v>731</v>
      </c>
      <c r="D1452" s="53">
        <v>1991</v>
      </c>
      <c r="E1452" s="54">
        <v>219457003</v>
      </c>
      <c r="F1452" s="54">
        <v>48510553</v>
      </c>
      <c r="G1452" s="54">
        <v>493779178</v>
      </c>
      <c r="H1452" s="54">
        <v>0</v>
      </c>
      <c r="I1452" s="55">
        <f t="shared" si="66"/>
        <v>761746734</v>
      </c>
      <c r="J1452" s="54">
        <v>-2756</v>
      </c>
      <c r="K1452" s="56">
        <f t="shared" si="67"/>
        <v>761743978</v>
      </c>
      <c r="L1452" s="37">
        <v>0</v>
      </c>
      <c r="O1452" s="38" t="str">
        <f>IF([1]totrevprm!O1453="","",[1]totrevprm!O1453)</f>
        <v/>
      </c>
    </row>
    <row r="1453" spans="1:26">
      <c r="A1453" s="50" t="s">
        <v>66</v>
      </c>
      <c r="B1453" s="51" t="s">
        <v>807</v>
      </c>
      <c r="C1453" s="52" t="s">
        <v>731</v>
      </c>
      <c r="D1453" s="53">
        <v>1992</v>
      </c>
      <c r="E1453" s="54">
        <v>242057864</v>
      </c>
      <c r="F1453" s="54">
        <v>68159460.200000003</v>
      </c>
      <c r="G1453" s="54">
        <v>488694921</v>
      </c>
      <c r="H1453" s="54">
        <v>0</v>
      </c>
      <c r="I1453" s="55">
        <f t="shared" si="66"/>
        <v>798912245.20000005</v>
      </c>
      <c r="J1453" s="54">
        <v>-62631</v>
      </c>
      <c r="K1453" s="56">
        <f t="shared" si="67"/>
        <v>798849614.20000005</v>
      </c>
      <c r="L1453" s="37">
        <v>0</v>
      </c>
      <c r="O1453" s="38" t="str">
        <f>IF([1]totrevprm!O1454="","",[1]totrevprm!O1454)</f>
        <v/>
      </c>
    </row>
    <row r="1454" spans="1:26">
      <c r="A1454" s="50" t="s">
        <v>66</v>
      </c>
      <c r="B1454" s="51" t="s">
        <v>807</v>
      </c>
      <c r="C1454" s="52" t="s">
        <v>731</v>
      </c>
      <c r="D1454" s="53">
        <v>1993</v>
      </c>
      <c r="E1454" s="54">
        <v>243162226</v>
      </c>
      <c r="F1454" s="54">
        <v>46009753</v>
      </c>
      <c r="G1454" s="54">
        <v>516131878</v>
      </c>
      <c r="H1454" s="54">
        <v>0</v>
      </c>
      <c r="I1454" s="55">
        <f t="shared" si="66"/>
        <v>805303857</v>
      </c>
      <c r="J1454" s="54">
        <v>0</v>
      </c>
      <c r="K1454" s="56">
        <f t="shared" si="67"/>
        <v>805303857</v>
      </c>
      <c r="L1454" s="37">
        <v>0</v>
      </c>
      <c r="O1454" s="38" t="str">
        <f>IF([1]totrevprm!O1455="","",[1]totrevprm!O1455)</f>
        <v/>
      </c>
    </row>
    <row r="1455" spans="1:26">
      <c r="A1455" s="50" t="s">
        <v>66</v>
      </c>
      <c r="B1455" s="51" t="s">
        <v>807</v>
      </c>
      <c r="C1455" s="52" t="s">
        <v>731</v>
      </c>
      <c r="D1455" s="53">
        <v>1994</v>
      </c>
      <c r="E1455" s="54">
        <v>273209720</v>
      </c>
      <c r="F1455" s="54">
        <v>61908792</v>
      </c>
      <c r="G1455" s="54">
        <v>547843632</v>
      </c>
      <c r="H1455" s="54">
        <v>0</v>
      </c>
      <c r="I1455" s="55">
        <f t="shared" si="66"/>
        <v>882962144</v>
      </c>
      <c r="J1455" s="54">
        <v>-4280982</v>
      </c>
      <c r="K1455" s="56">
        <f t="shared" si="67"/>
        <v>878681162</v>
      </c>
      <c r="L1455" s="37">
        <v>0</v>
      </c>
      <c r="O1455" s="38" t="str">
        <f>IF([1]totrevprm!O1456="","",[1]totrevprm!O1456)</f>
        <v/>
      </c>
    </row>
    <row r="1456" spans="1:26">
      <c r="A1456" s="50" t="s">
        <v>66</v>
      </c>
      <c r="B1456" s="51" t="s">
        <v>807</v>
      </c>
      <c r="C1456" s="52" t="s">
        <v>731</v>
      </c>
      <c r="D1456" s="53">
        <v>1995</v>
      </c>
      <c r="E1456" s="54">
        <v>273978756</v>
      </c>
      <c r="F1456" s="54">
        <v>51075560</v>
      </c>
      <c r="G1456" s="54">
        <v>677006797</v>
      </c>
      <c r="H1456" s="54">
        <v>0</v>
      </c>
      <c r="I1456" s="55">
        <f t="shared" si="66"/>
        <v>1002061113</v>
      </c>
      <c r="J1456" s="54">
        <v>-33729</v>
      </c>
      <c r="K1456" s="56">
        <f t="shared" si="67"/>
        <v>1002027384</v>
      </c>
      <c r="L1456" s="37">
        <v>0</v>
      </c>
      <c r="O1456" s="38" t="str">
        <f>IF([1]totrevprm!O1457="","",[1]totrevprm!O1457)</f>
        <v/>
      </c>
    </row>
    <row r="1457" spans="1:26">
      <c r="A1457" s="50" t="s">
        <v>66</v>
      </c>
      <c r="B1457" s="51" t="s">
        <v>807</v>
      </c>
      <c r="C1457" s="52" t="s">
        <v>731</v>
      </c>
      <c r="D1457" s="53">
        <v>1996</v>
      </c>
      <c r="E1457" s="54">
        <v>321962959</v>
      </c>
      <c r="F1457" s="54">
        <v>60907369</v>
      </c>
      <c r="G1457" s="54">
        <v>863693287</v>
      </c>
      <c r="H1457" s="54">
        <v>0</v>
      </c>
      <c r="I1457" s="55">
        <f t="shared" si="66"/>
        <v>1246563615</v>
      </c>
      <c r="J1457" s="54">
        <v>-36105</v>
      </c>
      <c r="K1457" s="56">
        <f t="shared" si="67"/>
        <v>1246527510</v>
      </c>
      <c r="L1457" s="37">
        <v>0</v>
      </c>
      <c r="O1457" s="38" t="str">
        <f>IF([1]totrevprm!O1458="","",[1]totrevprm!O1458)</f>
        <v/>
      </c>
    </row>
    <row r="1458" spans="1:26">
      <c r="A1458" s="50" t="s">
        <v>66</v>
      </c>
      <c r="B1458" s="51" t="s">
        <v>807</v>
      </c>
      <c r="C1458" s="52" t="s">
        <v>731</v>
      </c>
      <c r="D1458" s="53">
        <v>1997</v>
      </c>
      <c r="E1458" s="54">
        <v>318651746</v>
      </c>
      <c r="F1458" s="54">
        <v>57572959</v>
      </c>
      <c r="G1458" s="54">
        <v>942379370</v>
      </c>
      <c r="H1458" s="54">
        <v>0</v>
      </c>
      <c r="I1458" s="55">
        <f t="shared" si="66"/>
        <v>1318604075</v>
      </c>
      <c r="J1458" s="54">
        <v>-27099</v>
      </c>
      <c r="K1458" s="56">
        <f t="shared" si="67"/>
        <v>1318576976</v>
      </c>
      <c r="L1458" s="37">
        <v>0</v>
      </c>
      <c r="O1458" s="38" t="str">
        <f>IF([1]totrevprm!O1459="","",[1]totrevprm!O1459)</f>
        <v/>
      </c>
    </row>
    <row r="1459" spans="1:26">
      <c r="A1459" s="50" t="s">
        <v>66</v>
      </c>
      <c r="B1459" s="51" t="s">
        <v>807</v>
      </c>
      <c r="C1459" s="52" t="s">
        <v>731</v>
      </c>
      <c r="D1459" s="53">
        <v>1998</v>
      </c>
      <c r="E1459" s="54">
        <v>315930532</v>
      </c>
      <c r="F1459" s="54">
        <v>50426968</v>
      </c>
      <c r="G1459" s="54">
        <v>1026175813</v>
      </c>
      <c r="H1459" s="54">
        <v>0</v>
      </c>
      <c r="I1459" s="55">
        <f t="shared" si="66"/>
        <v>1392533313</v>
      </c>
      <c r="J1459" s="54">
        <v>-1613842</v>
      </c>
      <c r="K1459" s="56">
        <f t="shared" si="67"/>
        <v>1390919471</v>
      </c>
      <c r="L1459" s="37">
        <v>0</v>
      </c>
      <c r="O1459" s="38" t="str">
        <f>IF([1]totrevprm!O1460="","",[1]totrevprm!O1460)</f>
        <v/>
      </c>
    </row>
    <row r="1460" spans="1:26">
      <c r="A1460" s="50" t="s">
        <v>66</v>
      </c>
      <c r="B1460" s="51" t="s">
        <v>807</v>
      </c>
      <c r="C1460" s="52" t="s">
        <v>731</v>
      </c>
      <c r="D1460" s="53">
        <v>1999</v>
      </c>
      <c r="E1460" s="54">
        <v>299651540</v>
      </c>
      <c r="F1460" s="54">
        <v>78385779</v>
      </c>
      <c r="G1460" s="54">
        <v>1506890561</v>
      </c>
      <c r="H1460" s="54">
        <v>0</v>
      </c>
      <c r="I1460" s="55">
        <f t="shared" si="66"/>
        <v>1884927880</v>
      </c>
      <c r="J1460" s="54">
        <v>0</v>
      </c>
      <c r="K1460" s="56">
        <f t="shared" si="67"/>
        <v>1884927880</v>
      </c>
      <c r="L1460" s="37">
        <v>0</v>
      </c>
      <c r="O1460" s="38" t="str">
        <f>IF([1]totrevprm!O1461="","",[1]totrevprm!O1461)</f>
        <v/>
      </c>
    </row>
    <row r="1461" spans="1:26">
      <c r="A1461" s="50" t="s">
        <v>66</v>
      </c>
      <c r="B1461" s="51" t="s">
        <v>807</v>
      </c>
      <c r="C1461" s="52" t="s">
        <v>731</v>
      </c>
      <c r="D1461" s="53">
        <v>2000</v>
      </c>
      <c r="E1461" s="54">
        <v>305819949</v>
      </c>
      <c r="F1461" s="54">
        <v>117061021</v>
      </c>
      <c r="G1461" s="54">
        <v>1327409479</v>
      </c>
      <c r="H1461" s="54">
        <v>0</v>
      </c>
      <c r="I1461" s="55">
        <f t="shared" si="66"/>
        <v>1750290449</v>
      </c>
      <c r="J1461" s="54">
        <v>-260731</v>
      </c>
      <c r="K1461" s="56">
        <f t="shared" si="67"/>
        <v>1750029718</v>
      </c>
      <c r="L1461" s="37">
        <v>0</v>
      </c>
      <c r="O1461" s="38" t="str">
        <f>IF([1]totrevprm!O1462="","",[1]totrevprm!O1462)</f>
        <v/>
      </c>
      <c r="V1461" s="38" t="s">
        <v>807</v>
      </c>
      <c r="W1461" s="58">
        <v>2913</v>
      </c>
      <c r="X1461" s="58">
        <v>0</v>
      </c>
      <c r="Y1461" s="58">
        <v>3007</v>
      </c>
      <c r="Z1461" s="58">
        <v>0</v>
      </c>
    </row>
    <row r="1462" spans="1:26">
      <c r="A1462" s="50" t="s">
        <v>66</v>
      </c>
      <c r="B1462" s="51" t="s">
        <v>807</v>
      </c>
      <c r="C1462" s="52" t="s">
        <v>731</v>
      </c>
      <c r="D1462" s="53">
        <v>2001</v>
      </c>
      <c r="E1462" s="54">
        <v>344030482</v>
      </c>
      <c r="F1462" s="54">
        <v>94209655</v>
      </c>
      <c r="G1462" s="54">
        <v>2000429756</v>
      </c>
      <c r="H1462" s="54">
        <v>0</v>
      </c>
      <c r="I1462" s="55">
        <f t="shared" si="66"/>
        <v>2438669893</v>
      </c>
      <c r="J1462" s="54">
        <v>0</v>
      </c>
      <c r="K1462" s="56">
        <f t="shared" si="67"/>
        <v>2438669893</v>
      </c>
      <c r="L1462" s="37">
        <v>0</v>
      </c>
      <c r="O1462" s="38" t="str">
        <f>IF([1]totrevprm!O1463="","",[1]totrevprm!O1463)</f>
        <v/>
      </c>
      <c r="V1462" s="38"/>
      <c r="W1462" s="58"/>
      <c r="X1462" s="58"/>
      <c r="Y1462" s="58"/>
      <c r="Z1462" s="58"/>
    </row>
    <row r="1463" spans="1:26">
      <c r="A1463" s="50" t="s">
        <v>66</v>
      </c>
      <c r="B1463" s="51" t="s">
        <v>807</v>
      </c>
      <c r="C1463" s="52" t="s">
        <v>731</v>
      </c>
      <c r="D1463" s="53">
        <v>2002</v>
      </c>
      <c r="E1463" s="54">
        <v>326152465</v>
      </c>
      <c r="F1463" s="54">
        <v>157812085</v>
      </c>
      <c r="G1463" s="54">
        <v>1805219153</v>
      </c>
      <c r="H1463" s="54">
        <v>0</v>
      </c>
      <c r="I1463" s="55">
        <f t="shared" si="66"/>
        <v>2289183703</v>
      </c>
      <c r="J1463" s="54">
        <v>-400894</v>
      </c>
      <c r="K1463" s="56">
        <f t="shared" si="67"/>
        <v>2288782809</v>
      </c>
      <c r="L1463" s="37">
        <v>0</v>
      </c>
      <c r="O1463" s="38" t="str">
        <f>IF([1]totrevprm!O1464="","",[1]totrevprm!O1464)</f>
        <v/>
      </c>
      <c r="V1463" s="38"/>
      <c r="W1463" s="58"/>
      <c r="X1463" s="58"/>
      <c r="Y1463" s="58"/>
      <c r="Z1463" s="58"/>
    </row>
    <row r="1464" spans="1:26">
      <c r="A1464" s="50" t="s">
        <v>66</v>
      </c>
      <c r="B1464" s="51" t="s">
        <v>807</v>
      </c>
      <c r="C1464" s="52" t="s">
        <v>731</v>
      </c>
      <c r="D1464" s="53">
        <v>2003</v>
      </c>
      <c r="E1464" s="59">
        <v>342246780</v>
      </c>
      <c r="F1464" s="59">
        <v>157781808</v>
      </c>
      <c r="G1464" s="59">
        <v>1829094568</v>
      </c>
      <c r="H1464" s="54">
        <v>0</v>
      </c>
      <c r="I1464" s="55">
        <f t="shared" si="66"/>
        <v>2329123156</v>
      </c>
      <c r="J1464" s="54">
        <v>-1</v>
      </c>
      <c r="K1464" s="56">
        <f t="shared" si="67"/>
        <v>2329123155</v>
      </c>
      <c r="L1464" s="37">
        <v>0</v>
      </c>
      <c r="O1464" s="38" t="str">
        <f>IF([1]totrevprm!O1465="","",[1]totrevprm!O1465)</f>
        <v/>
      </c>
      <c r="V1464" s="38"/>
      <c r="W1464" s="58"/>
      <c r="X1464" s="58"/>
      <c r="Y1464" s="58"/>
      <c r="Z1464" s="58"/>
    </row>
    <row r="1465" spans="1:26">
      <c r="A1465" s="50" t="s">
        <v>66</v>
      </c>
      <c r="B1465" s="51" t="s">
        <v>807</v>
      </c>
      <c r="C1465" s="52" t="s">
        <v>731</v>
      </c>
      <c r="D1465" s="53">
        <v>2004</v>
      </c>
      <c r="E1465" s="59">
        <v>358055028</v>
      </c>
      <c r="F1465" s="59">
        <v>134095632</v>
      </c>
      <c r="G1465" s="59">
        <v>1920507213</v>
      </c>
      <c r="H1465" s="54">
        <v>0</v>
      </c>
      <c r="I1465" s="55">
        <f t="shared" si="66"/>
        <v>2412657873</v>
      </c>
      <c r="J1465" s="54">
        <v>-198565</v>
      </c>
      <c r="K1465" s="56">
        <f t="shared" si="67"/>
        <v>2412459308</v>
      </c>
      <c r="L1465" s="37">
        <v>0</v>
      </c>
      <c r="O1465" s="38" t="str">
        <f>IF([1]totrevprm!O1466="","",[1]totrevprm!O1466)</f>
        <v/>
      </c>
      <c r="V1465" s="38"/>
      <c r="W1465" s="58"/>
      <c r="X1465" s="58"/>
      <c r="Y1465" s="58"/>
      <c r="Z1465" s="58"/>
    </row>
    <row r="1466" spans="1:26">
      <c r="A1466" s="50" t="s">
        <v>66</v>
      </c>
      <c r="B1466" s="51" t="s">
        <v>807</v>
      </c>
      <c r="C1466" s="52"/>
      <c r="D1466" s="53">
        <v>2005</v>
      </c>
      <c r="E1466" s="59">
        <v>384344050</v>
      </c>
      <c r="F1466" s="59">
        <v>116205874</v>
      </c>
      <c r="G1466" s="59">
        <v>2126705528.4000001</v>
      </c>
      <c r="H1466" s="54">
        <v>0</v>
      </c>
      <c r="I1466" s="55">
        <f t="shared" si="66"/>
        <v>2627255452.4000001</v>
      </c>
      <c r="J1466" s="54">
        <v>-1</v>
      </c>
      <c r="K1466" s="56">
        <f t="shared" si="67"/>
        <v>2627255451.4000001</v>
      </c>
      <c r="L1466" s="37">
        <v>0</v>
      </c>
      <c r="O1466" s="38" t="str">
        <f>IF([1]totrevprm!O1467="","",[1]totrevprm!O1467)</f>
        <v/>
      </c>
      <c r="V1466" s="38"/>
      <c r="W1466" s="58"/>
      <c r="X1466" s="58"/>
      <c r="Y1466" s="58"/>
      <c r="Z1466" s="58"/>
    </row>
    <row r="1467" spans="1:26">
      <c r="A1467" s="50" t="s">
        <v>66</v>
      </c>
      <c r="B1467" s="51" t="s">
        <v>807</v>
      </c>
      <c r="C1467" s="52"/>
      <c r="D1467" s="53">
        <v>2006</v>
      </c>
      <c r="E1467" s="37">
        <v>394855050</v>
      </c>
      <c r="F1467" s="37">
        <v>147589799</v>
      </c>
      <c r="G1467" s="37">
        <v>2322285870</v>
      </c>
      <c r="H1467" s="37">
        <v>0</v>
      </c>
      <c r="I1467" s="55">
        <f t="shared" si="66"/>
        <v>2864730719</v>
      </c>
      <c r="J1467" s="54">
        <v>-1100</v>
      </c>
      <c r="K1467" s="56">
        <f t="shared" si="67"/>
        <v>2864729619</v>
      </c>
      <c r="L1467" s="37">
        <v>0</v>
      </c>
      <c r="O1467" s="38" t="str">
        <f>IF([1]totrevprm!O1468="","",[1]totrevprm!O1468)</f>
        <v/>
      </c>
      <c r="V1467" s="38"/>
      <c r="W1467" s="58"/>
      <c r="X1467" s="58"/>
      <c r="Y1467" s="58"/>
      <c r="Z1467" s="58"/>
    </row>
    <row r="1468" spans="1:26">
      <c r="A1468" s="50" t="s">
        <v>66</v>
      </c>
      <c r="B1468" s="51" t="s">
        <v>807</v>
      </c>
      <c r="C1468" s="52"/>
      <c r="D1468" s="53">
        <v>2007</v>
      </c>
      <c r="E1468" s="37">
        <v>408813039</v>
      </c>
      <c r="F1468" s="37">
        <v>191221562</v>
      </c>
      <c r="G1468" s="37">
        <v>2038007707</v>
      </c>
      <c r="H1468" s="37">
        <v>0</v>
      </c>
      <c r="I1468" s="55">
        <f t="shared" si="66"/>
        <v>2638042308</v>
      </c>
      <c r="J1468" s="54">
        <v>0</v>
      </c>
      <c r="K1468" s="56">
        <f t="shared" si="67"/>
        <v>2638042308</v>
      </c>
      <c r="L1468" s="37">
        <v>0</v>
      </c>
      <c r="O1468" s="38" t="str">
        <f>IF([1]totrevprm!O1469="","",[1]totrevprm!O1469)</f>
        <v/>
      </c>
      <c r="V1468" s="38"/>
      <c r="W1468" s="58"/>
      <c r="X1468" s="58"/>
      <c r="Y1468" s="58"/>
      <c r="Z1468" s="58"/>
    </row>
    <row r="1469" spans="1:26">
      <c r="A1469" s="50" t="s">
        <v>66</v>
      </c>
      <c r="B1469" s="51" t="s">
        <v>807</v>
      </c>
      <c r="C1469" s="52"/>
      <c r="D1469" s="53">
        <v>2008</v>
      </c>
      <c r="E1469" s="37">
        <v>402682405</v>
      </c>
      <c r="F1469" s="37">
        <v>158372547</v>
      </c>
      <c r="G1469" s="37">
        <v>2330915530</v>
      </c>
      <c r="H1469" s="37">
        <v>0</v>
      </c>
      <c r="I1469" s="55">
        <f t="shared" si="66"/>
        <v>2891970482</v>
      </c>
      <c r="J1469" s="54">
        <v>0</v>
      </c>
      <c r="K1469" s="56">
        <f t="shared" si="67"/>
        <v>2891970482</v>
      </c>
      <c r="L1469" s="37">
        <v>0</v>
      </c>
      <c r="O1469" s="38" t="str">
        <f>IF([1]totrevprm!O1470="","",[1]totrevprm!O1470)</f>
        <v/>
      </c>
      <c r="V1469" s="38"/>
      <c r="W1469" s="58"/>
      <c r="X1469" s="58"/>
      <c r="Y1469" s="58"/>
      <c r="Z1469" s="58"/>
    </row>
    <row r="1470" spans="1:26">
      <c r="A1470" s="50" t="s">
        <v>66</v>
      </c>
      <c r="B1470" s="51" t="s">
        <v>807</v>
      </c>
      <c r="C1470" s="52"/>
      <c r="D1470" s="53">
        <v>2009</v>
      </c>
      <c r="E1470" s="37">
        <v>428037026</v>
      </c>
      <c r="F1470" s="37">
        <v>255175425</v>
      </c>
      <c r="G1470" s="37">
        <v>2354225388</v>
      </c>
      <c r="H1470" s="37">
        <v>0</v>
      </c>
      <c r="I1470" s="55">
        <f t="shared" si="66"/>
        <v>3037437839</v>
      </c>
      <c r="J1470" s="54">
        <v>0</v>
      </c>
      <c r="K1470" s="56">
        <f t="shared" si="67"/>
        <v>3037437839</v>
      </c>
      <c r="L1470" s="37">
        <v>0</v>
      </c>
      <c r="O1470" s="38" t="str">
        <f>IF([1]totrevprm!O1471="","",[1]totrevprm!O1471)</f>
        <v/>
      </c>
      <c r="V1470" s="38"/>
      <c r="W1470" s="58"/>
      <c r="X1470" s="58"/>
      <c r="Y1470" s="58"/>
      <c r="Z1470" s="58"/>
    </row>
    <row r="1471" spans="1:26">
      <c r="A1471" s="50" t="s">
        <v>66</v>
      </c>
      <c r="B1471" s="51" t="s">
        <v>807</v>
      </c>
      <c r="C1471" s="52"/>
      <c r="D1471" s="53">
        <v>2010</v>
      </c>
      <c r="E1471" s="37">
        <v>424510764</v>
      </c>
      <c r="F1471" s="37">
        <v>272500504</v>
      </c>
      <c r="G1471" s="37">
        <v>2325814622</v>
      </c>
      <c r="H1471" s="37">
        <v>0</v>
      </c>
      <c r="I1471" s="55">
        <f t="shared" si="66"/>
        <v>3022825890</v>
      </c>
      <c r="J1471" s="54">
        <v>-5778</v>
      </c>
      <c r="K1471" s="56">
        <f t="shared" si="67"/>
        <v>3022820112</v>
      </c>
      <c r="L1471" s="37">
        <v>0</v>
      </c>
      <c r="O1471" s="38" t="str">
        <f>IF([1]totrevprm!O1472="","",[1]totrevprm!O1472)</f>
        <v/>
      </c>
      <c r="V1471" s="38"/>
      <c r="W1471" s="58"/>
      <c r="X1471" s="58"/>
      <c r="Y1471" s="58"/>
      <c r="Z1471" s="58"/>
    </row>
    <row r="1472" spans="1:26">
      <c r="A1472" s="50" t="s">
        <v>66</v>
      </c>
      <c r="B1472" s="51" t="s">
        <v>807</v>
      </c>
      <c r="C1472" s="52"/>
      <c r="D1472" s="53">
        <v>2011</v>
      </c>
      <c r="E1472" s="37">
        <v>441041889</v>
      </c>
      <c r="F1472" s="37">
        <v>325752273</v>
      </c>
      <c r="G1472" s="37">
        <v>1512721518</v>
      </c>
      <c r="H1472" s="37">
        <v>0</v>
      </c>
      <c r="I1472" s="55">
        <f t="shared" si="66"/>
        <v>2279515680</v>
      </c>
      <c r="J1472" s="54">
        <v>-6368</v>
      </c>
      <c r="K1472" s="56">
        <f t="shared" si="67"/>
        <v>2279509312</v>
      </c>
      <c r="L1472" s="37">
        <v>0</v>
      </c>
      <c r="O1472" s="38" t="str">
        <f>IF([1]totrevprm!O1473="","",[1]totrevprm!O1473)</f>
        <v/>
      </c>
      <c r="V1472" s="38"/>
      <c r="W1472" s="58"/>
      <c r="X1472" s="58"/>
      <c r="Y1472" s="58"/>
      <c r="Z1472" s="58"/>
    </row>
    <row r="1473" spans="1:26">
      <c r="A1473" s="50" t="s">
        <v>66</v>
      </c>
      <c r="B1473" s="51" t="s">
        <v>807</v>
      </c>
      <c r="C1473" s="52"/>
      <c r="D1473" s="53">
        <v>2012</v>
      </c>
      <c r="E1473" s="37">
        <v>448293154</v>
      </c>
      <c r="F1473" s="37">
        <v>377889373</v>
      </c>
      <c r="G1473" s="37">
        <v>2150777272</v>
      </c>
      <c r="H1473" s="37">
        <v>0</v>
      </c>
      <c r="I1473" s="55">
        <f t="shared" si="66"/>
        <v>2976959799</v>
      </c>
      <c r="J1473" s="54">
        <v>-1</v>
      </c>
      <c r="K1473" s="56">
        <f t="shared" si="67"/>
        <v>2976959798</v>
      </c>
      <c r="L1473" s="37">
        <v>0</v>
      </c>
      <c r="O1473" s="38" t="str">
        <f>IF([1]totrevprm!O1474="","",[1]totrevprm!O1474)</f>
        <v/>
      </c>
      <c r="V1473" s="38"/>
      <c r="W1473" s="58"/>
      <c r="X1473" s="58"/>
      <c r="Y1473" s="58"/>
      <c r="Z1473" s="58"/>
    </row>
    <row r="1474" spans="1:26">
      <c r="A1474" s="50" t="s">
        <v>66</v>
      </c>
      <c r="B1474" s="51" t="s">
        <v>807</v>
      </c>
      <c r="C1474" s="52"/>
      <c r="D1474" s="53">
        <v>2013</v>
      </c>
      <c r="E1474" s="37">
        <v>445099771</v>
      </c>
      <c r="F1474" s="37">
        <v>396768112</v>
      </c>
      <c r="G1474" s="37">
        <v>2036718465</v>
      </c>
      <c r="H1474" s="37">
        <v>0</v>
      </c>
      <c r="I1474" s="55">
        <f t="shared" si="66"/>
        <v>2878586348</v>
      </c>
      <c r="J1474" s="54">
        <v>-2</v>
      </c>
      <c r="K1474" s="56">
        <f t="shared" si="67"/>
        <v>2878586346</v>
      </c>
      <c r="L1474" s="37">
        <v>0</v>
      </c>
      <c r="O1474" s="38" t="str">
        <f>IF([1]totrevprm!O1475="","",[1]totrevprm!O1475)</f>
        <v/>
      </c>
      <c r="V1474" s="38"/>
      <c r="W1474" s="58"/>
      <c r="X1474" s="58"/>
      <c r="Y1474" s="58"/>
      <c r="Z1474" s="58"/>
    </row>
    <row r="1475" spans="1:26">
      <c r="A1475" s="50" t="s">
        <v>66</v>
      </c>
      <c r="B1475" s="51" t="s">
        <v>807</v>
      </c>
      <c r="C1475" s="52"/>
      <c r="D1475" s="53">
        <v>2014</v>
      </c>
      <c r="E1475" s="37">
        <v>455407340</v>
      </c>
      <c r="F1475" s="37">
        <v>375190163</v>
      </c>
      <c r="G1475" s="37">
        <v>2405967115</v>
      </c>
      <c r="H1475" s="37">
        <v>0</v>
      </c>
      <c r="I1475" s="55">
        <f t="shared" si="66"/>
        <v>3236564618</v>
      </c>
      <c r="J1475" s="54">
        <v>-6</v>
      </c>
      <c r="K1475" s="56">
        <f t="shared" si="67"/>
        <v>3236564612</v>
      </c>
      <c r="L1475" s="37">
        <v>0</v>
      </c>
      <c r="O1475" s="38" t="str">
        <f>IF([1]totrevprm!O1476="","",[1]totrevprm!O1476)</f>
        <v/>
      </c>
      <c r="V1475" s="38"/>
      <c r="W1475" s="58"/>
      <c r="X1475" s="58"/>
      <c r="Y1475" s="58"/>
      <c r="Z1475" s="58"/>
    </row>
    <row r="1476" spans="1:26">
      <c r="A1476" s="50" t="s">
        <v>66</v>
      </c>
      <c r="B1476" s="51" t="s">
        <v>807</v>
      </c>
      <c r="C1476" s="52"/>
      <c r="D1476" s="53">
        <v>2015</v>
      </c>
      <c r="E1476" s="37">
        <v>471751346</v>
      </c>
      <c r="F1476" s="37">
        <v>444924435</v>
      </c>
      <c r="G1476" s="37">
        <v>2133742148</v>
      </c>
      <c r="H1476" s="37">
        <v>0</v>
      </c>
      <c r="I1476" s="55">
        <f t="shared" si="66"/>
        <v>3050417929</v>
      </c>
      <c r="J1476" s="54">
        <v>0</v>
      </c>
      <c r="K1476" s="56">
        <f t="shared" si="67"/>
        <v>3050417929</v>
      </c>
      <c r="L1476" s="37">
        <v>0</v>
      </c>
      <c r="O1476" s="38" t="str">
        <f>IF([1]totrevprm!O1477="","",[1]totrevprm!O1477)</f>
        <v/>
      </c>
      <c r="P1476" s="35">
        <v>148516082.86900809</v>
      </c>
      <c r="Q1476" s="35">
        <v>3437663</v>
      </c>
      <c r="V1476" s="38"/>
      <c r="W1476" s="58"/>
      <c r="X1476" s="58"/>
      <c r="Y1476" s="58"/>
      <c r="Z1476" s="58"/>
    </row>
    <row r="1477" spans="1:26">
      <c r="A1477" s="50" t="s">
        <v>66</v>
      </c>
      <c r="B1477" s="51" t="s">
        <v>807</v>
      </c>
      <c r="C1477" s="52"/>
      <c r="D1477" s="53">
        <v>2016</v>
      </c>
      <c r="E1477" s="37">
        <v>495444914</v>
      </c>
      <c r="F1477" s="37">
        <v>541868244</v>
      </c>
      <c r="G1477" s="37">
        <v>2301959549</v>
      </c>
      <c r="H1477" s="37">
        <v>0</v>
      </c>
      <c r="I1477" s="55">
        <f t="shared" si="66"/>
        <v>3339272707</v>
      </c>
      <c r="J1477" s="54">
        <v>-3</v>
      </c>
      <c r="K1477" s="56">
        <f t="shared" si="67"/>
        <v>3339272704</v>
      </c>
      <c r="L1477" s="37">
        <v>0</v>
      </c>
      <c r="O1477" s="38" t="str">
        <f>IF([1]totrevprm!O1478="","",[1]totrevprm!O1478)</f>
        <v/>
      </c>
      <c r="P1477" s="35">
        <v>144651722.76999998</v>
      </c>
      <c r="Q1477" s="35">
        <v>8668902</v>
      </c>
      <c r="V1477" s="38"/>
      <c r="W1477" s="58"/>
      <c r="X1477" s="58"/>
      <c r="Y1477" s="58"/>
      <c r="Z1477" s="58"/>
    </row>
    <row r="1478" spans="1:26">
      <c r="A1478" s="50" t="s">
        <v>66</v>
      </c>
      <c r="B1478" s="51" t="s">
        <v>807</v>
      </c>
      <c r="C1478" s="52"/>
      <c r="D1478" s="53">
        <v>2017</v>
      </c>
      <c r="E1478" s="37">
        <v>487220261</v>
      </c>
      <c r="F1478" s="37">
        <v>508751730</v>
      </c>
      <c r="G1478" s="37">
        <v>2417002732.9499998</v>
      </c>
      <c r="H1478" s="37">
        <v>0</v>
      </c>
      <c r="I1478" s="55">
        <f t="shared" si="66"/>
        <v>3412974723.9499998</v>
      </c>
      <c r="J1478" s="54">
        <v>-3378</v>
      </c>
      <c r="K1478" s="56">
        <f t="shared" si="67"/>
        <v>3412971345.9499998</v>
      </c>
      <c r="L1478" s="37">
        <v>0</v>
      </c>
      <c r="O1478" s="38" t="str">
        <f>IF([1]totrevprm!O1479="","",[1]totrevprm!O1479)</f>
        <v/>
      </c>
      <c r="P1478" s="35">
        <v>123782240.33</v>
      </c>
      <c r="Q1478" s="35">
        <v>9121364</v>
      </c>
      <c r="V1478" s="38"/>
      <c r="W1478" s="58"/>
      <c r="X1478" s="58"/>
      <c r="Y1478" s="58"/>
      <c r="Z1478" s="58"/>
    </row>
    <row r="1479" spans="1:26">
      <c r="A1479" s="50" t="s">
        <v>66</v>
      </c>
      <c r="B1479" s="51" t="s">
        <v>807</v>
      </c>
      <c r="C1479" s="52"/>
      <c r="D1479" s="53">
        <v>2018</v>
      </c>
      <c r="E1479" s="37">
        <v>511894905</v>
      </c>
      <c r="F1479" s="37">
        <v>634066499</v>
      </c>
      <c r="G1479" s="37">
        <v>2261597937</v>
      </c>
      <c r="H1479" s="37">
        <v>0</v>
      </c>
      <c r="I1479" s="55">
        <f t="shared" si="66"/>
        <v>3407559341</v>
      </c>
      <c r="J1479" s="54">
        <v>0</v>
      </c>
      <c r="K1479" s="56">
        <f t="shared" si="67"/>
        <v>3407559341</v>
      </c>
      <c r="L1479" s="60">
        <v>0</v>
      </c>
      <c r="O1479" s="38" t="str">
        <f>IF([1]totrevprm!O1480="","",[1]totrevprm!O1480)</f>
        <v/>
      </c>
      <c r="P1479" s="35">
        <v>148442005.04437554</v>
      </c>
      <c r="Q1479" s="35">
        <v>3894637</v>
      </c>
      <c r="V1479" s="38"/>
      <c r="W1479" s="58"/>
      <c r="X1479" s="58"/>
      <c r="Y1479" s="58"/>
      <c r="Z1479" s="58"/>
    </row>
    <row r="1480" spans="1:26">
      <c r="A1480" s="50" t="s">
        <v>66</v>
      </c>
      <c r="B1480" s="51" t="s">
        <v>807</v>
      </c>
      <c r="C1480" s="52"/>
      <c r="D1480" s="53">
        <v>2019</v>
      </c>
      <c r="E1480" s="37">
        <v>531859821</v>
      </c>
      <c r="F1480" s="37">
        <v>687084438</v>
      </c>
      <c r="G1480" s="37">
        <v>2427039058</v>
      </c>
      <c r="H1480" s="37">
        <v>0</v>
      </c>
      <c r="I1480" s="55">
        <f t="shared" si="66"/>
        <v>3645983317</v>
      </c>
      <c r="J1480" s="54">
        <v>-2</v>
      </c>
      <c r="K1480" s="56">
        <f t="shared" si="67"/>
        <v>3645983315</v>
      </c>
      <c r="L1480" s="60">
        <v>0</v>
      </c>
      <c r="O1480" s="38" t="str">
        <f>IF([1]totrevprm!O1481="","",[1]totrevprm!O1481)</f>
        <v/>
      </c>
      <c r="P1480" s="35">
        <v>154569094.27735874</v>
      </c>
      <c r="Q1480" s="35">
        <v>3993325</v>
      </c>
      <c r="V1480" s="38"/>
      <c r="W1480" s="58"/>
      <c r="X1480" s="58"/>
      <c r="Y1480" s="58"/>
      <c r="Z1480" s="58"/>
    </row>
    <row r="1481" spans="1:26">
      <c r="A1481" s="50" t="s">
        <v>66</v>
      </c>
      <c r="B1481" s="51" t="s">
        <v>807</v>
      </c>
      <c r="C1481" s="52"/>
      <c r="D1481" s="53">
        <v>2020</v>
      </c>
      <c r="E1481" s="37">
        <v>536993127</v>
      </c>
      <c r="F1481" s="37">
        <v>683421906</v>
      </c>
      <c r="G1481" s="37">
        <v>2610396101</v>
      </c>
      <c r="H1481" s="37">
        <v>0</v>
      </c>
      <c r="I1481" s="55">
        <f t="shared" si="66"/>
        <v>3830811134</v>
      </c>
      <c r="J1481" s="54">
        <v>0</v>
      </c>
      <c r="K1481" s="56">
        <f t="shared" si="67"/>
        <v>3830811134</v>
      </c>
      <c r="L1481" s="60">
        <v>0</v>
      </c>
      <c r="O1481" s="38" t="str">
        <f>IF([1]totrevprm!O1482="","",[1]totrevprm!O1482)</f>
        <v/>
      </c>
      <c r="P1481" s="35">
        <v>153696585</v>
      </c>
      <c r="Q1481" s="35">
        <v>1964495</v>
      </c>
      <c r="V1481" s="38"/>
      <c r="W1481" s="58"/>
      <c r="X1481" s="58"/>
      <c r="Y1481" s="58"/>
      <c r="Z1481" s="58"/>
    </row>
    <row r="1482" spans="1:26">
      <c r="A1482" s="50" t="s">
        <v>66</v>
      </c>
      <c r="B1482" s="51" t="s">
        <v>807</v>
      </c>
      <c r="C1482" s="52"/>
      <c r="D1482" s="53">
        <v>2021</v>
      </c>
      <c r="E1482" s="37">
        <v>557526304</v>
      </c>
      <c r="F1482" s="37">
        <v>890557770</v>
      </c>
      <c r="G1482" s="37">
        <v>2947954740</v>
      </c>
      <c r="H1482" s="37">
        <v>0</v>
      </c>
      <c r="I1482" s="55">
        <f t="shared" si="66"/>
        <v>4396038814</v>
      </c>
      <c r="J1482" s="60">
        <v>-1</v>
      </c>
      <c r="K1482" s="56">
        <f t="shared" si="67"/>
        <v>4396038813</v>
      </c>
      <c r="L1482" s="60">
        <v>0</v>
      </c>
      <c r="O1482" s="38"/>
      <c r="P1482" s="35">
        <v>81640780</v>
      </c>
      <c r="Q1482" s="35">
        <v>3416166</v>
      </c>
      <c r="V1482" s="38"/>
      <c r="W1482" s="58"/>
      <c r="X1482" s="58"/>
      <c r="Y1482" s="58"/>
      <c r="Z1482" s="58"/>
    </row>
    <row r="1483" spans="1:26">
      <c r="A1483" s="50" t="s">
        <v>66</v>
      </c>
      <c r="B1483" s="51" t="s">
        <v>807</v>
      </c>
      <c r="C1483" s="52"/>
      <c r="D1483" s="53">
        <v>2022</v>
      </c>
      <c r="E1483" s="37">
        <v>574734814</v>
      </c>
      <c r="F1483" s="37">
        <v>1210687611</v>
      </c>
      <c r="G1483" s="37">
        <v>3121480705</v>
      </c>
      <c r="H1483" s="37">
        <v>0</v>
      </c>
      <c r="I1483" s="55">
        <f t="shared" si="66"/>
        <v>4906903130</v>
      </c>
      <c r="J1483" s="60">
        <v>-1</v>
      </c>
      <c r="K1483" s="56">
        <f t="shared" si="67"/>
        <v>4906903129</v>
      </c>
      <c r="L1483" s="60">
        <v>0</v>
      </c>
      <c r="O1483" s="38" t="str">
        <f>IF([1]totrevprm!O1486="","",[1]totrevprm!O1486)</f>
        <v/>
      </c>
      <c r="P1483" s="60">
        <v>54429841</v>
      </c>
      <c r="Q1483" s="60">
        <v>2856064</v>
      </c>
    </row>
    <row r="1484" spans="1:26">
      <c r="A1484" s="50" t="s">
        <v>66</v>
      </c>
      <c r="B1484" s="51" t="s">
        <v>807</v>
      </c>
      <c r="C1484" s="52"/>
      <c r="D1484" s="53">
        <v>2023</v>
      </c>
      <c r="E1484" s="37">
        <v>605222740</v>
      </c>
      <c r="F1484" s="37">
        <v>1719310841</v>
      </c>
      <c r="G1484" s="66">
        <v>3265774815</v>
      </c>
      <c r="H1484" s="37">
        <v>0</v>
      </c>
      <c r="I1484" s="55">
        <f t="shared" si="66"/>
        <v>5590308396</v>
      </c>
      <c r="J1484" s="60">
        <v>-31014</v>
      </c>
      <c r="K1484" s="56">
        <f t="shared" si="67"/>
        <v>5590277382</v>
      </c>
      <c r="L1484" s="37">
        <v>0</v>
      </c>
      <c r="O1484" s="38"/>
      <c r="P1484" s="60">
        <v>45263146</v>
      </c>
      <c r="Q1484" s="60">
        <v>1525788</v>
      </c>
    </row>
    <row r="1485" spans="1:26">
      <c r="A1485" s="50"/>
      <c r="B1485" s="52"/>
      <c r="C1485" s="52"/>
      <c r="E1485" s="54"/>
      <c r="F1485" s="54"/>
      <c r="G1485" s="54"/>
      <c r="H1485" s="54"/>
      <c r="I1485" s="55"/>
      <c r="K1485" s="65"/>
      <c r="L1485" s="37"/>
      <c r="O1485" s="38"/>
    </row>
    <row r="1486" spans="1:26">
      <c r="A1486" s="50" t="s">
        <v>67</v>
      </c>
      <c r="B1486" s="51" t="s">
        <v>808</v>
      </c>
      <c r="C1486" s="52" t="s">
        <v>730</v>
      </c>
      <c r="D1486" s="53">
        <v>1988</v>
      </c>
      <c r="E1486" s="54">
        <v>241592427</v>
      </c>
      <c r="F1486" s="54">
        <v>135208925</v>
      </c>
      <c r="G1486" s="54">
        <v>124908211</v>
      </c>
      <c r="H1486" s="54">
        <v>0</v>
      </c>
      <c r="I1486" s="55">
        <f t="shared" si="66"/>
        <v>501709563</v>
      </c>
      <c r="J1486" s="54">
        <v>-2005566</v>
      </c>
      <c r="K1486" s="56">
        <f>SUM(I1486:J1486)</f>
        <v>499703997</v>
      </c>
      <c r="L1486" s="37">
        <v>0</v>
      </c>
      <c r="O1486" s="38" t="str">
        <f>IF([1]totrevprm!O1487="","",[1]totrevprm!O1487)</f>
        <v/>
      </c>
    </row>
    <row r="1487" spans="1:26">
      <c r="A1487" s="50" t="s">
        <v>67</v>
      </c>
      <c r="B1487" s="51" t="s">
        <v>808</v>
      </c>
      <c r="C1487" s="52" t="s">
        <v>731</v>
      </c>
      <c r="D1487" s="53">
        <v>1989</v>
      </c>
      <c r="E1487" s="54">
        <v>235543411</v>
      </c>
      <c r="F1487" s="54">
        <v>177930743</v>
      </c>
      <c r="G1487" s="54">
        <v>101472217</v>
      </c>
      <c r="H1487" s="54">
        <v>0</v>
      </c>
      <c r="I1487" s="55">
        <f t="shared" si="66"/>
        <v>514946371</v>
      </c>
      <c r="J1487" s="54">
        <v>-2143946</v>
      </c>
      <c r="K1487" s="56">
        <f t="shared" ref="K1487:K1521" si="68">SUM(I1487:J1487)</f>
        <v>512802425</v>
      </c>
      <c r="L1487" s="37">
        <v>0</v>
      </c>
      <c r="O1487" s="38" t="str">
        <f>IF([1]totrevprm!O1488="","",[1]totrevprm!O1488)</f>
        <v/>
      </c>
    </row>
    <row r="1488" spans="1:26">
      <c r="A1488" s="50" t="s">
        <v>67</v>
      </c>
      <c r="B1488" s="51" t="s">
        <v>808</v>
      </c>
      <c r="C1488" s="52" t="s">
        <v>731</v>
      </c>
      <c r="D1488" s="53">
        <v>1990</v>
      </c>
      <c r="E1488" s="54">
        <v>252225269</v>
      </c>
      <c r="F1488" s="54">
        <v>313351542.19999999</v>
      </c>
      <c r="G1488" s="54">
        <v>117873033</v>
      </c>
      <c r="H1488" s="54">
        <v>0</v>
      </c>
      <c r="I1488" s="55">
        <f t="shared" si="66"/>
        <v>683449844.20000005</v>
      </c>
      <c r="J1488" s="54">
        <v>-3784597</v>
      </c>
      <c r="K1488" s="56">
        <f t="shared" si="68"/>
        <v>679665247.20000005</v>
      </c>
      <c r="L1488" s="37">
        <v>0</v>
      </c>
      <c r="O1488" s="38" t="str">
        <f>IF([1]totrevprm!O1489="","",[1]totrevprm!O1489)</f>
        <v/>
      </c>
    </row>
    <row r="1489" spans="1:26">
      <c r="A1489" s="50" t="s">
        <v>67</v>
      </c>
      <c r="B1489" s="51" t="s">
        <v>808</v>
      </c>
      <c r="C1489" s="52" t="s">
        <v>731</v>
      </c>
      <c r="D1489" s="53">
        <v>1991</v>
      </c>
      <c r="E1489" s="54">
        <v>242886184</v>
      </c>
      <c r="F1489" s="54">
        <v>317370437</v>
      </c>
      <c r="G1489" s="54">
        <v>130663108</v>
      </c>
      <c r="H1489" s="54">
        <v>0</v>
      </c>
      <c r="I1489" s="55">
        <f t="shared" si="66"/>
        <v>690919729</v>
      </c>
      <c r="J1489" s="54">
        <v>-2701</v>
      </c>
      <c r="K1489" s="56">
        <f t="shared" si="68"/>
        <v>690917028</v>
      </c>
      <c r="L1489" s="37">
        <v>0</v>
      </c>
      <c r="O1489" s="38" t="str">
        <f>IF([1]totrevprm!O1490="","",[1]totrevprm!O1490)</f>
        <v/>
      </c>
    </row>
    <row r="1490" spans="1:26">
      <c r="A1490" s="50" t="s">
        <v>67</v>
      </c>
      <c r="B1490" s="51" t="s">
        <v>808</v>
      </c>
      <c r="C1490" s="52" t="s">
        <v>731</v>
      </c>
      <c r="D1490" s="53">
        <v>1992</v>
      </c>
      <c r="E1490" s="54">
        <v>283767485</v>
      </c>
      <c r="F1490" s="54">
        <v>187380350.31999999</v>
      </c>
      <c r="G1490" s="54">
        <v>142290204</v>
      </c>
      <c r="H1490" s="54">
        <v>0</v>
      </c>
      <c r="I1490" s="55">
        <f t="shared" si="66"/>
        <v>613438039.31999993</v>
      </c>
      <c r="J1490" s="54">
        <v>-835276</v>
      </c>
      <c r="K1490" s="56">
        <f t="shared" si="68"/>
        <v>612602763.31999993</v>
      </c>
      <c r="L1490" s="37">
        <v>0</v>
      </c>
      <c r="O1490" s="38" t="str">
        <f>IF([1]totrevprm!O1491="","",[1]totrevprm!O1491)</f>
        <v/>
      </c>
    </row>
    <row r="1491" spans="1:26">
      <c r="A1491" s="50" t="s">
        <v>67</v>
      </c>
      <c r="B1491" s="51" t="s">
        <v>808</v>
      </c>
      <c r="C1491" s="52" t="s">
        <v>731</v>
      </c>
      <c r="D1491" s="53">
        <v>1993</v>
      </c>
      <c r="E1491" s="54">
        <v>275778174</v>
      </c>
      <c r="F1491" s="54">
        <v>179480221</v>
      </c>
      <c r="G1491" s="54">
        <v>163891426</v>
      </c>
      <c r="H1491" s="54">
        <v>0</v>
      </c>
      <c r="I1491" s="55">
        <f t="shared" si="66"/>
        <v>619149821</v>
      </c>
      <c r="J1491" s="54">
        <v>-24829</v>
      </c>
      <c r="K1491" s="56">
        <f t="shared" si="68"/>
        <v>619124992</v>
      </c>
      <c r="L1491" s="37">
        <v>0</v>
      </c>
      <c r="O1491" s="38" t="str">
        <f>IF([1]totrevprm!O1492="","",[1]totrevprm!O1492)</f>
        <v/>
      </c>
    </row>
    <row r="1492" spans="1:26">
      <c r="A1492" s="50" t="s">
        <v>67</v>
      </c>
      <c r="B1492" s="51" t="s">
        <v>808</v>
      </c>
      <c r="C1492" s="52" t="s">
        <v>731</v>
      </c>
      <c r="D1492" s="53">
        <v>1994</v>
      </c>
      <c r="E1492" s="54">
        <v>286520020</v>
      </c>
      <c r="F1492" s="54">
        <v>269677400</v>
      </c>
      <c r="G1492" s="54">
        <v>185799271</v>
      </c>
      <c r="H1492" s="54">
        <v>0</v>
      </c>
      <c r="I1492" s="55">
        <f t="shared" si="66"/>
        <v>741996691</v>
      </c>
      <c r="J1492" s="54">
        <v>-3</v>
      </c>
      <c r="K1492" s="56">
        <f t="shared" si="68"/>
        <v>741996688</v>
      </c>
      <c r="L1492" s="37">
        <v>0</v>
      </c>
      <c r="O1492" s="38" t="str">
        <f>IF([1]totrevprm!O1493="","",[1]totrevprm!O1493)</f>
        <v/>
      </c>
    </row>
    <row r="1493" spans="1:26">
      <c r="A1493" s="50" t="s">
        <v>67</v>
      </c>
      <c r="B1493" s="51" t="s">
        <v>808</v>
      </c>
      <c r="C1493" s="52" t="s">
        <v>731</v>
      </c>
      <c r="D1493" s="53">
        <v>1995</v>
      </c>
      <c r="E1493" s="54">
        <v>344571784</v>
      </c>
      <c r="F1493" s="54">
        <v>296639953</v>
      </c>
      <c r="G1493" s="54">
        <v>169288773</v>
      </c>
      <c r="H1493" s="54">
        <v>0</v>
      </c>
      <c r="I1493" s="55">
        <f t="shared" si="66"/>
        <v>810500510</v>
      </c>
      <c r="J1493" s="54">
        <v>-92</v>
      </c>
      <c r="K1493" s="56">
        <f t="shared" si="68"/>
        <v>810500418</v>
      </c>
      <c r="L1493" s="37">
        <v>0</v>
      </c>
      <c r="O1493" s="38" t="str">
        <f>IF([1]totrevprm!O1494="","",[1]totrevprm!O1494)</f>
        <v/>
      </c>
    </row>
    <row r="1494" spans="1:26">
      <c r="A1494" s="50" t="s">
        <v>67</v>
      </c>
      <c r="B1494" s="51" t="s">
        <v>808</v>
      </c>
      <c r="C1494" s="52" t="s">
        <v>809</v>
      </c>
      <c r="D1494" s="53">
        <v>1996</v>
      </c>
      <c r="E1494" s="54">
        <v>340977377</v>
      </c>
      <c r="F1494" s="54">
        <v>275125829</v>
      </c>
      <c r="G1494" s="54">
        <v>185044330</v>
      </c>
      <c r="H1494" s="54">
        <v>56476573</v>
      </c>
      <c r="I1494" s="55">
        <f t="shared" si="66"/>
        <v>857624109</v>
      </c>
      <c r="J1494" s="54">
        <v>0</v>
      </c>
      <c r="K1494" s="56">
        <f t="shared" si="68"/>
        <v>857624109</v>
      </c>
      <c r="L1494" s="37">
        <v>0</v>
      </c>
      <c r="O1494" s="38" t="str">
        <f>IF([1]totrevprm!O1495="","",[1]totrevprm!O1495)</f>
        <v/>
      </c>
    </row>
    <row r="1495" spans="1:26">
      <c r="A1495" s="50" t="s">
        <v>67</v>
      </c>
      <c r="B1495" s="51" t="s">
        <v>808</v>
      </c>
      <c r="C1495" s="52" t="s">
        <v>731</v>
      </c>
      <c r="D1495" s="53">
        <v>1997</v>
      </c>
      <c r="E1495" s="54">
        <v>492526568</v>
      </c>
      <c r="F1495" s="54">
        <v>343303826</v>
      </c>
      <c r="G1495" s="54">
        <v>185583861</v>
      </c>
      <c r="H1495" s="54">
        <v>80439353</v>
      </c>
      <c r="I1495" s="55">
        <f t="shared" si="66"/>
        <v>1101853608</v>
      </c>
      <c r="J1495" s="54">
        <v>0</v>
      </c>
      <c r="K1495" s="56">
        <f t="shared" si="68"/>
        <v>1101853608</v>
      </c>
      <c r="L1495" s="37">
        <v>0</v>
      </c>
      <c r="O1495" s="38" t="str">
        <f>IF([1]totrevprm!O1496="","",[1]totrevprm!O1496)</f>
        <v/>
      </c>
    </row>
    <row r="1496" spans="1:26">
      <c r="A1496" s="50" t="s">
        <v>67</v>
      </c>
      <c r="B1496" s="51" t="s">
        <v>808</v>
      </c>
      <c r="C1496" s="52" t="s">
        <v>731</v>
      </c>
      <c r="D1496" s="53">
        <v>1998</v>
      </c>
      <c r="E1496" s="54">
        <v>389341189</v>
      </c>
      <c r="F1496" s="54">
        <v>368445580</v>
      </c>
      <c r="G1496" s="54">
        <v>231565704</v>
      </c>
      <c r="H1496" s="54">
        <v>43056159</v>
      </c>
      <c r="I1496" s="55">
        <f t="shared" si="66"/>
        <v>1032408632</v>
      </c>
      <c r="J1496" s="54">
        <v>0</v>
      </c>
      <c r="K1496" s="56">
        <f t="shared" si="68"/>
        <v>1032408632</v>
      </c>
      <c r="L1496" s="37">
        <v>0</v>
      </c>
      <c r="O1496" s="38" t="str">
        <f>IF([1]totrevprm!O1497="","",[1]totrevprm!O1497)</f>
        <v/>
      </c>
    </row>
    <row r="1497" spans="1:26">
      <c r="A1497" s="50" t="s">
        <v>67</v>
      </c>
      <c r="B1497" s="51" t="s">
        <v>808</v>
      </c>
      <c r="C1497" s="52" t="s">
        <v>731</v>
      </c>
      <c r="D1497" s="53">
        <v>1999</v>
      </c>
      <c r="E1497" s="54">
        <v>440446802</v>
      </c>
      <c r="F1497" s="54">
        <v>494412734</v>
      </c>
      <c r="G1497" s="54">
        <v>196223939</v>
      </c>
      <c r="H1497" s="54">
        <v>37959052</v>
      </c>
      <c r="I1497" s="55">
        <f t="shared" si="66"/>
        <v>1169042527</v>
      </c>
      <c r="J1497" s="54">
        <v>0</v>
      </c>
      <c r="K1497" s="56">
        <f t="shared" si="68"/>
        <v>1169042527</v>
      </c>
      <c r="L1497" s="37">
        <v>0</v>
      </c>
      <c r="O1497" s="38" t="str">
        <f>IF([1]totrevprm!O1498="","",[1]totrevprm!O1498)</f>
        <v/>
      </c>
    </row>
    <row r="1498" spans="1:26">
      <c r="A1498" s="50" t="s">
        <v>67</v>
      </c>
      <c r="B1498" s="51" t="s">
        <v>808</v>
      </c>
      <c r="C1498" s="52" t="s">
        <v>731</v>
      </c>
      <c r="D1498" s="53">
        <v>2000</v>
      </c>
      <c r="E1498" s="54">
        <v>375792365</v>
      </c>
      <c r="F1498" s="54">
        <v>548477925</v>
      </c>
      <c r="G1498" s="54">
        <v>189191140</v>
      </c>
      <c r="H1498" s="54">
        <v>60020952</v>
      </c>
      <c r="I1498" s="55">
        <f t="shared" si="66"/>
        <v>1173482382</v>
      </c>
      <c r="J1498" s="54">
        <v>0</v>
      </c>
      <c r="K1498" s="56">
        <f t="shared" si="68"/>
        <v>1173482382</v>
      </c>
      <c r="L1498" s="37">
        <v>0</v>
      </c>
      <c r="O1498" s="38" t="str">
        <f>IF([1]totrevprm!O1499="","",[1]totrevprm!O1499)</f>
        <v/>
      </c>
      <c r="V1498" s="38" t="s">
        <v>808</v>
      </c>
      <c r="W1498" s="58">
        <v>55927</v>
      </c>
      <c r="X1498" s="58">
        <v>2699604</v>
      </c>
      <c r="Y1498" s="58">
        <v>2922990</v>
      </c>
      <c r="Z1498" s="58">
        <v>0</v>
      </c>
    </row>
    <row r="1499" spans="1:26">
      <c r="A1499" s="50" t="s">
        <v>67</v>
      </c>
      <c r="B1499" s="51" t="s">
        <v>808</v>
      </c>
      <c r="C1499" s="52" t="s">
        <v>731</v>
      </c>
      <c r="D1499" s="53">
        <v>2001</v>
      </c>
      <c r="E1499" s="54">
        <v>325026405</v>
      </c>
      <c r="F1499" s="54">
        <v>541430666</v>
      </c>
      <c r="G1499" s="54">
        <v>160270108</v>
      </c>
      <c r="H1499" s="54">
        <v>92433565</v>
      </c>
      <c r="I1499" s="55">
        <f t="shared" si="66"/>
        <v>1119160744</v>
      </c>
      <c r="J1499" s="54">
        <v>0</v>
      </c>
      <c r="K1499" s="56">
        <f t="shared" si="68"/>
        <v>1119160744</v>
      </c>
      <c r="L1499" s="37">
        <v>0</v>
      </c>
      <c r="O1499" s="38" t="str">
        <f>IF([1]totrevprm!O1500="","",[1]totrevprm!O1500)</f>
        <v/>
      </c>
      <c r="V1499" s="38"/>
      <c r="W1499" s="58"/>
      <c r="X1499" s="58"/>
      <c r="Y1499" s="58"/>
      <c r="Z1499" s="58"/>
    </row>
    <row r="1500" spans="1:26">
      <c r="A1500" s="50" t="s">
        <v>67</v>
      </c>
      <c r="B1500" s="51" t="s">
        <v>808</v>
      </c>
      <c r="C1500" s="52" t="s">
        <v>731</v>
      </c>
      <c r="D1500" s="53">
        <v>2002</v>
      </c>
      <c r="E1500" s="54">
        <v>330861666</v>
      </c>
      <c r="F1500" s="54">
        <v>676899528</v>
      </c>
      <c r="G1500" s="54">
        <v>268634287</v>
      </c>
      <c r="H1500" s="54">
        <v>71646735</v>
      </c>
      <c r="I1500" s="55">
        <f t="shared" si="66"/>
        <v>1348042216</v>
      </c>
      <c r="J1500" s="54">
        <v>0</v>
      </c>
      <c r="K1500" s="56">
        <f t="shared" si="68"/>
        <v>1348042216</v>
      </c>
      <c r="L1500" s="37">
        <v>0</v>
      </c>
      <c r="O1500" s="38" t="str">
        <f>IF([1]totrevprm!O1501="","",[1]totrevprm!O1501)</f>
        <v/>
      </c>
      <c r="V1500" s="38"/>
      <c r="W1500" s="58"/>
      <c r="X1500" s="58"/>
      <c r="Y1500" s="58"/>
      <c r="Z1500" s="58"/>
    </row>
    <row r="1501" spans="1:26">
      <c r="A1501" s="50" t="s">
        <v>67</v>
      </c>
      <c r="B1501" s="51" t="s">
        <v>808</v>
      </c>
      <c r="C1501" s="52" t="s">
        <v>731</v>
      </c>
      <c r="D1501" s="53">
        <v>2003</v>
      </c>
      <c r="E1501" s="59">
        <v>339041953</v>
      </c>
      <c r="F1501" s="59">
        <v>599008931</v>
      </c>
      <c r="G1501" s="59">
        <v>315220851</v>
      </c>
      <c r="H1501" s="59">
        <v>71432255</v>
      </c>
      <c r="I1501" s="55">
        <f t="shared" si="66"/>
        <v>1324703990</v>
      </c>
      <c r="J1501" s="54">
        <v>0</v>
      </c>
      <c r="K1501" s="56">
        <f t="shared" si="68"/>
        <v>1324703990</v>
      </c>
      <c r="L1501" s="37">
        <v>0</v>
      </c>
      <c r="O1501" s="38" t="str">
        <f>IF([1]totrevprm!O1502="","",[1]totrevprm!O1502)</f>
        <v/>
      </c>
      <c r="V1501" s="38"/>
      <c r="W1501" s="58"/>
      <c r="X1501" s="58"/>
      <c r="Y1501" s="58"/>
      <c r="Z1501" s="58"/>
    </row>
    <row r="1502" spans="1:26">
      <c r="A1502" s="50" t="s">
        <v>67</v>
      </c>
      <c r="B1502" s="51" t="s">
        <v>808</v>
      </c>
      <c r="C1502" s="52" t="s">
        <v>731</v>
      </c>
      <c r="D1502" s="53">
        <v>2004</v>
      </c>
      <c r="E1502" s="59">
        <v>351494156</v>
      </c>
      <c r="F1502" s="59">
        <v>554865549</v>
      </c>
      <c r="G1502" s="59">
        <v>303817484</v>
      </c>
      <c r="H1502" s="59">
        <v>73967893</v>
      </c>
      <c r="I1502" s="55">
        <f t="shared" si="66"/>
        <v>1284145082</v>
      </c>
      <c r="J1502" s="54">
        <v>0</v>
      </c>
      <c r="K1502" s="56">
        <f t="shared" si="68"/>
        <v>1284145082</v>
      </c>
      <c r="L1502" s="37">
        <v>0</v>
      </c>
      <c r="O1502" s="38" t="str">
        <f>IF([1]totrevprm!O1503="","",[1]totrevprm!O1503)</f>
        <v/>
      </c>
      <c r="V1502" s="38"/>
      <c r="W1502" s="58"/>
      <c r="X1502" s="58"/>
      <c r="Y1502" s="58"/>
      <c r="Z1502" s="58"/>
    </row>
    <row r="1503" spans="1:26">
      <c r="A1503" s="50" t="s">
        <v>67</v>
      </c>
      <c r="B1503" s="51" t="s">
        <v>808</v>
      </c>
      <c r="C1503" s="52"/>
      <c r="D1503" s="53">
        <v>2005</v>
      </c>
      <c r="E1503" s="59">
        <v>374318361</v>
      </c>
      <c r="F1503" s="59">
        <v>465827371</v>
      </c>
      <c r="G1503" s="59">
        <v>323101834</v>
      </c>
      <c r="H1503" s="59">
        <v>32064795</v>
      </c>
      <c r="I1503" s="55">
        <f t="shared" ref="I1503:I1566" si="69">SUM(E1503:H1503)</f>
        <v>1195312361</v>
      </c>
      <c r="J1503" s="54">
        <v>0</v>
      </c>
      <c r="K1503" s="56">
        <f t="shared" si="68"/>
        <v>1195312361</v>
      </c>
      <c r="L1503" s="37">
        <v>7914750</v>
      </c>
      <c r="M1503" s="67" t="s">
        <v>735</v>
      </c>
      <c r="N1503" t="s">
        <v>708</v>
      </c>
      <c r="O1503" s="38" t="str">
        <f>IF([1]totrevprm!O1504="","",[1]totrevprm!O1504)</f>
        <v/>
      </c>
      <c r="T1503" s="68"/>
      <c r="V1503" s="38"/>
      <c r="W1503" s="58"/>
      <c r="X1503" s="58"/>
      <c r="Y1503" s="58"/>
      <c r="Z1503" s="58"/>
    </row>
    <row r="1504" spans="1:26">
      <c r="A1504" s="50" t="s">
        <v>67</v>
      </c>
      <c r="B1504" s="51" t="s">
        <v>808</v>
      </c>
      <c r="C1504" s="52"/>
      <c r="D1504" s="53">
        <v>2006</v>
      </c>
      <c r="E1504" s="37">
        <v>405840552</v>
      </c>
      <c r="F1504" s="37">
        <v>549769877</v>
      </c>
      <c r="G1504" s="37">
        <v>384717537</v>
      </c>
      <c r="H1504" s="37">
        <v>28792157</v>
      </c>
      <c r="I1504" s="55">
        <f t="shared" si="69"/>
        <v>1369120123</v>
      </c>
      <c r="J1504" s="54">
        <v>0</v>
      </c>
      <c r="K1504" s="56">
        <f t="shared" si="68"/>
        <v>1369120123</v>
      </c>
      <c r="L1504" s="37">
        <v>11681112</v>
      </c>
      <c r="M1504" s="67" t="s">
        <v>735</v>
      </c>
      <c r="N1504" t="s">
        <v>708</v>
      </c>
      <c r="O1504" s="38" t="str">
        <f>IF([1]totrevprm!O1505="","",[1]totrevprm!O1505)</f>
        <v/>
      </c>
      <c r="T1504" s="68"/>
      <c r="V1504" s="38"/>
      <c r="W1504" s="58"/>
      <c r="X1504" s="58"/>
      <c r="Y1504" s="58"/>
      <c r="Z1504" s="58"/>
    </row>
    <row r="1505" spans="1:26">
      <c r="A1505" s="50" t="s">
        <v>67</v>
      </c>
      <c r="B1505" s="51" t="s">
        <v>808</v>
      </c>
      <c r="C1505" s="52"/>
      <c r="D1505" s="53">
        <v>2007</v>
      </c>
      <c r="E1505" s="37">
        <v>436367504</v>
      </c>
      <c r="F1505" s="37">
        <v>521784309</v>
      </c>
      <c r="G1505" s="37">
        <v>400591598</v>
      </c>
      <c r="H1505" s="37">
        <v>31790221</v>
      </c>
      <c r="I1505" s="55">
        <f t="shared" si="69"/>
        <v>1390533632</v>
      </c>
      <c r="J1505" s="54">
        <v>0</v>
      </c>
      <c r="K1505" s="56">
        <f t="shared" si="68"/>
        <v>1390533632</v>
      </c>
      <c r="L1505" s="37">
        <v>11698542</v>
      </c>
      <c r="M1505" s="67" t="s">
        <v>735</v>
      </c>
      <c r="N1505" t="s">
        <v>708</v>
      </c>
      <c r="O1505" s="38" t="str">
        <f>IF([1]totrevprm!O1506="","",[1]totrevprm!O1506)</f>
        <v/>
      </c>
      <c r="T1505" s="68"/>
      <c r="V1505" s="38"/>
      <c r="W1505" s="58"/>
      <c r="X1505" s="58"/>
      <c r="Y1505" s="58"/>
      <c r="Z1505" s="58"/>
    </row>
    <row r="1506" spans="1:26">
      <c r="A1506" s="50" t="s">
        <v>67</v>
      </c>
      <c r="B1506" s="51" t="s">
        <v>808</v>
      </c>
      <c r="C1506" s="52"/>
      <c r="D1506" s="53">
        <v>2008</v>
      </c>
      <c r="E1506" s="37">
        <v>407288780</v>
      </c>
      <c r="F1506" s="37">
        <v>705642159</v>
      </c>
      <c r="G1506" s="37">
        <v>426169720</v>
      </c>
      <c r="H1506" s="37">
        <v>28422673</v>
      </c>
      <c r="I1506" s="55">
        <f t="shared" si="69"/>
        <v>1567523332</v>
      </c>
      <c r="J1506" s="54">
        <v>0</v>
      </c>
      <c r="K1506" s="56">
        <f t="shared" si="68"/>
        <v>1567523332</v>
      </c>
      <c r="L1506" s="37">
        <v>7286255</v>
      </c>
      <c r="M1506" s="67" t="s">
        <v>735</v>
      </c>
      <c r="N1506" t="s">
        <v>708</v>
      </c>
      <c r="O1506" s="38" t="str">
        <f>IF([1]totrevprm!O1507="","",[1]totrevprm!O1507)</f>
        <v/>
      </c>
      <c r="T1506" s="68"/>
      <c r="V1506" s="38"/>
      <c r="W1506" s="58"/>
      <c r="X1506" s="58"/>
      <c r="Y1506" s="58"/>
      <c r="Z1506" s="58"/>
    </row>
    <row r="1507" spans="1:26">
      <c r="A1507" s="50" t="s">
        <v>67</v>
      </c>
      <c r="B1507" s="51" t="s">
        <v>808</v>
      </c>
      <c r="C1507" s="52"/>
      <c r="D1507" s="53">
        <v>2009</v>
      </c>
      <c r="E1507" s="37">
        <v>433119016</v>
      </c>
      <c r="F1507" s="37">
        <v>702077515</v>
      </c>
      <c r="G1507" s="37">
        <v>536808363</v>
      </c>
      <c r="H1507" s="37">
        <v>35791653</v>
      </c>
      <c r="I1507" s="55">
        <f t="shared" si="69"/>
        <v>1707796547</v>
      </c>
      <c r="J1507" s="54">
        <v>0</v>
      </c>
      <c r="K1507" s="56">
        <f t="shared" si="68"/>
        <v>1707796547</v>
      </c>
      <c r="L1507" s="37">
        <v>20125303</v>
      </c>
      <c r="M1507" s="67" t="s">
        <v>735</v>
      </c>
      <c r="N1507" t="s">
        <v>708</v>
      </c>
      <c r="O1507" s="38" t="str">
        <f>IF([1]totrevprm!O1508="","",[1]totrevprm!O1508)</f>
        <v/>
      </c>
      <c r="T1507" s="68"/>
      <c r="V1507" s="38"/>
      <c r="W1507" s="58"/>
      <c r="X1507" s="58"/>
      <c r="Y1507" s="58"/>
      <c r="Z1507" s="58"/>
    </row>
    <row r="1508" spans="1:26">
      <c r="A1508" s="50" t="s">
        <v>67</v>
      </c>
      <c r="B1508" s="51" t="s">
        <v>808</v>
      </c>
      <c r="C1508" s="52"/>
      <c r="D1508" s="53">
        <v>2010</v>
      </c>
      <c r="E1508" s="37">
        <v>430428203</v>
      </c>
      <c r="F1508" s="37">
        <v>577435543</v>
      </c>
      <c r="G1508" s="37">
        <v>735410351</v>
      </c>
      <c r="H1508" s="37">
        <v>21384229</v>
      </c>
      <c r="I1508" s="55">
        <f t="shared" si="69"/>
        <v>1764658326</v>
      </c>
      <c r="J1508" s="54">
        <v>0</v>
      </c>
      <c r="K1508" s="56">
        <f t="shared" si="68"/>
        <v>1764658326</v>
      </c>
      <c r="L1508" s="37">
        <v>18530800</v>
      </c>
      <c r="M1508" s="67" t="s">
        <v>735</v>
      </c>
      <c r="N1508" t="s">
        <v>708</v>
      </c>
      <c r="O1508" s="38" t="str">
        <f>IF([1]totrevprm!O1509="","",[1]totrevprm!O1509)</f>
        <v/>
      </c>
      <c r="T1508" s="68"/>
      <c r="V1508" s="38"/>
      <c r="W1508" s="58"/>
      <c r="X1508" s="58"/>
      <c r="Y1508" s="58"/>
      <c r="Z1508" s="58"/>
    </row>
    <row r="1509" spans="1:26">
      <c r="A1509" s="50" t="s">
        <v>67</v>
      </c>
      <c r="B1509" s="51" t="s">
        <v>808</v>
      </c>
      <c r="C1509" s="52"/>
      <c r="D1509" s="53">
        <v>2011</v>
      </c>
      <c r="E1509" s="37">
        <v>419223815</v>
      </c>
      <c r="F1509" s="37">
        <v>578078547</v>
      </c>
      <c r="G1509" s="37">
        <v>756679630.63</v>
      </c>
      <c r="H1509" s="37">
        <v>32971875</v>
      </c>
      <c r="I1509" s="55">
        <f t="shared" si="69"/>
        <v>1786953867.6300001</v>
      </c>
      <c r="J1509" s="54">
        <v>0</v>
      </c>
      <c r="K1509" s="56">
        <f t="shared" si="68"/>
        <v>1786953867.6300001</v>
      </c>
      <c r="L1509" s="37">
        <v>20683787</v>
      </c>
      <c r="M1509" s="67" t="s">
        <v>735</v>
      </c>
      <c r="N1509" t="s">
        <v>708</v>
      </c>
      <c r="O1509" s="38" t="str">
        <f>IF([1]totrevprm!O1510="","",[1]totrevprm!O1510)</f>
        <v/>
      </c>
      <c r="T1509" s="68"/>
      <c r="V1509" s="38"/>
      <c r="W1509" s="58"/>
      <c r="X1509" s="58"/>
      <c r="Y1509" s="58"/>
      <c r="Z1509" s="58"/>
    </row>
    <row r="1510" spans="1:26">
      <c r="A1510" s="50" t="s">
        <v>67</v>
      </c>
      <c r="B1510" s="51" t="s">
        <v>808</v>
      </c>
      <c r="C1510" s="52"/>
      <c r="D1510" s="53">
        <v>2012</v>
      </c>
      <c r="E1510" s="37">
        <v>446937972</v>
      </c>
      <c r="F1510" s="37">
        <v>693026956</v>
      </c>
      <c r="G1510" s="37">
        <v>493693477</v>
      </c>
      <c r="H1510" s="37">
        <v>41890019</v>
      </c>
      <c r="I1510" s="55">
        <f t="shared" si="69"/>
        <v>1675548424</v>
      </c>
      <c r="J1510" s="54">
        <v>0</v>
      </c>
      <c r="K1510" s="56">
        <f t="shared" si="68"/>
        <v>1675548424</v>
      </c>
      <c r="L1510" s="37">
        <v>18044599</v>
      </c>
      <c r="M1510" s="67" t="s">
        <v>735</v>
      </c>
      <c r="N1510" t="s">
        <v>708</v>
      </c>
      <c r="O1510" s="38" t="str">
        <f>IF([1]totrevprm!O1511="","",[1]totrevprm!O1511)</f>
        <v/>
      </c>
      <c r="T1510" s="68"/>
      <c r="V1510" s="38"/>
      <c r="W1510" s="58"/>
      <c r="X1510" s="58"/>
      <c r="Y1510" s="58"/>
      <c r="Z1510" s="58"/>
    </row>
    <row r="1511" spans="1:26">
      <c r="A1511" s="50" t="s">
        <v>67</v>
      </c>
      <c r="B1511" s="51" t="s">
        <v>808</v>
      </c>
      <c r="C1511" s="52"/>
      <c r="D1511" s="53">
        <v>2013</v>
      </c>
      <c r="E1511" s="37">
        <v>457429927</v>
      </c>
      <c r="F1511" s="37">
        <v>652428767</v>
      </c>
      <c r="G1511" s="37">
        <v>485147153</v>
      </c>
      <c r="H1511" s="37">
        <v>58180844</v>
      </c>
      <c r="I1511" s="55">
        <f t="shared" si="69"/>
        <v>1653186691</v>
      </c>
      <c r="J1511" s="54">
        <v>0</v>
      </c>
      <c r="K1511" s="56">
        <f t="shared" si="68"/>
        <v>1653186691</v>
      </c>
      <c r="L1511" s="37">
        <v>22084561</v>
      </c>
      <c r="M1511" s="67" t="s">
        <v>735</v>
      </c>
      <c r="N1511" t="s">
        <v>708</v>
      </c>
      <c r="O1511" s="38" t="str">
        <f>IF([1]totrevprm!O1512="","",[1]totrevprm!O1512)</f>
        <v/>
      </c>
      <c r="T1511" s="68"/>
      <c r="V1511" s="38"/>
      <c r="W1511" s="58"/>
      <c r="X1511" s="58"/>
      <c r="Y1511" s="58"/>
      <c r="Z1511" s="58"/>
    </row>
    <row r="1512" spans="1:26">
      <c r="A1512" s="50" t="s">
        <v>67</v>
      </c>
      <c r="B1512" s="51" t="s">
        <v>808</v>
      </c>
      <c r="C1512" s="52"/>
      <c r="D1512" s="53">
        <v>2014</v>
      </c>
      <c r="E1512" s="37">
        <v>423888174</v>
      </c>
      <c r="F1512" s="37">
        <v>797420107</v>
      </c>
      <c r="G1512" s="37">
        <v>480586199.19999999</v>
      </c>
      <c r="H1512" s="37">
        <v>26284578</v>
      </c>
      <c r="I1512" s="55">
        <f t="shared" si="69"/>
        <v>1728179058.2</v>
      </c>
      <c r="J1512" s="54">
        <v>0</v>
      </c>
      <c r="K1512" s="56">
        <f t="shared" si="68"/>
        <v>1728179058.2</v>
      </c>
      <c r="L1512" s="37">
        <v>38161445</v>
      </c>
      <c r="M1512" s="67" t="s">
        <v>735</v>
      </c>
      <c r="N1512" t="s">
        <v>708</v>
      </c>
      <c r="O1512" s="38" t="str">
        <f>IF([1]totrevprm!O1513="","",[1]totrevprm!O1513)</f>
        <v/>
      </c>
      <c r="T1512" s="68"/>
      <c r="V1512" s="38"/>
      <c r="W1512" s="58"/>
      <c r="X1512" s="58"/>
      <c r="Y1512" s="58"/>
      <c r="Z1512" s="58"/>
    </row>
    <row r="1513" spans="1:26">
      <c r="A1513" s="50" t="s">
        <v>67</v>
      </c>
      <c r="B1513" s="51" t="s">
        <v>808</v>
      </c>
      <c r="C1513" s="52"/>
      <c r="D1513" s="53">
        <v>2015</v>
      </c>
      <c r="E1513" s="37">
        <v>496292870</v>
      </c>
      <c r="F1513" s="37">
        <v>978498856</v>
      </c>
      <c r="G1513" s="37">
        <v>451449722</v>
      </c>
      <c r="H1513" s="37">
        <v>21603450</v>
      </c>
      <c r="I1513" s="55">
        <f t="shared" si="69"/>
        <v>1947844898</v>
      </c>
      <c r="J1513" s="54">
        <v>0</v>
      </c>
      <c r="K1513" s="56">
        <f t="shared" si="68"/>
        <v>1947844898</v>
      </c>
      <c r="L1513" s="37">
        <v>25891194</v>
      </c>
      <c r="M1513" s="67" t="s">
        <v>735</v>
      </c>
      <c r="N1513" t="s">
        <v>708</v>
      </c>
      <c r="O1513" s="38" t="str">
        <f>IF([1]totrevprm!O1514="","",[1]totrevprm!O1514)</f>
        <v/>
      </c>
      <c r="P1513" s="35">
        <v>69230003.353896484</v>
      </c>
      <c r="Q1513" s="35">
        <v>38367954.490000002</v>
      </c>
      <c r="T1513" s="68"/>
      <c r="V1513" s="38"/>
      <c r="W1513" s="58"/>
      <c r="X1513" s="58"/>
      <c r="Y1513" s="58"/>
      <c r="Z1513" s="58"/>
    </row>
    <row r="1514" spans="1:26">
      <c r="A1514" s="50" t="s">
        <v>67</v>
      </c>
      <c r="B1514" s="51" t="s">
        <v>808</v>
      </c>
      <c r="C1514" s="52"/>
      <c r="D1514" s="53">
        <v>2016</v>
      </c>
      <c r="E1514" s="37">
        <v>444278936</v>
      </c>
      <c r="F1514" s="37">
        <v>898831389</v>
      </c>
      <c r="G1514" s="37">
        <v>428793137</v>
      </c>
      <c r="H1514" s="37">
        <v>28760850</v>
      </c>
      <c r="I1514" s="55">
        <f t="shared" si="69"/>
        <v>1800664312</v>
      </c>
      <c r="J1514" s="54">
        <v>0</v>
      </c>
      <c r="K1514" s="56">
        <f t="shared" si="68"/>
        <v>1800664312</v>
      </c>
      <c r="L1514" s="37">
        <v>11462545</v>
      </c>
      <c r="M1514" s="67" t="s">
        <v>735</v>
      </c>
      <c r="N1514" t="s">
        <v>708</v>
      </c>
      <c r="O1514" s="38" t="str">
        <f>IF([1]totrevprm!O1515="","",[1]totrevprm!O1515)</f>
        <v/>
      </c>
      <c r="P1514" s="35">
        <v>73019535.344735622</v>
      </c>
      <c r="Q1514" s="35">
        <v>37292867.289999999</v>
      </c>
      <c r="T1514" s="68"/>
      <c r="V1514" s="38"/>
      <c r="W1514" s="58"/>
      <c r="X1514" s="58"/>
      <c r="Y1514" s="58"/>
      <c r="Z1514" s="58"/>
    </row>
    <row r="1515" spans="1:26">
      <c r="A1515" s="50" t="s">
        <v>67</v>
      </c>
      <c r="B1515" s="51" t="s">
        <v>808</v>
      </c>
      <c r="C1515" s="52"/>
      <c r="D1515" s="53">
        <v>2017</v>
      </c>
      <c r="E1515" s="37">
        <v>445697426</v>
      </c>
      <c r="F1515" s="37">
        <v>960181540</v>
      </c>
      <c r="G1515" s="37">
        <v>433218596.34000003</v>
      </c>
      <c r="H1515" s="37">
        <v>16944078</v>
      </c>
      <c r="I1515" s="55">
        <f t="shared" si="69"/>
        <v>1856041640.3400002</v>
      </c>
      <c r="J1515" s="54">
        <v>0</v>
      </c>
      <c r="K1515" s="56">
        <f t="shared" si="68"/>
        <v>1856041640.3400002</v>
      </c>
      <c r="L1515" s="60">
        <v>13327143</v>
      </c>
      <c r="M1515" s="67" t="s">
        <v>735</v>
      </c>
      <c r="N1515" t="s">
        <v>708</v>
      </c>
      <c r="O1515" s="38" t="str">
        <f>IF([1]totrevprm!O1516="","",[1]totrevprm!O1516)</f>
        <v/>
      </c>
      <c r="P1515" s="35">
        <v>73956061.401451603</v>
      </c>
      <c r="Q1515" s="35">
        <v>37738568.349999994</v>
      </c>
      <c r="T1515" s="68"/>
      <c r="V1515" s="38"/>
      <c r="W1515" s="58"/>
      <c r="X1515" s="58"/>
      <c r="Y1515" s="58"/>
      <c r="Z1515" s="58"/>
    </row>
    <row r="1516" spans="1:26">
      <c r="A1516" s="50" t="s">
        <v>67</v>
      </c>
      <c r="B1516" s="51" t="s">
        <v>808</v>
      </c>
      <c r="C1516" s="52"/>
      <c r="D1516" s="53">
        <v>2018</v>
      </c>
      <c r="E1516" s="37">
        <v>457707896</v>
      </c>
      <c r="F1516" s="37">
        <v>1027749297</v>
      </c>
      <c r="G1516" s="37">
        <v>490198301</v>
      </c>
      <c r="H1516" s="37">
        <v>23010702</v>
      </c>
      <c r="I1516" s="55">
        <f t="shared" si="69"/>
        <v>1998666196</v>
      </c>
      <c r="J1516" s="54">
        <v>0</v>
      </c>
      <c r="K1516" s="56">
        <f t="shared" si="68"/>
        <v>1998666196</v>
      </c>
      <c r="L1516" s="60">
        <v>15679408</v>
      </c>
      <c r="M1516" s="67" t="s">
        <v>735</v>
      </c>
      <c r="N1516" t="s">
        <v>708</v>
      </c>
      <c r="O1516" s="38" t="str">
        <f>IF([1]totrevprm!O1517="","",[1]totrevprm!O1517)</f>
        <v/>
      </c>
      <c r="P1516" s="35">
        <v>75992159.280264676</v>
      </c>
      <c r="Q1516" s="35">
        <v>36806704</v>
      </c>
      <c r="T1516" s="68"/>
      <c r="V1516" s="38"/>
      <c r="W1516" s="58"/>
      <c r="X1516" s="58"/>
      <c r="Y1516" s="58"/>
      <c r="Z1516" s="58"/>
    </row>
    <row r="1517" spans="1:26">
      <c r="A1517" s="50" t="s">
        <v>67</v>
      </c>
      <c r="B1517" s="51" t="s">
        <v>808</v>
      </c>
      <c r="C1517" s="52"/>
      <c r="D1517" s="53">
        <v>2019</v>
      </c>
      <c r="E1517" s="37">
        <v>463279570</v>
      </c>
      <c r="F1517" s="37">
        <v>1405340983</v>
      </c>
      <c r="G1517" s="37">
        <v>471894414.37</v>
      </c>
      <c r="H1517" s="37">
        <v>12482452</v>
      </c>
      <c r="I1517" s="55">
        <f t="shared" si="69"/>
        <v>2352997419.3699999</v>
      </c>
      <c r="J1517" s="54">
        <v>0</v>
      </c>
      <c r="K1517" s="56">
        <f t="shared" si="68"/>
        <v>2352997419.3699999</v>
      </c>
      <c r="L1517" s="60">
        <v>11512262</v>
      </c>
      <c r="M1517" s="67" t="s">
        <v>735</v>
      </c>
      <c r="N1517" t="s">
        <v>708</v>
      </c>
      <c r="O1517" s="38" t="str">
        <f>IF([1]totrevprm!O1518="","",[1]totrevprm!O1518)</f>
        <v/>
      </c>
      <c r="P1517" s="35">
        <v>80117364.927168876</v>
      </c>
      <c r="Q1517" s="35">
        <v>36160245.154348046</v>
      </c>
      <c r="T1517" s="68"/>
      <c r="V1517" s="38"/>
      <c r="W1517" s="58"/>
      <c r="X1517" s="58"/>
      <c r="Y1517" s="58"/>
      <c r="Z1517" s="58"/>
    </row>
    <row r="1518" spans="1:26">
      <c r="A1518" s="50" t="s">
        <v>67</v>
      </c>
      <c r="B1518" s="51" t="s">
        <v>808</v>
      </c>
      <c r="C1518" s="52"/>
      <c r="D1518" s="53">
        <v>2020</v>
      </c>
      <c r="E1518" s="37">
        <v>480957546</v>
      </c>
      <c r="F1518" s="37">
        <v>1043498786</v>
      </c>
      <c r="G1518" s="37">
        <v>457024666</v>
      </c>
      <c r="H1518" s="37">
        <v>25856076</v>
      </c>
      <c r="I1518" s="55">
        <f t="shared" si="69"/>
        <v>2007337074</v>
      </c>
      <c r="J1518" s="54">
        <v>0</v>
      </c>
      <c r="K1518" s="56">
        <f t="shared" si="68"/>
        <v>2007337074</v>
      </c>
      <c r="L1518" s="60">
        <v>20717978</v>
      </c>
      <c r="M1518" s="67" t="s">
        <v>735</v>
      </c>
      <c r="N1518" t="s">
        <v>708</v>
      </c>
      <c r="O1518" s="38" t="str">
        <f>IF([1]totrevprm!O1519="","",[1]totrevprm!O1519)</f>
        <v/>
      </c>
      <c r="P1518" s="35">
        <v>77856949</v>
      </c>
      <c r="Q1518" s="35">
        <v>34864008</v>
      </c>
      <c r="T1518" s="68"/>
      <c r="V1518" s="38"/>
      <c r="W1518" s="58"/>
      <c r="X1518" s="58"/>
      <c r="Y1518" s="58"/>
      <c r="Z1518" s="58"/>
    </row>
    <row r="1519" spans="1:26">
      <c r="A1519" s="50" t="s">
        <v>67</v>
      </c>
      <c r="B1519" s="51" t="s">
        <v>808</v>
      </c>
      <c r="C1519" s="52"/>
      <c r="D1519" s="53">
        <v>2021</v>
      </c>
      <c r="E1519" s="37">
        <v>595416155</v>
      </c>
      <c r="F1519" s="37">
        <v>1130797550</v>
      </c>
      <c r="G1519" s="37">
        <v>472212407</v>
      </c>
      <c r="H1519" s="37">
        <v>6939550</v>
      </c>
      <c r="I1519" s="55">
        <f t="shared" si="69"/>
        <v>2205365662</v>
      </c>
      <c r="J1519" s="37">
        <v>0</v>
      </c>
      <c r="K1519" s="56">
        <f t="shared" si="68"/>
        <v>2205365662</v>
      </c>
      <c r="L1519" s="37">
        <v>0</v>
      </c>
      <c r="M1519" s="67"/>
      <c r="N1519" t="s">
        <v>708</v>
      </c>
      <c r="O1519" s="38"/>
      <c r="P1519" s="35">
        <v>72514772.400000006</v>
      </c>
      <c r="Q1519" s="35">
        <v>37847729</v>
      </c>
      <c r="T1519" s="68"/>
      <c r="V1519" s="38"/>
      <c r="W1519" s="58"/>
      <c r="X1519" s="58"/>
      <c r="Y1519" s="58"/>
      <c r="Z1519" s="58"/>
    </row>
    <row r="1520" spans="1:26">
      <c r="A1520" s="50" t="s">
        <v>67</v>
      </c>
      <c r="B1520" s="51" t="s">
        <v>808</v>
      </c>
      <c r="C1520" s="52"/>
      <c r="D1520" s="53">
        <v>2022</v>
      </c>
      <c r="E1520" s="37">
        <v>517948751</v>
      </c>
      <c r="F1520" s="37">
        <v>1406320557</v>
      </c>
      <c r="G1520" s="37">
        <v>505193156</v>
      </c>
      <c r="H1520" s="37">
        <v>11821377</v>
      </c>
      <c r="I1520" s="55">
        <f t="shared" si="69"/>
        <v>2441283841</v>
      </c>
      <c r="J1520" s="37">
        <v>0</v>
      </c>
      <c r="K1520" s="56">
        <f t="shared" si="68"/>
        <v>2441283841</v>
      </c>
      <c r="L1520" s="37">
        <v>0</v>
      </c>
      <c r="O1520" s="38" t="str">
        <f>IF([1]totrevprm!O1523="","",[1]totrevprm!O1523)</f>
        <v/>
      </c>
      <c r="P1520" s="60">
        <v>83117123</v>
      </c>
      <c r="Q1520" s="60">
        <v>37444756</v>
      </c>
    </row>
    <row r="1521" spans="1:26">
      <c r="A1521" s="50" t="s">
        <v>67</v>
      </c>
      <c r="B1521" s="51" t="s">
        <v>808</v>
      </c>
      <c r="C1521" s="52"/>
      <c r="D1521" s="53">
        <v>2023</v>
      </c>
      <c r="E1521" s="37">
        <v>525993303</v>
      </c>
      <c r="F1521" s="37">
        <v>1963310706.5195</v>
      </c>
      <c r="G1521" s="37">
        <v>474311545.60000002</v>
      </c>
      <c r="H1521" s="37">
        <v>20775853</v>
      </c>
      <c r="I1521" s="55">
        <f t="shared" si="69"/>
        <v>2984391408.1194997</v>
      </c>
      <c r="J1521" s="37">
        <v>0</v>
      </c>
      <c r="K1521" s="56">
        <f t="shared" si="68"/>
        <v>2984391408.1194997</v>
      </c>
      <c r="L1521" s="37">
        <v>0</v>
      </c>
      <c r="O1521" s="38"/>
      <c r="P1521" s="60">
        <v>80417301.409999996</v>
      </c>
      <c r="Q1521" s="60">
        <v>38340927</v>
      </c>
    </row>
    <row r="1522" spans="1:26">
      <c r="A1522" s="50"/>
      <c r="B1522" s="52"/>
      <c r="C1522" s="52"/>
      <c r="E1522" s="54"/>
      <c r="F1522" s="54"/>
      <c r="G1522" s="54"/>
      <c r="H1522" s="54"/>
      <c r="I1522" s="55"/>
      <c r="K1522" s="65"/>
      <c r="L1522" s="37"/>
      <c r="O1522" s="38"/>
    </row>
    <row r="1523" spans="1:26">
      <c r="A1523" s="50" t="s">
        <v>68</v>
      </c>
      <c r="B1523" s="51" t="s">
        <v>277</v>
      </c>
      <c r="C1523" s="52" t="s">
        <v>730</v>
      </c>
      <c r="D1523" s="53">
        <v>1988</v>
      </c>
      <c r="E1523" s="54">
        <v>808452560</v>
      </c>
      <c r="F1523" s="54">
        <v>346192899</v>
      </c>
      <c r="G1523" s="54">
        <v>819627720</v>
      </c>
      <c r="H1523" s="54">
        <v>0</v>
      </c>
      <c r="I1523" s="55">
        <f t="shared" si="69"/>
        <v>1974273179</v>
      </c>
      <c r="J1523" s="54">
        <v>-1094181</v>
      </c>
      <c r="K1523" s="56">
        <f>SUM(I1523:J1523)</f>
        <v>1973178998</v>
      </c>
      <c r="L1523" s="37">
        <v>0</v>
      </c>
      <c r="O1523" s="38" t="str">
        <f>IF([1]totrevprm!O1524="","",[1]totrevprm!O1524)</f>
        <v/>
      </c>
    </row>
    <row r="1524" spans="1:26">
      <c r="A1524" s="50" t="s">
        <v>68</v>
      </c>
      <c r="B1524" s="51" t="s">
        <v>277</v>
      </c>
      <c r="C1524" s="52" t="s">
        <v>731</v>
      </c>
      <c r="D1524" s="53">
        <v>1989</v>
      </c>
      <c r="E1524" s="54">
        <v>814318036</v>
      </c>
      <c r="F1524" s="54">
        <v>337981640</v>
      </c>
      <c r="G1524" s="54">
        <v>875250418</v>
      </c>
      <c r="H1524" s="54">
        <v>0</v>
      </c>
      <c r="I1524" s="55">
        <f t="shared" si="69"/>
        <v>2027550094</v>
      </c>
      <c r="J1524" s="54">
        <v>-5855138</v>
      </c>
      <c r="K1524" s="56">
        <f t="shared" ref="K1524:K1558" si="70">SUM(I1524:J1524)</f>
        <v>2021694956</v>
      </c>
      <c r="L1524" s="37">
        <v>0</v>
      </c>
      <c r="O1524" s="38" t="str">
        <f>IF([1]totrevprm!O1525="","",[1]totrevprm!O1525)</f>
        <v/>
      </c>
    </row>
    <row r="1525" spans="1:26">
      <c r="A1525" s="50" t="s">
        <v>68</v>
      </c>
      <c r="B1525" s="51" t="s">
        <v>277</v>
      </c>
      <c r="C1525" s="52" t="s">
        <v>731</v>
      </c>
      <c r="D1525" s="53">
        <v>1990</v>
      </c>
      <c r="E1525" s="54">
        <v>880477875</v>
      </c>
      <c r="F1525" s="54">
        <v>476727196.19999999</v>
      </c>
      <c r="G1525" s="54">
        <v>1005882561</v>
      </c>
      <c r="H1525" s="54">
        <v>0</v>
      </c>
      <c r="I1525" s="55">
        <f t="shared" si="69"/>
        <v>2363087632.1999998</v>
      </c>
      <c r="J1525" s="54">
        <v>-2114184</v>
      </c>
      <c r="K1525" s="56">
        <f t="shared" si="70"/>
        <v>2360973448.1999998</v>
      </c>
      <c r="L1525" s="37">
        <v>0</v>
      </c>
      <c r="O1525" s="38" t="str">
        <f>IF([1]totrevprm!O1526="","",[1]totrevprm!O1526)</f>
        <v/>
      </c>
    </row>
    <row r="1526" spans="1:26">
      <c r="A1526" s="50" t="s">
        <v>68</v>
      </c>
      <c r="B1526" s="51" t="s">
        <v>277</v>
      </c>
      <c r="C1526" s="52" t="s">
        <v>731</v>
      </c>
      <c r="D1526" s="53">
        <v>1991</v>
      </c>
      <c r="E1526" s="54">
        <v>930638160</v>
      </c>
      <c r="F1526" s="54">
        <v>443003035</v>
      </c>
      <c r="G1526" s="54">
        <v>984931346</v>
      </c>
      <c r="H1526" s="54">
        <v>0</v>
      </c>
      <c r="I1526" s="55">
        <f t="shared" si="69"/>
        <v>2358572541</v>
      </c>
      <c r="J1526" s="54">
        <v>-40450</v>
      </c>
      <c r="K1526" s="56">
        <f t="shared" si="70"/>
        <v>2358532091</v>
      </c>
      <c r="L1526" s="37">
        <v>0</v>
      </c>
      <c r="O1526" s="38" t="str">
        <f>IF([1]totrevprm!O1527="","",[1]totrevprm!O1527)</f>
        <v/>
      </c>
    </row>
    <row r="1527" spans="1:26">
      <c r="A1527" s="50" t="s">
        <v>68</v>
      </c>
      <c r="B1527" s="51" t="s">
        <v>277</v>
      </c>
      <c r="C1527" s="52" t="s">
        <v>731</v>
      </c>
      <c r="D1527" s="53">
        <v>1992</v>
      </c>
      <c r="E1527" s="54">
        <v>970732687</v>
      </c>
      <c r="F1527" s="54">
        <v>431429092.83999997</v>
      </c>
      <c r="G1527" s="54">
        <v>1020691852</v>
      </c>
      <c r="H1527" s="54">
        <v>0</v>
      </c>
      <c r="I1527" s="55">
        <f t="shared" si="69"/>
        <v>2422853631.8400002</v>
      </c>
      <c r="J1527" s="54">
        <v>-2122157</v>
      </c>
      <c r="K1527" s="56">
        <f t="shared" si="70"/>
        <v>2420731474.8400002</v>
      </c>
      <c r="L1527" s="37">
        <v>0</v>
      </c>
      <c r="O1527" s="38" t="str">
        <f>IF([1]totrevprm!O1528="","",[1]totrevprm!O1528)</f>
        <v/>
      </c>
    </row>
    <row r="1528" spans="1:26">
      <c r="A1528" s="50" t="s">
        <v>68</v>
      </c>
      <c r="B1528" s="51" t="s">
        <v>277</v>
      </c>
      <c r="C1528" s="52" t="s">
        <v>731</v>
      </c>
      <c r="D1528" s="53">
        <v>1993</v>
      </c>
      <c r="E1528" s="54">
        <v>1053428777</v>
      </c>
      <c r="F1528" s="54">
        <v>431367337</v>
      </c>
      <c r="G1528" s="54">
        <v>1085608064</v>
      </c>
      <c r="H1528" s="54">
        <v>0</v>
      </c>
      <c r="I1528" s="55">
        <f t="shared" si="69"/>
        <v>2570404178</v>
      </c>
      <c r="J1528" s="54">
        <v>-116185</v>
      </c>
      <c r="K1528" s="56">
        <f t="shared" si="70"/>
        <v>2570287993</v>
      </c>
      <c r="L1528" s="37">
        <v>0</v>
      </c>
      <c r="O1528" s="38" t="str">
        <f>IF([1]totrevprm!O1529="","",[1]totrevprm!O1529)</f>
        <v/>
      </c>
    </row>
    <row r="1529" spans="1:26">
      <c r="A1529" s="50" t="s">
        <v>68</v>
      </c>
      <c r="B1529" s="51" t="s">
        <v>277</v>
      </c>
      <c r="C1529" s="52" t="s">
        <v>731</v>
      </c>
      <c r="D1529" s="53">
        <v>1994</v>
      </c>
      <c r="E1529" s="54">
        <v>1135146769</v>
      </c>
      <c r="F1529" s="54">
        <v>585195477</v>
      </c>
      <c r="G1529" s="54">
        <v>1121728041</v>
      </c>
      <c r="H1529" s="54">
        <v>0</v>
      </c>
      <c r="I1529" s="55">
        <f t="shared" si="69"/>
        <v>2842070287</v>
      </c>
      <c r="J1529" s="54">
        <v>-170490</v>
      </c>
      <c r="K1529" s="56">
        <f t="shared" si="70"/>
        <v>2841899797</v>
      </c>
      <c r="L1529" s="37">
        <v>0</v>
      </c>
      <c r="O1529" s="38" t="str">
        <f>IF([1]totrevprm!O1530="","",[1]totrevprm!O1530)</f>
        <v/>
      </c>
    </row>
    <row r="1530" spans="1:26">
      <c r="A1530" s="50" t="s">
        <v>68</v>
      </c>
      <c r="B1530" s="51" t="s">
        <v>277</v>
      </c>
      <c r="C1530" s="52" t="s">
        <v>731</v>
      </c>
      <c r="D1530" s="53">
        <v>1995</v>
      </c>
      <c r="E1530" s="54">
        <v>1209662608</v>
      </c>
      <c r="F1530" s="54">
        <v>528614246</v>
      </c>
      <c r="G1530" s="54">
        <v>1163662102</v>
      </c>
      <c r="H1530" s="54">
        <v>0</v>
      </c>
      <c r="I1530" s="55">
        <f t="shared" si="69"/>
        <v>2901938956</v>
      </c>
      <c r="J1530" s="54">
        <v>-629034</v>
      </c>
      <c r="K1530" s="56">
        <f t="shared" si="70"/>
        <v>2901309922</v>
      </c>
      <c r="L1530" s="37">
        <v>0</v>
      </c>
      <c r="O1530" s="38" t="str">
        <f>IF([1]totrevprm!O1531="","",[1]totrevprm!O1531)</f>
        <v/>
      </c>
    </row>
    <row r="1531" spans="1:26">
      <c r="A1531" s="50" t="s">
        <v>68</v>
      </c>
      <c r="B1531" s="51" t="s">
        <v>277</v>
      </c>
      <c r="C1531" s="52" t="s">
        <v>731</v>
      </c>
      <c r="D1531" s="53">
        <v>1996</v>
      </c>
      <c r="E1531" s="54">
        <v>1134564209</v>
      </c>
      <c r="F1531" s="54">
        <v>450933838</v>
      </c>
      <c r="G1531" s="54">
        <v>1239784959</v>
      </c>
      <c r="H1531" s="54">
        <v>0</v>
      </c>
      <c r="I1531" s="55">
        <f t="shared" si="69"/>
        <v>2825283006</v>
      </c>
      <c r="J1531" s="54">
        <v>-2537905</v>
      </c>
      <c r="K1531" s="56">
        <f t="shared" si="70"/>
        <v>2822745101</v>
      </c>
      <c r="L1531" s="37">
        <v>0</v>
      </c>
      <c r="O1531" s="38" t="str">
        <f>IF([1]totrevprm!O1532="","",[1]totrevprm!O1532)</f>
        <v/>
      </c>
    </row>
    <row r="1532" spans="1:26">
      <c r="A1532" s="50" t="s">
        <v>68</v>
      </c>
      <c r="B1532" s="51" t="s">
        <v>277</v>
      </c>
      <c r="C1532" s="52" t="s">
        <v>731</v>
      </c>
      <c r="D1532" s="53">
        <v>1997</v>
      </c>
      <c r="E1532" s="54">
        <v>1119268528</v>
      </c>
      <c r="F1532" s="54">
        <v>513078474</v>
      </c>
      <c r="G1532" s="54">
        <v>1315429048</v>
      </c>
      <c r="H1532" s="54">
        <v>0</v>
      </c>
      <c r="I1532" s="55">
        <f t="shared" si="69"/>
        <v>2947776050</v>
      </c>
      <c r="J1532" s="54">
        <v>-3</v>
      </c>
      <c r="K1532" s="56">
        <f t="shared" si="70"/>
        <v>2947776047</v>
      </c>
      <c r="L1532" s="37">
        <v>0</v>
      </c>
      <c r="O1532" s="38" t="str">
        <f>IF([1]totrevprm!O1533="","",[1]totrevprm!O1533)</f>
        <v/>
      </c>
    </row>
    <row r="1533" spans="1:26">
      <c r="A1533" s="50" t="s">
        <v>68</v>
      </c>
      <c r="B1533" s="51" t="s">
        <v>277</v>
      </c>
      <c r="C1533" s="52" t="s">
        <v>731</v>
      </c>
      <c r="D1533" s="53">
        <v>1998</v>
      </c>
      <c r="E1533" s="54">
        <v>1217115119</v>
      </c>
      <c r="F1533" s="54">
        <v>526140202</v>
      </c>
      <c r="G1533" s="54">
        <v>1400686753</v>
      </c>
      <c r="H1533" s="54">
        <v>0</v>
      </c>
      <c r="I1533" s="55">
        <f t="shared" si="69"/>
        <v>3143942074</v>
      </c>
      <c r="J1533" s="54">
        <v>-1446382</v>
      </c>
      <c r="K1533" s="56">
        <f t="shared" si="70"/>
        <v>3142495692</v>
      </c>
      <c r="L1533" s="37">
        <v>0</v>
      </c>
      <c r="O1533" s="38" t="str">
        <f>IF([1]totrevprm!O1534="","",[1]totrevprm!O1534)</f>
        <v/>
      </c>
    </row>
    <row r="1534" spans="1:26">
      <c r="A1534" s="50" t="s">
        <v>68</v>
      </c>
      <c r="B1534" s="51" t="s">
        <v>277</v>
      </c>
      <c r="C1534" s="52" t="s">
        <v>731</v>
      </c>
      <c r="D1534" s="53">
        <v>1999</v>
      </c>
      <c r="E1534" s="54">
        <v>1257134727</v>
      </c>
      <c r="F1534" s="54">
        <v>776680609</v>
      </c>
      <c r="G1534" s="54">
        <v>1476502636</v>
      </c>
      <c r="H1534" s="54">
        <v>0</v>
      </c>
      <c r="I1534" s="55">
        <f t="shared" si="69"/>
        <v>3510317972</v>
      </c>
      <c r="J1534" s="54">
        <v>-58</v>
      </c>
      <c r="K1534" s="56">
        <f t="shared" si="70"/>
        <v>3510317914</v>
      </c>
      <c r="L1534" s="37">
        <v>0</v>
      </c>
      <c r="O1534" s="38" t="str">
        <f>IF([1]totrevprm!O1535="","",[1]totrevprm!O1535)</f>
        <v/>
      </c>
    </row>
    <row r="1535" spans="1:26">
      <c r="A1535" s="50" t="s">
        <v>68</v>
      </c>
      <c r="B1535" s="51" t="s">
        <v>277</v>
      </c>
      <c r="C1535" s="52" t="s">
        <v>731</v>
      </c>
      <c r="D1535" s="53">
        <v>2000</v>
      </c>
      <c r="E1535" s="54">
        <v>1234999145</v>
      </c>
      <c r="F1535" s="54">
        <v>802629737</v>
      </c>
      <c r="G1535" s="54">
        <v>1581222394</v>
      </c>
      <c r="H1535" s="54">
        <v>0</v>
      </c>
      <c r="I1535" s="55">
        <f t="shared" si="69"/>
        <v>3618851276</v>
      </c>
      <c r="J1535" s="54">
        <v>-1023835</v>
      </c>
      <c r="K1535" s="56">
        <f t="shared" si="70"/>
        <v>3617827441</v>
      </c>
      <c r="L1535" s="37">
        <v>0</v>
      </c>
      <c r="O1535" s="38" t="str">
        <f>IF([1]totrevprm!O1536="","",[1]totrevprm!O1536)</f>
        <v/>
      </c>
      <c r="V1535" s="38" t="s">
        <v>277</v>
      </c>
      <c r="W1535" s="58">
        <v>5759369</v>
      </c>
      <c r="X1535" s="58">
        <v>30862666</v>
      </c>
      <c r="Y1535" s="58">
        <v>25527183</v>
      </c>
      <c r="Z1535" s="58">
        <v>0</v>
      </c>
    </row>
    <row r="1536" spans="1:26">
      <c r="A1536" s="50" t="s">
        <v>68</v>
      </c>
      <c r="B1536" s="51" t="s">
        <v>277</v>
      </c>
      <c r="C1536" s="52" t="s">
        <v>731</v>
      </c>
      <c r="D1536" s="53">
        <v>2001</v>
      </c>
      <c r="E1536" s="54">
        <v>1295315977</v>
      </c>
      <c r="F1536" s="54">
        <v>1166497124</v>
      </c>
      <c r="G1536" s="54">
        <v>1703624206</v>
      </c>
      <c r="H1536" s="54">
        <v>0</v>
      </c>
      <c r="I1536" s="55">
        <f t="shared" si="69"/>
        <v>4165437307</v>
      </c>
      <c r="J1536" s="54">
        <v>-2173</v>
      </c>
      <c r="K1536" s="56">
        <f t="shared" si="70"/>
        <v>4165435134</v>
      </c>
      <c r="L1536" s="37">
        <v>0</v>
      </c>
      <c r="O1536" s="38" t="str">
        <f>IF([1]totrevprm!O1537="","",[1]totrevprm!O1537)</f>
        <v/>
      </c>
      <c r="V1536" s="38"/>
      <c r="W1536" s="58"/>
      <c r="X1536" s="58"/>
      <c r="Y1536" s="58"/>
      <c r="Z1536" s="58"/>
    </row>
    <row r="1537" spans="1:26">
      <c r="A1537" s="50" t="s">
        <v>68</v>
      </c>
      <c r="B1537" s="51" t="s">
        <v>277</v>
      </c>
      <c r="C1537" s="52" t="s">
        <v>731</v>
      </c>
      <c r="D1537" s="53">
        <v>2002</v>
      </c>
      <c r="E1537" s="54">
        <v>1261387093</v>
      </c>
      <c r="F1537" s="54">
        <v>1845580369</v>
      </c>
      <c r="G1537" s="54">
        <v>1862783234</v>
      </c>
      <c r="H1537" s="54">
        <v>0</v>
      </c>
      <c r="I1537" s="55">
        <f t="shared" si="69"/>
        <v>4969750696</v>
      </c>
      <c r="J1537" s="54">
        <v>-91258</v>
      </c>
      <c r="K1537" s="56">
        <f t="shared" si="70"/>
        <v>4969659438</v>
      </c>
      <c r="L1537" s="37">
        <v>0</v>
      </c>
      <c r="O1537" s="38" t="str">
        <f>IF([1]totrevprm!O1538="","",[1]totrevprm!O1538)</f>
        <v/>
      </c>
      <c r="V1537" s="38"/>
      <c r="W1537" s="58"/>
      <c r="X1537" s="58"/>
      <c r="Y1537" s="58"/>
      <c r="Z1537" s="58"/>
    </row>
    <row r="1538" spans="1:26">
      <c r="A1538" s="50" t="s">
        <v>68</v>
      </c>
      <c r="B1538" s="51" t="s">
        <v>277</v>
      </c>
      <c r="C1538" s="52" t="s">
        <v>731</v>
      </c>
      <c r="D1538" s="53">
        <v>2003</v>
      </c>
      <c r="E1538" s="59">
        <v>1329171095</v>
      </c>
      <c r="F1538" s="59">
        <v>1551652692</v>
      </c>
      <c r="G1538" s="59">
        <v>2009881222</v>
      </c>
      <c r="H1538" s="59">
        <v>0</v>
      </c>
      <c r="I1538" s="55">
        <f t="shared" si="69"/>
        <v>4890705009</v>
      </c>
      <c r="J1538" s="54">
        <v>-389409</v>
      </c>
      <c r="K1538" s="56">
        <f t="shared" si="70"/>
        <v>4890315600</v>
      </c>
      <c r="L1538" s="37">
        <v>0</v>
      </c>
      <c r="O1538" s="38" t="str">
        <f>IF([1]totrevprm!O1539="","",[1]totrevprm!O1539)</f>
        <v/>
      </c>
      <c r="V1538" s="38"/>
      <c r="W1538" s="58"/>
      <c r="X1538" s="58"/>
      <c r="Y1538" s="58"/>
      <c r="Z1538" s="58"/>
    </row>
    <row r="1539" spans="1:26">
      <c r="A1539" s="50" t="s">
        <v>68</v>
      </c>
      <c r="B1539" s="51" t="s">
        <v>277</v>
      </c>
      <c r="C1539" s="52" t="s">
        <v>731</v>
      </c>
      <c r="D1539" s="53">
        <v>2004</v>
      </c>
      <c r="E1539" s="59">
        <v>1416843063</v>
      </c>
      <c r="F1539" s="59">
        <v>1480694683</v>
      </c>
      <c r="G1539" s="59">
        <v>2133081032</v>
      </c>
      <c r="H1539" s="59">
        <v>0</v>
      </c>
      <c r="I1539" s="55">
        <f t="shared" si="69"/>
        <v>5030618778</v>
      </c>
      <c r="J1539" s="54">
        <v>-1183372</v>
      </c>
      <c r="K1539" s="56">
        <f t="shared" si="70"/>
        <v>5029435406</v>
      </c>
      <c r="L1539" s="37">
        <v>0</v>
      </c>
      <c r="O1539" s="38" t="str">
        <f>IF([1]totrevprm!O1540="","",[1]totrevprm!O1540)</f>
        <v/>
      </c>
      <c r="V1539" s="38"/>
      <c r="W1539" s="58"/>
      <c r="X1539" s="58"/>
      <c r="Y1539" s="58"/>
      <c r="Z1539" s="58"/>
    </row>
    <row r="1540" spans="1:26">
      <c r="A1540" s="50" t="s">
        <v>68</v>
      </c>
      <c r="B1540" s="51" t="s">
        <v>277</v>
      </c>
      <c r="C1540" s="52"/>
      <c r="D1540" s="53">
        <v>2005</v>
      </c>
      <c r="E1540" s="59">
        <v>1390839284</v>
      </c>
      <c r="F1540" s="59">
        <v>1414756410</v>
      </c>
      <c r="G1540" s="59">
        <v>2356388761.5599899</v>
      </c>
      <c r="H1540" s="59">
        <v>0</v>
      </c>
      <c r="I1540" s="55">
        <f t="shared" si="69"/>
        <v>5161984455.5599899</v>
      </c>
      <c r="J1540" s="54">
        <v>-116</v>
      </c>
      <c r="K1540" s="56">
        <f t="shared" si="70"/>
        <v>5161984339.5599899</v>
      </c>
      <c r="L1540" s="37">
        <v>0</v>
      </c>
      <c r="O1540" s="38" t="str">
        <f>IF([1]totrevprm!O1541="","",[1]totrevprm!O1541)</f>
        <v/>
      </c>
      <c r="V1540" s="38"/>
      <c r="W1540" s="58"/>
      <c r="X1540" s="58"/>
      <c r="Y1540" s="58"/>
      <c r="Z1540" s="58"/>
    </row>
    <row r="1541" spans="1:26">
      <c r="A1541" s="50" t="s">
        <v>68</v>
      </c>
      <c r="B1541" s="51" t="s">
        <v>277</v>
      </c>
      <c r="C1541" s="52"/>
      <c r="D1541" s="53">
        <v>2006</v>
      </c>
      <c r="E1541" s="37">
        <v>1508302360</v>
      </c>
      <c r="F1541" s="37">
        <v>1586695199</v>
      </c>
      <c r="G1541" s="37">
        <v>2619903242</v>
      </c>
      <c r="H1541" s="37">
        <v>0</v>
      </c>
      <c r="I1541" s="55">
        <f t="shared" si="69"/>
        <v>5714900801</v>
      </c>
      <c r="J1541" s="54">
        <v>-821500</v>
      </c>
      <c r="K1541" s="56">
        <f t="shared" si="70"/>
        <v>5714079301</v>
      </c>
      <c r="L1541" s="37">
        <v>0</v>
      </c>
      <c r="O1541" s="38" t="str">
        <f>IF([1]totrevprm!O1542="","",[1]totrevprm!O1542)</f>
        <v/>
      </c>
      <c r="V1541" s="38"/>
      <c r="W1541" s="58"/>
      <c r="X1541" s="58"/>
      <c r="Y1541" s="58"/>
      <c r="Z1541" s="58"/>
    </row>
    <row r="1542" spans="1:26">
      <c r="A1542" s="50" t="s">
        <v>68</v>
      </c>
      <c r="B1542" s="51" t="s">
        <v>277</v>
      </c>
      <c r="C1542" s="52"/>
      <c r="D1542" s="53">
        <v>2007</v>
      </c>
      <c r="E1542" s="37">
        <v>1575162470</v>
      </c>
      <c r="F1542" s="37">
        <v>1578173954</v>
      </c>
      <c r="G1542" s="37">
        <v>3211067351</v>
      </c>
      <c r="H1542" s="37">
        <v>0</v>
      </c>
      <c r="I1542" s="55">
        <f t="shared" si="69"/>
        <v>6364403775</v>
      </c>
      <c r="J1542" s="54">
        <v>-5</v>
      </c>
      <c r="K1542" s="56">
        <f t="shared" si="70"/>
        <v>6364403770</v>
      </c>
      <c r="L1542" s="37">
        <v>0</v>
      </c>
      <c r="O1542" s="38" t="str">
        <f>IF([1]totrevprm!O1543="","",[1]totrevprm!O1543)</f>
        <v/>
      </c>
      <c r="V1542" s="38"/>
      <c r="W1542" s="58"/>
      <c r="X1542" s="58"/>
      <c r="Y1542" s="58"/>
      <c r="Z1542" s="58"/>
    </row>
    <row r="1543" spans="1:26">
      <c r="A1543" s="50" t="s">
        <v>68</v>
      </c>
      <c r="B1543" s="51" t="s">
        <v>277</v>
      </c>
      <c r="C1543" s="52"/>
      <c r="D1543" s="53">
        <v>2008</v>
      </c>
      <c r="E1543" s="37">
        <v>1646066616</v>
      </c>
      <c r="F1543" s="37">
        <v>2242256879</v>
      </c>
      <c r="G1543" s="37">
        <v>3805257119</v>
      </c>
      <c r="H1543" s="37">
        <v>0</v>
      </c>
      <c r="I1543" s="55">
        <f t="shared" si="69"/>
        <v>7693580614</v>
      </c>
      <c r="J1543" s="54">
        <v>-3</v>
      </c>
      <c r="K1543" s="56">
        <f t="shared" si="70"/>
        <v>7693580611</v>
      </c>
      <c r="L1543" s="37">
        <v>0</v>
      </c>
      <c r="O1543" s="38" t="str">
        <f>IF([1]totrevprm!O1544="","",[1]totrevprm!O1544)</f>
        <v/>
      </c>
      <c r="V1543" s="38"/>
      <c r="W1543" s="58"/>
      <c r="X1543" s="58"/>
      <c r="Y1543" s="58"/>
      <c r="Z1543" s="58"/>
    </row>
    <row r="1544" spans="1:26">
      <c r="A1544" s="50" t="s">
        <v>68</v>
      </c>
      <c r="B1544" s="51" t="s">
        <v>277</v>
      </c>
      <c r="C1544" s="52"/>
      <c r="D1544" s="53">
        <v>2009</v>
      </c>
      <c r="E1544" s="37">
        <v>1674205107</v>
      </c>
      <c r="F1544" s="37">
        <v>2243268235</v>
      </c>
      <c r="G1544" s="37">
        <v>4014438638</v>
      </c>
      <c r="H1544" s="37">
        <v>0</v>
      </c>
      <c r="I1544" s="55">
        <f t="shared" si="69"/>
        <v>7931911980</v>
      </c>
      <c r="J1544" s="54">
        <v>-4</v>
      </c>
      <c r="K1544" s="56">
        <f t="shared" si="70"/>
        <v>7931911976</v>
      </c>
      <c r="L1544" s="37">
        <v>0</v>
      </c>
      <c r="O1544" s="38" t="str">
        <f>IF([1]totrevprm!O1545="","",[1]totrevprm!O1545)</f>
        <v/>
      </c>
      <c r="V1544" s="38"/>
      <c r="W1544" s="58"/>
      <c r="X1544" s="58"/>
      <c r="Y1544" s="58"/>
      <c r="Z1544" s="58"/>
    </row>
    <row r="1545" spans="1:26">
      <c r="A1545" s="50" t="s">
        <v>68</v>
      </c>
      <c r="B1545" s="51" t="s">
        <v>277</v>
      </c>
      <c r="C1545" s="52"/>
      <c r="D1545" s="53">
        <v>2010</v>
      </c>
      <c r="E1545" s="37">
        <v>1717720032</v>
      </c>
      <c r="F1545" s="37">
        <v>2927415498</v>
      </c>
      <c r="G1545" s="37">
        <v>3827478465</v>
      </c>
      <c r="H1545" s="37">
        <v>0</v>
      </c>
      <c r="I1545" s="55">
        <f t="shared" si="69"/>
        <v>8472613995</v>
      </c>
      <c r="J1545" s="54">
        <v>-4620</v>
      </c>
      <c r="K1545" s="56">
        <f t="shared" si="70"/>
        <v>8472609375</v>
      </c>
      <c r="L1545" s="37">
        <v>0</v>
      </c>
      <c r="O1545" s="38" t="str">
        <f>IF([1]totrevprm!O1546="","",[1]totrevprm!O1546)</f>
        <v/>
      </c>
      <c r="V1545" s="38"/>
      <c r="W1545" s="58"/>
      <c r="X1545" s="58"/>
      <c r="Y1545" s="58"/>
      <c r="Z1545" s="58"/>
    </row>
    <row r="1546" spans="1:26">
      <c r="A1546" s="50" t="s">
        <v>68</v>
      </c>
      <c r="B1546" s="51" t="s">
        <v>277</v>
      </c>
      <c r="C1546" s="52"/>
      <c r="D1546" s="53">
        <v>2011</v>
      </c>
      <c r="E1546" s="37">
        <v>1796389183</v>
      </c>
      <c r="F1546" s="37">
        <v>2112853248</v>
      </c>
      <c r="G1546" s="37">
        <v>4065516773.0599999</v>
      </c>
      <c r="H1546" s="37">
        <v>0</v>
      </c>
      <c r="I1546" s="55">
        <f t="shared" si="69"/>
        <v>7974759204.0599995</v>
      </c>
      <c r="J1546" s="54">
        <v>-14973</v>
      </c>
      <c r="K1546" s="56">
        <f t="shared" si="70"/>
        <v>7974744231.0599995</v>
      </c>
      <c r="L1546" s="37">
        <v>0</v>
      </c>
      <c r="O1546" s="38" t="str">
        <f>IF([1]totrevprm!O1547="","",[1]totrevprm!O1547)</f>
        <v/>
      </c>
      <c r="V1546" s="38"/>
      <c r="W1546" s="58"/>
      <c r="X1546" s="58"/>
      <c r="Y1546" s="58"/>
      <c r="Z1546" s="58"/>
    </row>
    <row r="1547" spans="1:26">
      <c r="A1547" s="50" t="s">
        <v>68</v>
      </c>
      <c r="B1547" s="51" t="s">
        <v>277</v>
      </c>
      <c r="C1547" s="52"/>
      <c r="D1547" s="53">
        <v>2012</v>
      </c>
      <c r="E1547" s="37">
        <v>1910294440</v>
      </c>
      <c r="F1547" s="37">
        <v>2456078533</v>
      </c>
      <c r="G1547" s="37">
        <v>4259547737</v>
      </c>
      <c r="H1547" s="37">
        <v>0</v>
      </c>
      <c r="I1547" s="55">
        <f t="shared" si="69"/>
        <v>8625920710</v>
      </c>
      <c r="J1547" s="54">
        <v>-328</v>
      </c>
      <c r="K1547" s="56">
        <f t="shared" si="70"/>
        <v>8625920382</v>
      </c>
      <c r="L1547" s="37">
        <v>0</v>
      </c>
      <c r="O1547" s="38" t="str">
        <f>IF([1]totrevprm!O1548="","",[1]totrevprm!O1548)</f>
        <v/>
      </c>
      <c r="V1547" s="38"/>
      <c r="W1547" s="58"/>
      <c r="X1547" s="58"/>
      <c r="Y1547" s="58"/>
      <c r="Z1547" s="58"/>
    </row>
    <row r="1548" spans="1:26">
      <c r="A1548" s="50" t="s">
        <v>68</v>
      </c>
      <c r="B1548" s="51" t="s">
        <v>277</v>
      </c>
      <c r="C1548" s="52"/>
      <c r="D1548" s="53">
        <v>2013</v>
      </c>
      <c r="E1548" s="37">
        <v>1923786578</v>
      </c>
      <c r="F1548" s="37">
        <v>2304619456</v>
      </c>
      <c r="G1548" s="37">
        <v>3303225585</v>
      </c>
      <c r="H1548" s="37">
        <v>0</v>
      </c>
      <c r="I1548" s="55">
        <f t="shared" si="69"/>
        <v>7531631619</v>
      </c>
      <c r="J1548" s="54">
        <v>-13</v>
      </c>
      <c r="K1548" s="56">
        <f t="shared" si="70"/>
        <v>7531631606</v>
      </c>
      <c r="L1548" s="37">
        <v>0</v>
      </c>
      <c r="O1548" s="38" t="str">
        <f>IF([1]totrevprm!O1549="","",[1]totrevprm!O1549)</f>
        <v/>
      </c>
      <c r="V1548" s="38"/>
      <c r="W1548" s="58"/>
      <c r="X1548" s="58"/>
      <c r="Y1548" s="58"/>
      <c r="Z1548" s="58"/>
    </row>
    <row r="1549" spans="1:26">
      <c r="A1549" s="50" t="s">
        <v>68</v>
      </c>
      <c r="B1549" s="51" t="s">
        <v>277</v>
      </c>
      <c r="C1549" s="52"/>
      <c r="D1549" s="53">
        <v>2014</v>
      </c>
      <c r="E1549" s="37">
        <v>1942052134</v>
      </c>
      <c r="F1549" s="37">
        <v>2437376422</v>
      </c>
      <c r="G1549" s="37">
        <v>3693901601.1900001</v>
      </c>
      <c r="H1549" s="37">
        <v>0</v>
      </c>
      <c r="I1549" s="55">
        <f t="shared" si="69"/>
        <v>8073330157.1900005</v>
      </c>
      <c r="J1549" s="54">
        <v>-6763</v>
      </c>
      <c r="K1549" s="56">
        <f t="shared" si="70"/>
        <v>8073323394.1900005</v>
      </c>
      <c r="L1549" s="37">
        <v>0</v>
      </c>
      <c r="O1549" s="38" t="str">
        <f>IF([1]totrevprm!O1550="","",[1]totrevprm!O1550)</f>
        <v/>
      </c>
      <c r="V1549" s="38"/>
      <c r="W1549" s="58"/>
      <c r="X1549" s="58"/>
      <c r="Y1549" s="58"/>
      <c r="Z1549" s="58"/>
    </row>
    <row r="1550" spans="1:26">
      <c r="A1550" s="50" t="s">
        <v>68</v>
      </c>
      <c r="B1550" s="51" t="s">
        <v>277</v>
      </c>
      <c r="C1550" s="52"/>
      <c r="D1550" s="53">
        <v>2015</v>
      </c>
      <c r="E1550" s="37">
        <v>2044134915</v>
      </c>
      <c r="F1550" s="37">
        <v>2931997944</v>
      </c>
      <c r="G1550" s="37">
        <v>3613263501</v>
      </c>
      <c r="H1550" s="37">
        <v>0</v>
      </c>
      <c r="I1550" s="55">
        <f t="shared" si="69"/>
        <v>8589396360</v>
      </c>
      <c r="J1550" s="54">
        <v>-3179</v>
      </c>
      <c r="K1550" s="56">
        <f t="shared" si="70"/>
        <v>8589393181</v>
      </c>
      <c r="L1550" s="37">
        <v>0</v>
      </c>
      <c r="O1550" s="38" t="str">
        <f>IF([1]totrevprm!O1551="","",[1]totrevprm!O1551)</f>
        <v/>
      </c>
      <c r="P1550" s="35">
        <v>319360804.98923206</v>
      </c>
      <c r="Q1550" s="35">
        <v>169257081.28</v>
      </c>
      <c r="V1550" s="38"/>
      <c r="W1550" s="58"/>
      <c r="X1550" s="58"/>
      <c r="Y1550" s="58"/>
      <c r="Z1550" s="58"/>
    </row>
    <row r="1551" spans="1:26">
      <c r="A1551" s="50" t="s">
        <v>68</v>
      </c>
      <c r="B1551" s="51" t="s">
        <v>277</v>
      </c>
      <c r="C1551" s="52"/>
      <c r="D1551" s="53">
        <v>2016</v>
      </c>
      <c r="E1551" s="37">
        <v>2120061316</v>
      </c>
      <c r="F1551" s="37">
        <v>3136176712</v>
      </c>
      <c r="G1551" s="37">
        <v>3951071097</v>
      </c>
      <c r="H1551" s="37">
        <v>0</v>
      </c>
      <c r="I1551" s="55">
        <f t="shared" si="69"/>
        <v>9207309125</v>
      </c>
      <c r="J1551" s="54">
        <v>-867</v>
      </c>
      <c r="K1551" s="56">
        <f t="shared" si="70"/>
        <v>9207308258</v>
      </c>
      <c r="L1551" s="37">
        <v>0</v>
      </c>
      <c r="O1551" s="38" t="str">
        <f>IF([1]totrevprm!O1552="","",[1]totrevprm!O1552)</f>
        <v/>
      </c>
      <c r="P1551" s="35">
        <v>340237104.97619092</v>
      </c>
      <c r="Q1551" s="35">
        <v>178219790.30000001</v>
      </c>
      <c r="V1551" s="38"/>
      <c r="W1551" s="58"/>
      <c r="X1551" s="58"/>
      <c r="Y1551" s="58"/>
      <c r="Z1551" s="58"/>
    </row>
    <row r="1552" spans="1:26">
      <c r="A1552" s="50" t="s">
        <v>68</v>
      </c>
      <c r="B1552" s="51" t="s">
        <v>277</v>
      </c>
      <c r="C1552" s="52"/>
      <c r="D1552" s="53">
        <v>2017</v>
      </c>
      <c r="E1552" s="37">
        <v>2240435673</v>
      </c>
      <c r="F1552" s="37">
        <v>2996928638</v>
      </c>
      <c r="G1552" s="37">
        <v>4739825797.1599998</v>
      </c>
      <c r="H1552" s="37">
        <v>0</v>
      </c>
      <c r="I1552" s="55">
        <f t="shared" si="69"/>
        <v>9977190108.1599998</v>
      </c>
      <c r="J1552" s="54">
        <v>-158472</v>
      </c>
      <c r="K1552" s="56">
        <f t="shared" si="70"/>
        <v>9977031636.1599998</v>
      </c>
      <c r="L1552" s="37">
        <v>0</v>
      </c>
      <c r="O1552" s="38" t="str">
        <f>IF([1]totrevprm!O1553="","",[1]totrevprm!O1553)</f>
        <v/>
      </c>
      <c r="P1552" s="35">
        <v>366544726.92800474</v>
      </c>
      <c r="Q1552" s="35">
        <v>175588484.85999998</v>
      </c>
      <c r="V1552" s="38"/>
      <c r="W1552" s="58"/>
      <c r="X1552" s="58"/>
      <c r="Y1552" s="58"/>
      <c r="Z1552" s="58"/>
    </row>
    <row r="1553" spans="1:26">
      <c r="A1553" s="50" t="s">
        <v>68</v>
      </c>
      <c r="B1553" s="51" t="s">
        <v>277</v>
      </c>
      <c r="C1553" s="52"/>
      <c r="D1553" s="53">
        <v>2018</v>
      </c>
      <c r="E1553" s="37">
        <v>2257174323</v>
      </c>
      <c r="F1553" s="37">
        <v>3505794546</v>
      </c>
      <c r="G1553" s="37">
        <v>5179200677.0599995</v>
      </c>
      <c r="H1553" s="37">
        <v>0</v>
      </c>
      <c r="I1553" s="55">
        <f t="shared" si="69"/>
        <v>10942169546.059999</v>
      </c>
      <c r="J1553" s="54">
        <v>-11134</v>
      </c>
      <c r="K1553" s="56">
        <f t="shared" si="70"/>
        <v>10942158412.059999</v>
      </c>
      <c r="L1553" s="60">
        <v>0</v>
      </c>
      <c r="O1553" s="38" t="str">
        <f>IF([1]totrevprm!O1554="","",[1]totrevprm!O1554)</f>
        <v/>
      </c>
      <c r="P1553" s="35">
        <v>366332861.94466203</v>
      </c>
      <c r="Q1553" s="35">
        <v>177155471.85604751</v>
      </c>
      <c r="V1553" s="38"/>
      <c r="W1553" s="58"/>
      <c r="X1553" s="58"/>
      <c r="Y1553" s="58"/>
      <c r="Z1553" s="58"/>
    </row>
    <row r="1554" spans="1:26">
      <c r="A1554" s="50" t="s">
        <v>68</v>
      </c>
      <c r="B1554" s="51" t="s">
        <v>277</v>
      </c>
      <c r="C1554" s="52"/>
      <c r="D1554" s="53">
        <v>2019</v>
      </c>
      <c r="E1554" s="37">
        <v>2374333283</v>
      </c>
      <c r="F1554" s="37">
        <v>3956768319</v>
      </c>
      <c r="G1554" s="37">
        <v>5377184579.7453995</v>
      </c>
      <c r="H1554" s="37">
        <v>0</v>
      </c>
      <c r="I1554" s="55">
        <f t="shared" si="69"/>
        <v>11708286181.745399</v>
      </c>
      <c r="J1554" s="54">
        <v>-12626528</v>
      </c>
      <c r="K1554" s="56">
        <f t="shared" si="70"/>
        <v>11695659653.745399</v>
      </c>
      <c r="L1554" s="60">
        <v>0</v>
      </c>
      <c r="O1554" s="38" t="str">
        <f>IF([1]totrevprm!O1555="","",[1]totrevprm!O1555)</f>
        <v/>
      </c>
      <c r="P1554" s="35">
        <v>392506414.4566322</v>
      </c>
      <c r="Q1554" s="35">
        <v>180000129.7308881</v>
      </c>
      <c r="V1554" s="38"/>
      <c r="W1554" s="58"/>
      <c r="X1554" s="58"/>
      <c r="Y1554" s="58"/>
      <c r="Z1554" s="58"/>
    </row>
    <row r="1555" spans="1:26">
      <c r="A1555" s="50" t="s">
        <v>68</v>
      </c>
      <c r="B1555" s="51" t="s">
        <v>277</v>
      </c>
      <c r="C1555" s="52"/>
      <c r="D1555" s="53">
        <v>2020</v>
      </c>
      <c r="E1555" s="37">
        <v>2436275499</v>
      </c>
      <c r="F1555" s="37">
        <v>3595448162</v>
      </c>
      <c r="G1555" s="37">
        <v>5847642242</v>
      </c>
      <c r="H1555" s="37">
        <v>0</v>
      </c>
      <c r="I1555" s="55">
        <f t="shared" si="69"/>
        <v>11879365903</v>
      </c>
      <c r="J1555" s="54">
        <v>-5523</v>
      </c>
      <c r="K1555" s="56">
        <f t="shared" si="70"/>
        <v>11879360380</v>
      </c>
      <c r="L1555" s="60">
        <v>0</v>
      </c>
      <c r="M1555" s="69" t="s">
        <v>760</v>
      </c>
      <c r="N1555" t="s">
        <v>708</v>
      </c>
      <c r="O1555" s="38" t="str">
        <f>IF([1]totrevprm!O1556="","",[1]totrevprm!O1556)</f>
        <v>Yes</v>
      </c>
      <c r="P1555" s="35">
        <v>394643054</v>
      </c>
      <c r="Q1555" s="35">
        <v>173806407</v>
      </c>
      <c r="V1555" s="38"/>
      <c r="W1555" s="58"/>
      <c r="X1555" s="58"/>
      <c r="Y1555" s="58"/>
      <c r="Z1555" s="58"/>
    </row>
    <row r="1556" spans="1:26">
      <c r="A1556" s="50" t="s">
        <v>68</v>
      </c>
      <c r="B1556" s="51" t="s">
        <v>277</v>
      </c>
      <c r="C1556" s="52"/>
      <c r="D1556" s="53">
        <v>2021</v>
      </c>
      <c r="E1556" s="37">
        <v>2613395888</v>
      </c>
      <c r="F1556" s="37">
        <v>4345631639</v>
      </c>
      <c r="G1556" s="37">
        <v>6174678932</v>
      </c>
      <c r="H1556" s="37">
        <v>0</v>
      </c>
      <c r="I1556" s="55">
        <f t="shared" si="69"/>
        <v>13133706459</v>
      </c>
      <c r="J1556" s="60">
        <v>-5</v>
      </c>
      <c r="K1556" s="56">
        <f t="shared" si="70"/>
        <v>13133706454</v>
      </c>
      <c r="L1556" s="60">
        <v>0</v>
      </c>
      <c r="M1556" s="69" t="s">
        <v>739</v>
      </c>
      <c r="N1556" t="s">
        <v>708</v>
      </c>
      <c r="O1556" s="38"/>
      <c r="P1556" s="35">
        <v>384946782.34000003</v>
      </c>
      <c r="Q1556" s="35">
        <v>195014579</v>
      </c>
      <c r="V1556" s="38"/>
      <c r="W1556" s="58"/>
      <c r="X1556" s="58"/>
      <c r="Y1556" s="58"/>
      <c r="Z1556" s="58"/>
    </row>
    <row r="1557" spans="1:26">
      <c r="A1557" s="50" t="s">
        <v>68</v>
      </c>
      <c r="B1557" s="51" t="s">
        <v>277</v>
      </c>
      <c r="C1557" s="52"/>
      <c r="D1557" s="53">
        <v>2022</v>
      </c>
      <c r="E1557" s="37">
        <v>2638139602</v>
      </c>
      <c r="F1557" s="37">
        <v>5828475511</v>
      </c>
      <c r="G1557" s="37">
        <v>6550710962</v>
      </c>
      <c r="H1557" s="37">
        <v>0</v>
      </c>
      <c r="I1557" s="55">
        <f t="shared" si="69"/>
        <v>15017326075</v>
      </c>
      <c r="J1557" s="60">
        <v>-45875</v>
      </c>
      <c r="K1557" s="56">
        <f t="shared" si="70"/>
        <v>15017280200</v>
      </c>
      <c r="L1557" s="60">
        <v>0</v>
      </c>
      <c r="M1557" s="69" t="s">
        <v>739</v>
      </c>
      <c r="N1557" t="s">
        <v>708</v>
      </c>
      <c r="O1557" s="38" t="str">
        <f>IF([1]totrevprm!O1560="","",[1]totrevprm!O1560)</f>
        <v/>
      </c>
      <c r="P1557" s="60">
        <v>409625183</v>
      </c>
      <c r="Q1557" s="60">
        <v>188105786</v>
      </c>
    </row>
    <row r="1558" spans="1:26">
      <c r="A1558" s="50" t="s">
        <v>68</v>
      </c>
      <c r="B1558" s="51" t="s">
        <v>277</v>
      </c>
      <c r="C1558" s="52"/>
      <c r="D1558" s="53">
        <v>2023</v>
      </c>
      <c r="E1558" s="37">
        <v>2744628382</v>
      </c>
      <c r="F1558" s="37">
        <v>6652569458.5565004</v>
      </c>
      <c r="G1558" s="37">
        <v>7608168659.0443001</v>
      </c>
      <c r="H1558" s="37">
        <v>0</v>
      </c>
      <c r="I1558" s="55">
        <f t="shared" si="69"/>
        <v>17005366499.6008</v>
      </c>
      <c r="J1558" s="60">
        <v>-159228</v>
      </c>
      <c r="K1558" s="56">
        <f t="shared" si="70"/>
        <v>17005207271.6008</v>
      </c>
      <c r="L1558" s="37">
        <v>0</v>
      </c>
      <c r="M1558" s="69" t="s">
        <v>739</v>
      </c>
      <c r="O1558" s="38"/>
      <c r="P1558" s="60">
        <v>453728319.38999999</v>
      </c>
      <c r="Q1558" s="60">
        <v>192415397</v>
      </c>
    </row>
    <row r="1559" spans="1:26">
      <c r="A1559" s="50"/>
      <c r="B1559" s="52"/>
      <c r="C1559" s="52"/>
      <c r="E1559" s="54"/>
      <c r="F1559" s="54"/>
      <c r="G1559" s="54"/>
      <c r="H1559" s="54"/>
      <c r="I1559" s="55"/>
      <c r="K1559" s="65"/>
      <c r="L1559" s="37"/>
      <c r="O1559" s="38"/>
    </row>
    <row r="1560" spans="1:26">
      <c r="A1560" s="50" t="s">
        <v>69</v>
      </c>
      <c r="B1560" s="51" t="s">
        <v>642</v>
      </c>
      <c r="C1560" s="52" t="s">
        <v>730</v>
      </c>
      <c r="D1560" s="53">
        <v>1988</v>
      </c>
      <c r="E1560" s="54">
        <v>171874879</v>
      </c>
      <c r="F1560" s="54">
        <v>160470797</v>
      </c>
      <c r="G1560" s="54">
        <v>224310316</v>
      </c>
      <c r="H1560" s="54">
        <v>0</v>
      </c>
      <c r="I1560" s="55">
        <f t="shared" si="69"/>
        <v>556655992</v>
      </c>
      <c r="J1560" s="54">
        <v>-196397</v>
      </c>
      <c r="K1560" s="56">
        <f>SUM(I1560:J1560)</f>
        <v>556459595</v>
      </c>
      <c r="L1560" s="37">
        <v>0</v>
      </c>
      <c r="O1560" s="38" t="str">
        <f>IF([1]totrevprm!O1561="","",[1]totrevprm!O1561)</f>
        <v/>
      </c>
    </row>
    <row r="1561" spans="1:26">
      <c r="A1561" s="50" t="s">
        <v>69</v>
      </c>
      <c r="B1561" s="51" t="s">
        <v>642</v>
      </c>
      <c r="C1561" s="52" t="s">
        <v>731</v>
      </c>
      <c r="D1561" s="53">
        <v>1989</v>
      </c>
      <c r="E1561" s="54">
        <v>164165888</v>
      </c>
      <c r="F1561" s="54">
        <v>154402927</v>
      </c>
      <c r="G1561" s="54">
        <v>239395164</v>
      </c>
      <c r="H1561" s="54">
        <v>0</v>
      </c>
      <c r="I1561" s="55">
        <f t="shared" si="69"/>
        <v>557963979</v>
      </c>
      <c r="J1561" s="54">
        <v>-1345954</v>
      </c>
      <c r="K1561" s="56">
        <f t="shared" ref="K1561:K1595" si="71">SUM(I1561:J1561)</f>
        <v>556618025</v>
      </c>
      <c r="L1561" s="37">
        <v>0</v>
      </c>
      <c r="O1561" s="38" t="str">
        <f>IF([1]totrevprm!O1562="","",[1]totrevprm!O1562)</f>
        <v/>
      </c>
    </row>
    <row r="1562" spans="1:26">
      <c r="A1562" s="50" t="s">
        <v>69</v>
      </c>
      <c r="B1562" s="51" t="s">
        <v>642</v>
      </c>
      <c r="C1562" s="52" t="s">
        <v>731</v>
      </c>
      <c r="D1562" s="53">
        <v>1990</v>
      </c>
      <c r="E1562" s="54">
        <v>167821811</v>
      </c>
      <c r="F1562" s="54">
        <v>165387971.84</v>
      </c>
      <c r="G1562" s="54">
        <v>254570615</v>
      </c>
      <c r="H1562" s="54">
        <v>0</v>
      </c>
      <c r="I1562" s="55">
        <f t="shared" si="69"/>
        <v>587780397.84000003</v>
      </c>
      <c r="J1562" s="54">
        <v>-1809544</v>
      </c>
      <c r="K1562" s="56">
        <f t="shared" si="71"/>
        <v>585970853.84000003</v>
      </c>
      <c r="L1562" s="37">
        <v>0</v>
      </c>
      <c r="O1562" s="38" t="str">
        <f>IF([1]totrevprm!O1563="","",[1]totrevprm!O1563)</f>
        <v/>
      </c>
    </row>
    <row r="1563" spans="1:26">
      <c r="A1563" s="50" t="s">
        <v>69</v>
      </c>
      <c r="B1563" s="51" t="s">
        <v>642</v>
      </c>
      <c r="C1563" s="52" t="s">
        <v>731</v>
      </c>
      <c r="D1563" s="53">
        <v>1991</v>
      </c>
      <c r="E1563" s="54">
        <v>179567209</v>
      </c>
      <c r="F1563" s="54">
        <v>181276707</v>
      </c>
      <c r="G1563" s="54">
        <v>266294144</v>
      </c>
      <c r="H1563" s="54">
        <v>0</v>
      </c>
      <c r="I1563" s="55">
        <f t="shared" si="69"/>
        <v>627138060</v>
      </c>
      <c r="J1563" s="54">
        <v>-73442</v>
      </c>
      <c r="K1563" s="56">
        <f t="shared" si="71"/>
        <v>627064618</v>
      </c>
      <c r="L1563" s="37">
        <v>0</v>
      </c>
      <c r="O1563" s="38" t="str">
        <f>IF([1]totrevprm!O1564="","",[1]totrevprm!O1564)</f>
        <v/>
      </c>
    </row>
    <row r="1564" spans="1:26">
      <c r="A1564" s="50" t="s">
        <v>69</v>
      </c>
      <c r="B1564" s="51" t="s">
        <v>642</v>
      </c>
      <c r="C1564" s="52" t="s">
        <v>731</v>
      </c>
      <c r="D1564" s="53">
        <v>1992</v>
      </c>
      <c r="E1564" s="54">
        <v>189295694</v>
      </c>
      <c r="F1564" s="54">
        <v>177520864.19999999</v>
      </c>
      <c r="G1564" s="54">
        <v>293691882</v>
      </c>
      <c r="H1564" s="54">
        <v>0</v>
      </c>
      <c r="I1564" s="55">
        <f t="shared" si="69"/>
        <v>660508440.20000005</v>
      </c>
      <c r="J1564" s="54">
        <v>-109005</v>
      </c>
      <c r="K1564" s="56">
        <f t="shared" si="71"/>
        <v>660399435.20000005</v>
      </c>
      <c r="L1564" s="37">
        <v>0</v>
      </c>
      <c r="O1564" s="38" t="str">
        <f>IF([1]totrevprm!O1565="","",[1]totrevprm!O1565)</f>
        <v/>
      </c>
    </row>
    <row r="1565" spans="1:26">
      <c r="A1565" s="50" t="s">
        <v>69</v>
      </c>
      <c r="B1565" s="51" t="s">
        <v>642</v>
      </c>
      <c r="C1565" s="52" t="s">
        <v>731</v>
      </c>
      <c r="D1565" s="53">
        <v>1993</v>
      </c>
      <c r="E1565" s="54">
        <v>184534209</v>
      </c>
      <c r="F1565" s="54">
        <v>154806390</v>
      </c>
      <c r="G1565" s="54">
        <v>309129040</v>
      </c>
      <c r="H1565" s="54">
        <v>0</v>
      </c>
      <c r="I1565" s="55">
        <f t="shared" si="69"/>
        <v>648469639</v>
      </c>
      <c r="J1565" s="54">
        <v>-10432</v>
      </c>
      <c r="K1565" s="56">
        <f t="shared" si="71"/>
        <v>648459207</v>
      </c>
      <c r="L1565" s="37">
        <v>0</v>
      </c>
      <c r="O1565" s="38" t="str">
        <f>IF([1]totrevprm!O1566="","",[1]totrevprm!O1566)</f>
        <v/>
      </c>
    </row>
    <row r="1566" spans="1:26">
      <c r="A1566" s="50" t="s">
        <v>69</v>
      </c>
      <c r="B1566" s="51" t="s">
        <v>642</v>
      </c>
      <c r="C1566" s="52" t="s">
        <v>731</v>
      </c>
      <c r="D1566" s="53">
        <v>1994</v>
      </c>
      <c r="E1566" s="54">
        <v>204777549</v>
      </c>
      <c r="F1566" s="54">
        <v>198188809</v>
      </c>
      <c r="G1566" s="54">
        <v>336796117</v>
      </c>
      <c r="H1566" s="54">
        <v>0</v>
      </c>
      <c r="I1566" s="55">
        <f t="shared" si="69"/>
        <v>739762475</v>
      </c>
      <c r="J1566" s="54">
        <v>-5212815</v>
      </c>
      <c r="K1566" s="56">
        <f t="shared" si="71"/>
        <v>734549660</v>
      </c>
      <c r="L1566" s="37">
        <v>0</v>
      </c>
      <c r="O1566" s="38" t="str">
        <f>IF([1]totrevprm!O1567="","",[1]totrevprm!O1567)</f>
        <v/>
      </c>
    </row>
    <row r="1567" spans="1:26">
      <c r="A1567" s="50" t="s">
        <v>69</v>
      </c>
      <c r="B1567" s="51" t="s">
        <v>642</v>
      </c>
      <c r="C1567" s="52" t="s">
        <v>731</v>
      </c>
      <c r="D1567" s="53">
        <v>1995</v>
      </c>
      <c r="E1567" s="54">
        <v>223151747</v>
      </c>
      <c r="F1567" s="54">
        <v>199043824</v>
      </c>
      <c r="G1567" s="54">
        <v>315070850</v>
      </c>
      <c r="H1567" s="54">
        <v>0</v>
      </c>
      <c r="I1567" s="55">
        <f t="shared" ref="I1567:I1630" si="72">SUM(E1567:H1567)</f>
        <v>737266421</v>
      </c>
      <c r="J1567" s="54">
        <v>-231559</v>
      </c>
      <c r="K1567" s="56">
        <f t="shared" si="71"/>
        <v>737034862</v>
      </c>
      <c r="L1567" s="37">
        <v>0</v>
      </c>
      <c r="O1567" s="38" t="str">
        <f>IF([1]totrevprm!O1568="","",[1]totrevprm!O1568)</f>
        <v/>
      </c>
    </row>
    <row r="1568" spans="1:26">
      <c r="A1568" s="50" t="s">
        <v>69</v>
      </c>
      <c r="B1568" s="51" t="s">
        <v>642</v>
      </c>
      <c r="C1568" s="52" t="s">
        <v>731</v>
      </c>
      <c r="D1568" s="53">
        <v>1996</v>
      </c>
      <c r="E1568" s="54">
        <v>231483651</v>
      </c>
      <c r="F1568" s="54">
        <v>145665585</v>
      </c>
      <c r="G1568" s="54">
        <v>351139255</v>
      </c>
      <c r="H1568" s="54">
        <v>0</v>
      </c>
      <c r="I1568" s="55">
        <f t="shared" si="72"/>
        <v>728288491</v>
      </c>
      <c r="J1568" s="54">
        <v>-3</v>
      </c>
      <c r="K1568" s="56">
        <f t="shared" si="71"/>
        <v>728288488</v>
      </c>
      <c r="L1568" s="37">
        <v>0</v>
      </c>
      <c r="O1568" s="38" t="str">
        <f>IF([1]totrevprm!O1569="","",[1]totrevprm!O1569)</f>
        <v/>
      </c>
    </row>
    <row r="1569" spans="1:26">
      <c r="A1569" s="50" t="s">
        <v>69</v>
      </c>
      <c r="B1569" s="51" t="s">
        <v>642</v>
      </c>
      <c r="C1569" s="52" t="s">
        <v>731</v>
      </c>
      <c r="D1569" s="53">
        <v>1997</v>
      </c>
      <c r="E1569" s="54">
        <v>233356861</v>
      </c>
      <c r="F1569" s="54">
        <v>153521535</v>
      </c>
      <c r="G1569" s="54">
        <v>415557589</v>
      </c>
      <c r="H1569" s="54">
        <v>0</v>
      </c>
      <c r="I1569" s="55">
        <f t="shared" si="72"/>
        <v>802435985</v>
      </c>
      <c r="J1569" s="54">
        <v>-1</v>
      </c>
      <c r="K1569" s="56">
        <f t="shared" si="71"/>
        <v>802435984</v>
      </c>
      <c r="L1569" s="37">
        <v>0</v>
      </c>
      <c r="O1569" s="38" t="str">
        <f>IF([1]totrevprm!O1570="","",[1]totrevprm!O1570)</f>
        <v/>
      </c>
    </row>
    <row r="1570" spans="1:26">
      <c r="A1570" s="50" t="s">
        <v>69</v>
      </c>
      <c r="B1570" s="51" t="s">
        <v>642</v>
      </c>
      <c r="C1570" s="52" t="s">
        <v>731</v>
      </c>
      <c r="D1570" s="53">
        <v>1998</v>
      </c>
      <c r="E1570" s="54">
        <v>225174978</v>
      </c>
      <c r="F1570" s="54">
        <v>143147379</v>
      </c>
      <c r="G1570" s="54">
        <v>410864385</v>
      </c>
      <c r="H1570" s="54">
        <v>0</v>
      </c>
      <c r="I1570" s="55">
        <f t="shared" si="72"/>
        <v>779186742</v>
      </c>
      <c r="J1570" s="54">
        <v>-2</v>
      </c>
      <c r="K1570" s="56">
        <f t="shared" si="71"/>
        <v>779186740</v>
      </c>
      <c r="L1570" s="37">
        <v>0</v>
      </c>
      <c r="O1570" s="38" t="str">
        <f>IF([1]totrevprm!O1571="","",[1]totrevprm!O1571)</f>
        <v/>
      </c>
    </row>
    <row r="1571" spans="1:26">
      <c r="A1571" s="50" t="s">
        <v>69</v>
      </c>
      <c r="B1571" s="51" t="s">
        <v>642</v>
      </c>
      <c r="C1571" s="52" t="s">
        <v>731</v>
      </c>
      <c r="D1571" s="53">
        <v>1999</v>
      </c>
      <c r="E1571" s="54">
        <v>235379857</v>
      </c>
      <c r="F1571" s="54">
        <v>213865986</v>
      </c>
      <c r="G1571" s="54">
        <v>445546362</v>
      </c>
      <c r="H1571" s="54">
        <v>0</v>
      </c>
      <c r="I1571" s="55">
        <f t="shared" si="72"/>
        <v>894792205</v>
      </c>
      <c r="J1571" s="54">
        <v>-2</v>
      </c>
      <c r="K1571" s="56">
        <f t="shared" si="71"/>
        <v>894792203</v>
      </c>
      <c r="L1571" s="37">
        <v>0</v>
      </c>
      <c r="O1571" s="38" t="str">
        <f>IF([1]totrevprm!O1572="","",[1]totrevprm!O1572)</f>
        <v/>
      </c>
    </row>
    <row r="1572" spans="1:26">
      <c r="A1572" s="50" t="s">
        <v>69</v>
      </c>
      <c r="B1572" s="51" t="s">
        <v>642</v>
      </c>
      <c r="C1572" s="52" t="s">
        <v>731</v>
      </c>
      <c r="D1572" s="53">
        <v>2000</v>
      </c>
      <c r="E1572" s="54">
        <v>239961279</v>
      </c>
      <c r="F1572" s="54">
        <v>218007368</v>
      </c>
      <c r="G1572" s="54">
        <v>466355760</v>
      </c>
      <c r="H1572" s="54">
        <v>0</v>
      </c>
      <c r="I1572" s="55">
        <f t="shared" si="72"/>
        <v>924324407</v>
      </c>
      <c r="J1572" s="54">
        <v>-95404</v>
      </c>
      <c r="K1572" s="56">
        <f t="shared" si="71"/>
        <v>924229003</v>
      </c>
      <c r="L1572" s="37">
        <v>0</v>
      </c>
      <c r="O1572" s="38" t="str">
        <f>IF([1]totrevprm!O1573="","",[1]totrevprm!O1573)</f>
        <v/>
      </c>
      <c r="V1572" s="38" t="s">
        <v>642</v>
      </c>
      <c r="W1572" s="58">
        <v>414512</v>
      </c>
      <c r="X1572" s="58">
        <v>4460469</v>
      </c>
      <c r="Y1572" s="58">
        <v>5810800</v>
      </c>
      <c r="Z1572" s="58">
        <v>0</v>
      </c>
    </row>
    <row r="1573" spans="1:26">
      <c r="A1573" s="50" t="s">
        <v>69</v>
      </c>
      <c r="B1573" s="51" t="s">
        <v>642</v>
      </c>
      <c r="C1573" s="52" t="s">
        <v>731</v>
      </c>
      <c r="D1573" s="53">
        <v>2001</v>
      </c>
      <c r="E1573" s="54">
        <v>245809542</v>
      </c>
      <c r="F1573" s="54">
        <v>292699443</v>
      </c>
      <c r="G1573" s="54">
        <v>511256771</v>
      </c>
      <c r="H1573" s="54">
        <v>0</v>
      </c>
      <c r="I1573" s="55">
        <f t="shared" si="72"/>
        <v>1049765756</v>
      </c>
      <c r="J1573" s="54">
        <v>-1017745</v>
      </c>
      <c r="K1573" s="56">
        <f t="shared" si="71"/>
        <v>1048748011</v>
      </c>
      <c r="L1573" s="37">
        <v>0</v>
      </c>
      <c r="O1573" s="38" t="str">
        <f>IF([1]totrevprm!O1574="","",[1]totrevprm!O1574)</f>
        <v/>
      </c>
      <c r="V1573" s="38"/>
      <c r="W1573" s="58"/>
      <c r="X1573" s="58"/>
      <c r="Y1573" s="58"/>
      <c r="Z1573" s="58"/>
    </row>
    <row r="1574" spans="1:26">
      <c r="A1574" s="50" t="s">
        <v>69</v>
      </c>
      <c r="B1574" s="51" t="s">
        <v>642</v>
      </c>
      <c r="C1574" s="52" t="s">
        <v>731</v>
      </c>
      <c r="D1574" s="53">
        <v>2002</v>
      </c>
      <c r="E1574" s="54">
        <v>283298104</v>
      </c>
      <c r="F1574" s="54">
        <v>359384401</v>
      </c>
      <c r="G1574" s="54">
        <v>524895916</v>
      </c>
      <c r="H1574" s="54">
        <v>0</v>
      </c>
      <c r="I1574" s="55">
        <f t="shared" si="72"/>
        <v>1167578421</v>
      </c>
      <c r="J1574" s="54">
        <v>-98625</v>
      </c>
      <c r="K1574" s="56">
        <f t="shared" si="71"/>
        <v>1167479796</v>
      </c>
      <c r="L1574" s="37">
        <v>0</v>
      </c>
      <c r="O1574" s="38" t="str">
        <f>IF([1]totrevprm!O1575="","",[1]totrevprm!O1575)</f>
        <v/>
      </c>
      <c r="V1574" s="83" t="s">
        <v>810</v>
      </c>
      <c r="W1574" s="58"/>
      <c r="X1574" s="58"/>
      <c r="Y1574" s="58"/>
      <c r="Z1574" s="58"/>
    </row>
    <row r="1575" spans="1:26">
      <c r="A1575" s="50" t="s">
        <v>69</v>
      </c>
      <c r="B1575" s="51" t="s">
        <v>642</v>
      </c>
      <c r="C1575" s="52" t="s">
        <v>811</v>
      </c>
      <c r="D1575" s="53">
        <v>2003</v>
      </c>
      <c r="E1575" s="59">
        <v>269449663</v>
      </c>
      <c r="F1575" s="59">
        <v>315582735</v>
      </c>
      <c r="G1575" s="59">
        <v>566158179</v>
      </c>
      <c r="H1575" s="54">
        <v>0</v>
      </c>
      <c r="I1575" s="55">
        <f t="shared" si="72"/>
        <v>1151190577</v>
      </c>
      <c r="J1575" s="54">
        <v>-3</v>
      </c>
      <c r="K1575" s="56">
        <f t="shared" si="71"/>
        <v>1151190574</v>
      </c>
      <c r="L1575" s="37">
        <v>0</v>
      </c>
      <c r="M1575" s="79"/>
      <c r="N1575" s="79"/>
      <c r="O1575" s="38" t="str">
        <f>IF([1]totrevprm!O1576="","",[1]totrevprm!O1576)</f>
        <v/>
      </c>
      <c r="R1575" s="79"/>
      <c r="S1575" s="80"/>
      <c r="T1575" s="80"/>
      <c r="V1575" s="84" t="s">
        <v>735</v>
      </c>
      <c r="W1575" s="58"/>
      <c r="X1575" s="37">
        <f>10330209+63900</f>
        <v>10394109</v>
      </c>
      <c r="Y1575" s="85"/>
      <c r="Z1575" s="58"/>
    </row>
    <row r="1576" spans="1:26">
      <c r="A1576" s="50" t="s">
        <v>69</v>
      </c>
      <c r="B1576" s="51" t="s">
        <v>642</v>
      </c>
      <c r="C1576" s="52" t="s">
        <v>731</v>
      </c>
      <c r="D1576" s="53">
        <v>2004</v>
      </c>
      <c r="E1576" s="59">
        <v>306844117</v>
      </c>
      <c r="F1576" s="59">
        <v>294072377</v>
      </c>
      <c r="G1576" s="59">
        <v>603701228</v>
      </c>
      <c r="H1576" s="54">
        <v>0</v>
      </c>
      <c r="I1576" s="55">
        <f t="shared" si="72"/>
        <v>1204617722</v>
      </c>
      <c r="J1576" s="54">
        <v>-58874</v>
      </c>
      <c r="K1576" s="56">
        <f t="shared" si="71"/>
        <v>1204558848</v>
      </c>
      <c r="L1576" s="37">
        <v>0</v>
      </c>
      <c r="O1576" s="38" t="str">
        <f>IF([1]totrevprm!O1577="","",[1]totrevprm!O1577)</f>
        <v/>
      </c>
      <c r="T1576" s="68"/>
      <c r="V1576" s="86" t="s">
        <v>735</v>
      </c>
      <c r="W1576" s="58"/>
      <c r="X1576" s="37">
        <v>2329689</v>
      </c>
      <c r="Y1576" s="35"/>
      <c r="Z1576" s="58"/>
    </row>
    <row r="1577" spans="1:26">
      <c r="A1577" s="50" t="s">
        <v>69</v>
      </c>
      <c r="B1577" s="51" t="s">
        <v>642</v>
      </c>
      <c r="C1577" s="52"/>
      <c r="D1577" s="53">
        <v>2005</v>
      </c>
      <c r="E1577" s="59">
        <v>319199205</v>
      </c>
      <c r="F1577" s="59">
        <v>242601842</v>
      </c>
      <c r="G1577" s="59">
        <v>641529591.55999899</v>
      </c>
      <c r="H1577" s="54">
        <v>0</v>
      </c>
      <c r="I1577" s="55">
        <f t="shared" si="72"/>
        <v>1203330638.559999</v>
      </c>
      <c r="J1577" s="54">
        <v>-2</v>
      </c>
      <c r="K1577" s="56">
        <f t="shared" si="71"/>
        <v>1203330636.559999</v>
      </c>
      <c r="L1577" s="37">
        <v>0</v>
      </c>
      <c r="O1577" s="38" t="str">
        <f>IF([1]totrevprm!O1578="","",[1]totrevprm!O1578)</f>
        <v/>
      </c>
      <c r="T1577" s="68"/>
      <c r="V1577" s="86" t="s">
        <v>735</v>
      </c>
      <c r="W1577" s="58"/>
      <c r="X1577" s="37">
        <f>3238572+154227</f>
        <v>3392799</v>
      </c>
      <c r="Y1577" s="35"/>
      <c r="Z1577" s="58"/>
    </row>
    <row r="1578" spans="1:26">
      <c r="A1578" s="50" t="s">
        <v>69</v>
      </c>
      <c r="B1578" s="51" t="s">
        <v>642</v>
      </c>
      <c r="C1578" s="52"/>
      <c r="D1578" s="53">
        <v>2006</v>
      </c>
      <c r="E1578" s="37">
        <v>338323244</v>
      </c>
      <c r="F1578" s="37">
        <v>303115714</v>
      </c>
      <c r="G1578" s="37">
        <v>705336064</v>
      </c>
      <c r="H1578" s="37">
        <v>0</v>
      </c>
      <c r="I1578" s="55">
        <f t="shared" si="72"/>
        <v>1346775022</v>
      </c>
      <c r="J1578" s="54">
        <v>-392718</v>
      </c>
      <c r="K1578" s="56">
        <f t="shared" si="71"/>
        <v>1346382304</v>
      </c>
      <c r="L1578" s="37">
        <v>0</v>
      </c>
      <c r="O1578" s="38" t="str">
        <f>IF([1]totrevprm!O1579="","",[1]totrevprm!O1579)</f>
        <v/>
      </c>
      <c r="T1578" s="68"/>
      <c r="V1578" s="86" t="s">
        <v>735</v>
      </c>
      <c r="W1578" s="58"/>
      <c r="X1578" s="37">
        <v>0</v>
      </c>
      <c r="Y1578" s="35"/>
      <c r="Z1578" s="58"/>
    </row>
    <row r="1579" spans="1:26">
      <c r="A1579" s="50" t="s">
        <v>69</v>
      </c>
      <c r="B1579" s="51" t="s">
        <v>642</v>
      </c>
      <c r="C1579" s="52"/>
      <c r="D1579" s="53">
        <v>2007</v>
      </c>
      <c r="E1579" s="37">
        <v>371442131</v>
      </c>
      <c r="F1579" s="37">
        <v>321824767</v>
      </c>
      <c r="G1579" s="37">
        <v>758157353</v>
      </c>
      <c r="H1579" s="37">
        <v>0</v>
      </c>
      <c r="I1579" s="55">
        <f t="shared" si="72"/>
        <v>1451424251</v>
      </c>
      <c r="J1579" s="54">
        <v>-2</v>
      </c>
      <c r="K1579" s="56">
        <f t="shared" si="71"/>
        <v>1451424249</v>
      </c>
      <c r="L1579" s="37">
        <v>0</v>
      </c>
      <c r="O1579" s="38" t="str">
        <f>IF([1]totrevprm!O1580="","",[1]totrevprm!O1580)</f>
        <v/>
      </c>
      <c r="T1579" s="68"/>
      <c r="V1579" s="86" t="s">
        <v>735</v>
      </c>
      <c r="W1579" s="58"/>
      <c r="X1579" s="37">
        <v>3322340</v>
      </c>
      <c r="Y1579" s="35"/>
      <c r="Z1579" s="58"/>
    </row>
    <row r="1580" spans="1:26">
      <c r="A1580" s="50" t="s">
        <v>69</v>
      </c>
      <c r="B1580" s="51" t="s">
        <v>642</v>
      </c>
      <c r="C1580" s="52"/>
      <c r="D1580" s="53">
        <v>2008</v>
      </c>
      <c r="E1580" s="37">
        <v>417072791</v>
      </c>
      <c r="F1580" s="37">
        <v>391320986</v>
      </c>
      <c r="G1580" s="37">
        <v>789455310</v>
      </c>
      <c r="H1580" s="37">
        <v>0</v>
      </c>
      <c r="I1580" s="55">
        <f t="shared" si="72"/>
        <v>1597849087</v>
      </c>
      <c r="J1580" s="54">
        <v>-6169</v>
      </c>
      <c r="K1580" s="56">
        <f t="shared" si="71"/>
        <v>1597842918</v>
      </c>
      <c r="L1580" s="37">
        <v>0</v>
      </c>
      <c r="O1580" s="38" t="str">
        <f>IF([1]totrevprm!O1581="","",[1]totrevprm!O1581)</f>
        <v/>
      </c>
      <c r="T1580" s="68"/>
      <c r="V1580" s="86" t="s">
        <v>735</v>
      </c>
      <c r="W1580" s="58"/>
      <c r="X1580" s="37">
        <v>2791090</v>
      </c>
      <c r="Y1580" s="35"/>
      <c r="Z1580" s="58"/>
    </row>
    <row r="1581" spans="1:26">
      <c r="A1581" s="50" t="s">
        <v>69</v>
      </c>
      <c r="B1581" s="51" t="s">
        <v>642</v>
      </c>
      <c r="C1581" s="52"/>
      <c r="D1581" s="53">
        <v>2009</v>
      </c>
      <c r="E1581" s="37">
        <v>450007311</v>
      </c>
      <c r="F1581" s="37">
        <v>326903554</v>
      </c>
      <c r="G1581" s="37">
        <v>824663481</v>
      </c>
      <c r="H1581" s="37">
        <v>0</v>
      </c>
      <c r="I1581" s="55">
        <f t="shared" si="72"/>
        <v>1601574346</v>
      </c>
      <c r="J1581" s="54">
        <v>-3505</v>
      </c>
      <c r="K1581" s="56">
        <f t="shared" si="71"/>
        <v>1601570841</v>
      </c>
      <c r="L1581" s="37">
        <v>0</v>
      </c>
      <c r="O1581" s="38" t="str">
        <f>IF([1]totrevprm!O1582="","",[1]totrevprm!O1582)</f>
        <v/>
      </c>
      <c r="T1581" s="68"/>
      <c r="V1581" s="86" t="s">
        <v>735</v>
      </c>
      <c r="W1581" s="58"/>
      <c r="X1581" s="37">
        <v>3062844</v>
      </c>
      <c r="Y1581" s="35"/>
      <c r="Z1581" s="58"/>
    </row>
    <row r="1582" spans="1:26">
      <c r="A1582" s="50" t="s">
        <v>69</v>
      </c>
      <c r="B1582" s="51" t="s">
        <v>642</v>
      </c>
      <c r="C1582" s="52"/>
      <c r="D1582" s="53">
        <v>2010</v>
      </c>
      <c r="E1582" s="37">
        <v>478518624</v>
      </c>
      <c r="F1582" s="37">
        <v>300380731</v>
      </c>
      <c r="G1582" s="37">
        <v>874503936</v>
      </c>
      <c r="H1582" s="37">
        <v>0</v>
      </c>
      <c r="I1582" s="55">
        <f t="shared" si="72"/>
        <v>1653403291</v>
      </c>
      <c r="J1582" s="54">
        <v>-1612</v>
      </c>
      <c r="K1582" s="56">
        <f t="shared" si="71"/>
        <v>1653401679</v>
      </c>
      <c r="L1582" s="37">
        <v>0</v>
      </c>
      <c r="O1582" s="38" t="str">
        <f>IF([1]totrevprm!O1583="","",[1]totrevprm!O1583)</f>
        <v/>
      </c>
      <c r="T1582" s="68"/>
      <c r="V1582" s="38"/>
      <c r="W1582" s="58"/>
      <c r="Y1582" s="35"/>
      <c r="Z1582" s="58"/>
    </row>
    <row r="1583" spans="1:26">
      <c r="A1583" s="50" t="s">
        <v>69</v>
      </c>
      <c r="B1583" s="51" t="s">
        <v>642</v>
      </c>
      <c r="C1583" s="52"/>
      <c r="D1583" s="53">
        <v>2011</v>
      </c>
      <c r="E1583" s="37">
        <v>503248281</v>
      </c>
      <c r="F1583" s="37">
        <v>308337154</v>
      </c>
      <c r="G1583" s="37">
        <v>887867281.20000005</v>
      </c>
      <c r="H1583" s="37">
        <v>0</v>
      </c>
      <c r="I1583" s="55">
        <f t="shared" si="72"/>
        <v>1699452716.2</v>
      </c>
      <c r="J1583" s="54">
        <v>-1107</v>
      </c>
      <c r="K1583" s="56">
        <f t="shared" si="71"/>
        <v>1699451609.2</v>
      </c>
      <c r="L1583" s="37">
        <v>0</v>
      </c>
      <c r="O1583" s="38" t="str">
        <f>IF([1]totrevprm!O1584="","",[1]totrevprm!O1584)</f>
        <v/>
      </c>
      <c r="T1583" s="68"/>
      <c r="V1583" s="38"/>
      <c r="W1583" s="58"/>
      <c r="Y1583" s="35"/>
      <c r="Z1583" s="58"/>
    </row>
    <row r="1584" spans="1:26">
      <c r="A1584" s="50" t="s">
        <v>69</v>
      </c>
      <c r="B1584" s="51" t="s">
        <v>642</v>
      </c>
      <c r="C1584" s="52"/>
      <c r="D1584" s="53">
        <v>2012</v>
      </c>
      <c r="E1584" s="37">
        <v>548865772</v>
      </c>
      <c r="F1584" s="37">
        <v>360400578</v>
      </c>
      <c r="G1584" s="37">
        <v>955893219</v>
      </c>
      <c r="H1584" s="37">
        <v>0</v>
      </c>
      <c r="I1584" s="55">
        <f t="shared" si="72"/>
        <v>1865159569</v>
      </c>
      <c r="J1584" s="54">
        <v>-1103</v>
      </c>
      <c r="K1584" s="56">
        <f t="shared" si="71"/>
        <v>1865158466</v>
      </c>
      <c r="L1584" s="37">
        <v>0</v>
      </c>
      <c r="O1584" s="38" t="str">
        <f>IF([1]totrevprm!O1585="","",[1]totrevprm!O1585)</f>
        <v/>
      </c>
      <c r="V1584" s="38"/>
      <c r="W1584" s="58"/>
      <c r="Y1584" s="35"/>
      <c r="Z1584" s="58"/>
    </row>
    <row r="1585" spans="1:26">
      <c r="A1585" s="50" t="s">
        <v>69</v>
      </c>
      <c r="B1585" s="51" t="s">
        <v>642</v>
      </c>
      <c r="C1585" s="52"/>
      <c r="D1585" s="53">
        <v>2013</v>
      </c>
      <c r="E1585" s="37">
        <v>551188249</v>
      </c>
      <c r="F1585" s="37">
        <v>373533466</v>
      </c>
      <c r="G1585" s="37">
        <v>895491424</v>
      </c>
      <c r="H1585" s="37">
        <v>0</v>
      </c>
      <c r="I1585" s="55">
        <f t="shared" si="72"/>
        <v>1820213139</v>
      </c>
      <c r="J1585" s="54">
        <v>-3</v>
      </c>
      <c r="K1585" s="56">
        <f t="shared" si="71"/>
        <v>1820213136</v>
      </c>
      <c r="L1585" s="37">
        <v>0</v>
      </c>
      <c r="O1585" s="38" t="str">
        <f>IF([1]totrevprm!O1586="","",[1]totrevprm!O1586)</f>
        <v/>
      </c>
      <c r="V1585" s="38"/>
      <c r="W1585" s="58"/>
      <c r="Y1585" s="35"/>
      <c r="Z1585" s="58"/>
    </row>
    <row r="1586" spans="1:26">
      <c r="A1586" s="50" t="s">
        <v>69</v>
      </c>
      <c r="B1586" s="51" t="s">
        <v>642</v>
      </c>
      <c r="C1586" s="52"/>
      <c r="D1586" s="53">
        <v>2014</v>
      </c>
      <c r="E1586" s="37">
        <v>580195770</v>
      </c>
      <c r="F1586" s="37">
        <v>405284055</v>
      </c>
      <c r="G1586" s="37">
        <v>917815928.23000002</v>
      </c>
      <c r="H1586" s="37">
        <v>0</v>
      </c>
      <c r="I1586" s="55">
        <f t="shared" si="72"/>
        <v>1903295753.23</v>
      </c>
      <c r="J1586" s="54">
        <v>-51</v>
      </c>
      <c r="K1586" s="56">
        <f t="shared" si="71"/>
        <v>1903295702.23</v>
      </c>
      <c r="L1586" s="37">
        <v>0</v>
      </c>
      <c r="O1586" s="38" t="str">
        <f>IF([1]totrevprm!O1587="","",[1]totrevprm!O1587)</f>
        <v/>
      </c>
      <c r="V1586" s="38"/>
      <c r="W1586" s="58"/>
      <c r="Y1586" s="35"/>
      <c r="Z1586" s="58"/>
    </row>
    <row r="1587" spans="1:26">
      <c r="A1587" s="50" t="s">
        <v>69</v>
      </c>
      <c r="B1587" s="51" t="s">
        <v>642</v>
      </c>
      <c r="C1587" s="52"/>
      <c r="D1587" s="53">
        <v>2015</v>
      </c>
      <c r="E1587" s="37">
        <v>694946343</v>
      </c>
      <c r="F1587" s="37">
        <v>462797225</v>
      </c>
      <c r="G1587" s="37">
        <v>1012972553</v>
      </c>
      <c r="H1587" s="37">
        <v>0</v>
      </c>
      <c r="I1587" s="55">
        <f t="shared" si="72"/>
        <v>2170716121</v>
      </c>
      <c r="J1587" s="54">
        <v>-105998</v>
      </c>
      <c r="K1587" s="56">
        <f t="shared" si="71"/>
        <v>2170610123</v>
      </c>
      <c r="L1587" s="37">
        <v>0</v>
      </c>
      <c r="O1587" s="38" t="str">
        <f>IF([1]totrevprm!O1588="","",[1]totrevprm!O1588)</f>
        <v/>
      </c>
      <c r="P1587" s="35">
        <v>56893493.925463997</v>
      </c>
      <c r="Q1587" s="35">
        <v>61692045.318358213</v>
      </c>
      <c r="V1587" s="38"/>
      <c r="W1587" s="58"/>
      <c r="Y1587" s="35"/>
      <c r="Z1587" s="58"/>
    </row>
    <row r="1588" spans="1:26">
      <c r="A1588" s="50" t="s">
        <v>69</v>
      </c>
      <c r="B1588" s="51" t="s">
        <v>642</v>
      </c>
      <c r="C1588" s="52"/>
      <c r="D1588" s="53">
        <v>2016</v>
      </c>
      <c r="E1588" s="37">
        <v>664190049</v>
      </c>
      <c r="F1588" s="37">
        <v>452220130</v>
      </c>
      <c r="G1588" s="37">
        <v>1059326169</v>
      </c>
      <c r="H1588" s="37">
        <v>0</v>
      </c>
      <c r="I1588" s="55">
        <f t="shared" si="72"/>
        <v>2175736348</v>
      </c>
      <c r="J1588" s="54">
        <v>-2367</v>
      </c>
      <c r="K1588" s="56">
        <f t="shared" si="71"/>
        <v>2175733981</v>
      </c>
      <c r="L1588" s="37">
        <v>0</v>
      </c>
      <c r="O1588" s="38" t="str">
        <f>IF([1]totrevprm!O1589="","",[1]totrevprm!O1589)</f>
        <v/>
      </c>
      <c r="P1588" s="35">
        <v>58877551.39420671</v>
      </c>
      <c r="Q1588" s="35">
        <v>63190595.829999998</v>
      </c>
      <c r="V1588" s="38"/>
      <c r="W1588" s="58"/>
      <c r="Y1588" s="35"/>
      <c r="Z1588" s="58"/>
    </row>
    <row r="1589" spans="1:26">
      <c r="A1589" s="50" t="s">
        <v>69</v>
      </c>
      <c r="B1589" s="51" t="s">
        <v>642</v>
      </c>
      <c r="C1589" s="52"/>
      <c r="D1589" s="53">
        <v>2017</v>
      </c>
      <c r="E1589" s="37">
        <v>765699291</v>
      </c>
      <c r="F1589" s="37">
        <v>431035987</v>
      </c>
      <c r="G1589" s="37">
        <v>1136708087.9200001</v>
      </c>
      <c r="H1589" s="37">
        <v>0</v>
      </c>
      <c r="I1589" s="55">
        <f t="shared" si="72"/>
        <v>2333443365.9200001</v>
      </c>
      <c r="J1589" s="54">
        <v>-35056</v>
      </c>
      <c r="K1589" s="56">
        <f t="shared" si="71"/>
        <v>2333408309.9200001</v>
      </c>
      <c r="L1589" s="37">
        <v>0</v>
      </c>
      <c r="O1589" s="38" t="str">
        <f>IF([1]totrevprm!O1590="","",[1]totrevprm!O1590)</f>
        <v/>
      </c>
      <c r="P1589" s="35">
        <v>61039735.737293884</v>
      </c>
      <c r="Q1589" s="35">
        <v>63663958.829055123</v>
      </c>
      <c r="V1589" s="38"/>
      <c r="W1589" s="58"/>
      <c r="Y1589" s="35"/>
      <c r="Z1589" s="58"/>
    </row>
    <row r="1590" spans="1:26">
      <c r="A1590" s="50" t="s">
        <v>69</v>
      </c>
      <c r="B1590" s="51" t="s">
        <v>642</v>
      </c>
      <c r="C1590" s="52"/>
      <c r="D1590" s="53">
        <v>2018</v>
      </c>
      <c r="E1590" s="37">
        <v>768013865</v>
      </c>
      <c r="F1590" s="37">
        <v>485892577</v>
      </c>
      <c r="G1590" s="37">
        <v>1156775340.03</v>
      </c>
      <c r="H1590" s="37">
        <v>0</v>
      </c>
      <c r="I1590" s="55">
        <f t="shared" si="72"/>
        <v>2410681782.0299997</v>
      </c>
      <c r="J1590" s="54">
        <v>-30972</v>
      </c>
      <c r="K1590" s="56">
        <f t="shared" si="71"/>
        <v>2410650810.0299997</v>
      </c>
      <c r="L1590" s="60">
        <v>0</v>
      </c>
      <c r="O1590" s="38" t="str">
        <f>IF([1]totrevprm!O1591="","",[1]totrevprm!O1591)</f>
        <v/>
      </c>
      <c r="P1590" s="35">
        <v>64918033.39285861</v>
      </c>
      <c r="Q1590" s="35">
        <v>61674454.694906414</v>
      </c>
      <c r="V1590" s="38"/>
      <c r="W1590" s="58"/>
      <c r="Y1590" s="35"/>
      <c r="Z1590" s="58"/>
    </row>
    <row r="1591" spans="1:26">
      <c r="A1591" s="50" t="s">
        <v>69</v>
      </c>
      <c r="B1591" s="51" t="s">
        <v>642</v>
      </c>
      <c r="C1591" s="52"/>
      <c r="D1591" s="53">
        <v>2019</v>
      </c>
      <c r="E1591" s="37">
        <v>809592750</v>
      </c>
      <c r="F1591" s="37">
        <v>479835805</v>
      </c>
      <c r="G1591" s="37">
        <v>1152094736.8814001</v>
      </c>
      <c r="H1591" s="37">
        <v>0</v>
      </c>
      <c r="I1591" s="55">
        <f t="shared" si="72"/>
        <v>2441523291.8814001</v>
      </c>
      <c r="J1591" s="54">
        <v>-1537316</v>
      </c>
      <c r="K1591" s="56">
        <f t="shared" si="71"/>
        <v>2439985975.8814001</v>
      </c>
      <c r="L1591" s="60">
        <v>0</v>
      </c>
      <c r="O1591" s="38" t="str">
        <f>IF([1]totrevprm!O1592="","",[1]totrevprm!O1592)</f>
        <v/>
      </c>
      <c r="P1591" s="35">
        <v>70585965.314281672</v>
      </c>
      <c r="Q1591" s="35">
        <v>66296662.82</v>
      </c>
      <c r="V1591" s="38"/>
      <c r="W1591" s="58"/>
      <c r="Y1591" s="35"/>
      <c r="Z1591" s="58"/>
    </row>
    <row r="1592" spans="1:26">
      <c r="A1592" s="50" t="s">
        <v>69</v>
      </c>
      <c r="B1592" s="51" t="s">
        <v>642</v>
      </c>
      <c r="C1592" s="52"/>
      <c r="D1592" s="53">
        <v>2020</v>
      </c>
      <c r="E1592" s="37">
        <v>963966440</v>
      </c>
      <c r="F1592" s="37">
        <v>503466608</v>
      </c>
      <c r="G1592" s="37">
        <v>1173551693</v>
      </c>
      <c r="H1592" s="37">
        <v>0</v>
      </c>
      <c r="I1592" s="55">
        <f t="shared" si="72"/>
        <v>2640984741</v>
      </c>
      <c r="J1592" s="54">
        <v>-3</v>
      </c>
      <c r="K1592" s="56">
        <f t="shared" si="71"/>
        <v>2640984738</v>
      </c>
      <c r="L1592" s="60">
        <v>0</v>
      </c>
      <c r="M1592" s="67" t="s">
        <v>812</v>
      </c>
      <c r="N1592" t="s">
        <v>708</v>
      </c>
      <c r="O1592" s="38" t="str">
        <f>IF([1]totrevprm!O1593="","",[1]totrevprm!O1593)</f>
        <v>Yes</v>
      </c>
      <c r="P1592" s="35">
        <v>72008905</v>
      </c>
      <c r="Q1592" s="35">
        <v>64188631</v>
      </c>
      <c r="V1592" s="38"/>
      <c r="W1592" s="58"/>
      <c r="Y1592" s="35"/>
      <c r="Z1592" s="58"/>
    </row>
    <row r="1593" spans="1:26">
      <c r="A1593" s="50" t="s">
        <v>69</v>
      </c>
      <c r="B1593" s="51" t="s">
        <v>642</v>
      </c>
      <c r="C1593" s="52"/>
      <c r="D1593" s="53">
        <v>2021</v>
      </c>
      <c r="E1593" s="37">
        <v>1050032913</v>
      </c>
      <c r="F1593" s="37">
        <v>633708585</v>
      </c>
      <c r="G1593" s="37">
        <v>1210769841</v>
      </c>
      <c r="H1593" s="37">
        <v>0</v>
      </c>
      <c r="I1593" s="55">
        <f t="shared" si="72"/>
        <v>2894511339</v>
      </c>
      <c r="J1593" s="60">
        <v>-2</v>
      </c>
      <c r="K1593" s="56">
        <f t="shared" si="71"/>
        <v>2894511337</v>
      </c>
      <c r="L1593" s="60">
        <v>0</v>
      </c>
      <c r="M1593" s="67" t="s">
        <v>812</v>
      </c>
      <c r="N1593" t="s">
        <v>708</v>
      </c>
      <c r="O1593" s="38"/>
      <c r="P1593" s="35">
        <v>67250469.289999992</v>
      </c>
      <c r="Q1593" s="35">
        <v>66836581</v>
      </c>
      <c r="V1593" s="38"/>
      <c r="W1593" s="58"/>
      <c r="Y1593" s="35"/>
      <c r="Z1593" s="58"/>
    </row>
    <row r="1594" spans="1:26">
      <c r="A1594" s="50" t="s">
        <v>69</v>
      </c>
      <c r="B1594" s="51" t="s">
        <v>642</v>
      </c>
      <c r="C1594" s="52"/>
      <c r="D1594" s="53">
        <v>2022</v>
      </c>
      <c r="E1594" s="37">
        <v>848237122</v>
      </c>
      <c r="F1594" s="37">
        <v>657778843</v>
      </c>
      <c r="G1594" s="37">
        <v>1237344825</v>
      </c>
      <c r="H1594" s="37">
        <v>0</v>
      </c>
      <c r="I1594" s="55">
        <f t="shared" si="72"/>
        <v>2743360790</v>
      </c>
      <c r="J1594" s="60">
        <v>-160143</v>
      </c>
      <c r="K1594" s="56">
        <f t="shared" si="71"/>
        <v>2743200647</v>
      </c>
      <c r="L1594" s="60">
        <v>0</v>
      </c>
      <c r="M1594" s="67" t="s">
        <v>812</v>
      </c>
      <c r="N1594" t="s">
        <v>708</v>
      </c>
      <c r="O1594" s="38" t="str">
        <f>IF([1]totrevprm!O1597="","",[1]totrevprm!O1597)</f>
        <v/>
      </c>
      <c r="P1594" s="60">
        <v>72847879</v>
      </c>
      <c r="Q1594" s="60">
        <v>68083882</v>
      </c>
    </row>
    <row r="1595" spans="1:26">
      <c r="A1595" s="50" t="s">
        <v>69</v>
      </c>
      <c r="B1595" s="51" t="s">
        <v>642</v>
      </c>
      <c r="C1595" s="52"/>
      <c r="D1595" s="53">
        <v>2023</v>
      </c>
      <c r="E1595" s="37">
        <v>987319685</v>
      </c>
      <c r="F1595" s="37">
        <v>884224453.73749995</v>
      </c>
      <c r="G1595" s="37">
        <v>1690312294.0699999</v>
      </c>
      <c r="H1595" s="37">
        <v>0</v>
      </c>
      <c r="I1595" s="55">
        <f t="shared" si="72"/>
        <v>3561856432.8074999</v>
      </c>
      <c r="J1595" s="60">
        <v>-16203</v>
      </c>
      <c r="K1595" s="56">
        <f t="shared" si="71"/>
        <v>3561840229.8074999</v>
      </c>
      <c r="L1595" s="37">
        <v>0</v>
      </c>
      <c r="M1595" s="67" t="s">
        <v>812</v>
      </c>
      <c r="O1595" s="38"/>
      <c r="P1595" s="60">
        <v>76297107.920000002</v>
      </c>
      <c r="Q1595" s="60">
        <v>68879409</v>
      </c>
    </row>
    <row r="1596" spans="1:26">
      <c r="A1596" s="50"/>
      <c r="B1596" s="52"/>
      <c r="C1596" s="52"/>
      <c r="E1596" s="54"/>
      <c r="F1596" s="54"/>
      <c r="G1596" s="54"/>
      <c r="H1596" s="54"/>
      <c r="I1596" s="55"/>
      <c r="K1596" s="65"/>
      <c r="L1596" s="37"/>
      <c r="O1596" s="38"/>
    </row>
    <row r="1597" spans="1:26">
      <c r="A1597" s="50" t="s">
        <v>70</v>
      </c>
      <c r="B1597" s="51" t="s">
        <v>482</v>
      </c>
      <c r="C1597" s="52" t="s">
        <v>772</v>
      </c>
      <c r="D1597" s="53">
        <v>1988</v>
      </c>
      <c r="E1597" s="54">
        <v>1094456855</v>
      </c>
      <c r="F1597" s="54">
        <v>630847662</v>
      </c>
      <c r="G1597" s="54">
        <v>1132760117</v>
      </c>
      <c r="H1597" s="54">
        <v>0</v>
      </c>
      <c r="I1597" s="55">
        <f t="shared" si="72"/>
        <v>2858064634</v>
      </c>
      <c r="J1597" s="54">
        <v>-913736</v>
      </c>
      <c r="K1597" s="56">
        <f>SUM(I1597:J1597)</f>
        <v>2857150898</v>
      </c>
      <c r="L1597" s="37">
        <v>42513662</v>
      </c>
      <c r="M1597" s="67" t="s">
        <v>773</v>
      </c>
      <c r="N1597" t="s">
        <v>708</v>
      </c>
      <c r="O1597" s="38" t="str">
        <f>IF([1]totrevprm!O1598="","",[1]totrevprm!O1598)</f>
        <v/>
      </c>
    </row>
    <row r="1598" spans="1:26">
      <c r="A1598" s="50" t="s">
        <v>70</v>
      </c>
      <c r="B1598" s="51" t="s">
        <v>482</v>
      </c>
      <c r="C1598" s="52" t="s">
        <v>731</v>
      </c>
      <c r="D1598" s="53">
        <v>1989</v>
      </c>
      <c r="E1598" s="54">
        <v>1103309502</v>
      </c>
      <c r="F1598" s="54">
        <v>695982293</v>
      </c>
      <c r="G1598" s="54">
        <v>1181216142</v>
      </c>
      <c r="H1598" s="54">
        <v>0</v>
      </c>
      <c r="I1598" s="55">
        <f t="shared" si="72"/>
        <v>2980507937</v>
      </c>
      <c r="J1598" s="54">
        <v>-4106525</v>
      </c>
      <c r="K1598" s="56">
        <f t="shared" ref="K1598:K1632" si="73">SUM(I1598:J1598)</f>
        <v>2976401412</v>
      </c>
      <c r="L1598" s="37">
        <v>59314805</v>
      </c>
      <c r="M1598" s="67" t="s">
        <v>773</v>
      </c>
      <c r="N1598" t="s">
        <v>708</v>
      </c>
      <c r="O1598" s="38" t="str">
        <f>IF([1]totrevprm!O1599="","",[1]totrevprm!O1599)</f>
        <v/>
      </c>
    </row>
    <row r="1599" spans="1:26">
      <c r="A1599" s="50" t="s">
        <v>70</v>
      </c>
      <c r="B1599" s="51" t="s">
        <v>482</v>
      </c>
      <c r="C1599" s="52" t="s">
        <v>731</v>
      </c>
      <c r="D1599" s="53">
        <v>1990</v>
      </c>
      <c r="E1599" s="54">
        <v>1155059260</v>
      </c>
      <c r="F1599" s="54">
        <v>835584984.44000006</v>
      </c>
      <c r="G1599" s="54">
        <v>1212050455</v>
      </c>
      <c r="H1599" s="54">
        <v>0</v>
      </c>
      <c r="I1599" s="55">
        <f t="shared" si="72"/>
        <v>3202694699.4400001</v>
      </c>
      <c r="J1599" s="54">
        <v>-3790515</v>
      </c>
      <c r="K1599" s="56">
        <f t="shared" si="73"/>
        <v>3198904184.4400001</v>
      </c>
      <c r="L1599" s="37">
        <v>59500579</v>
      </c>
      <c r="M1599" s="67" t="s">
        <v>773</v>
      </c>
      <c r="N1599" t="s">
        <v>708</v>
      </c>
      <c r="O1599" s="38" t="str">
        <f>IF([1]totrevprm!O1600="","",[1]totrevprm!O1600)</f>
        <v/>
      </c>
    </row>
    <row r="1600" spans="1:26">
      <c r="A1600" s="50" t="s">
        <v>70</v>
      </c>
      <c r="B1600" s="51" t="s">
        <v>482</v>
      </c>
      <c r="C1600" s="52" t="s">
        <v>731</v>
      </c>
      <c r="D1600" s="53">
        <v>1991</v>
      </c>
      <c r="E1600" s="54">
        <v>1255918023</v>
      </c>
      <c r="F1600" s="54">
        <v>763382831</v>
      </c>
      <c r="G1600" s="54">
        <v>1305663313</v>
      </c>
      <c r="H1600" s="54">
        <v>0</v>
      </c>
      <c r="I1600" s="55">
        <f t="shared" si="72"/>
        <v>3324964167</v>
      </c>
      <c r="J1600" s="54">
        <v>-654225</v>
      </c>
      <c r="K1600" s="56">
        <f t="shared" si="73"/>
        <v>3324309942</v>
      </c>
      <c r="L1600" s="37">
        <v>67284316</v>
      </c>
      <c r="M1600" s="67" t="s">
        <v>773</v>
      </c>
      <c r="N1600" t="s">
        <v>708</v>
      </c>
      <c r="O1600" s="38" t="str">
        <f>IF([1]totrevprm!O1601="","",[1]totrevprm!O1601)</f>
        <v/>
      </c>
    </row>
    <row r="1601" spans="1:26">
      <c r="A1601" s="50" t="s">
        <v>70</v>
      </c>
      <c r="B1601" s="51" t="s">
        <v>482</v>
      </c>
      <c r="C1601" s="52" t="s">
        <v>731</v>
      </c>
      <c r="D1601" s="53">
        <v>1992</v>
      </c>
      <c r="E1601" s="54">
        <v>1344609250</v>
      </c>
      <c r="F1601" s="54">
        <v>840424831.96000004</v>
      </c>
      <c r="G1601" s="54">
        <v>1368966567</v>
      </c>
      <c r="H1601" s="54">
        <v>0</v>
      </c>
      <c r="I1601" s="55">
        <f t="shared" si="72"/>
        <v>3554000648.96</v>
      </c>
      <c r="J1601" s="54">
        <v>-2707749</v>
      </c>
      <c r="K1601" s="56">
        <f t="shared" si="73"/>
        <v>3551292899.96</v>
      </c>
      <c r="L1601" s="37">
        <v>83202481</v>
      </c>
      <c r="M1601" s="67" t="s">
        <v>773</v>
      </c>
      <c r="N1601" t="s">
        <v>708</v>
      </c>
      <c r="O1601" s="38" t="str">
        <f>IF([1]totrevprm!O1602="","",[1]totrevprm!O1602)</f>
        <v/>
      </c>
    </row>
    <row r="1602" spans="1:26">
      <c r="A1602" s="50" t="s">
        <v>70</v>
      </c>
      <c r="B1602" s="51" t="s">
        <v>482</v>
      </c>
      <c r="C1602" s="52" t="s">
        <v>731</v>
      </c>
      <c r="D1602" s="53">
        <v>1993</v>
      </c>
      <c r="E1602" s="54">
        <v>1400980664</v>
      </c>
      <c r="F1602" s="54">
        <v>883362163</v>
      </c>
      <c r="G1602" s="54">
        <v>1483713333</v>
      </c>
      <c r="H1602" s="54">
        <v>0</v>
      </c>
      <c r="I1602" s="55">
        <f t="shared" si="72"/>
        <v>3768056160</v>
      </c>
      <c r="J1602" s="54">
        <v>-2595297</v>
      </c>
      <c r="K1602" s="56">
        <f t="shared" si="73"/>
        <v>3765460863</v>
      </c>
      <c r="L1602" s="37">
        <v>74961477</v>
      </c>
      <c r="M1602" s="67" t="s">
        <v>773</v>
      </c>
      <c r="N1602" t="s">
        <v>708</v>
      </c>
      <c r="O1602" s="38" t="str">
        <f>IF([1]totrevprm!O1603="","",[1]totrevprm!O1603)</f>
        <v/>
      </c>
    </row>
    <row r="1603" spans="1:26">
      <c r="A1603" s="50" t="s">
        <v>70</v>
      </c>
      <c r="B1603" s="51" t="s">
        <v>482</v>
      </c>
      <c r="C1603" s="52" t="s">
        <v>731</v>
      </c>
      <c r="D1603" s="53">
        <v>1994</v>
      </c>
      <c r="E1603" s="54">
        <v>1560367985</v>
      </c>
      <c r="F1603" s="54">
        <v>1037462461</v>
      </c>
      <c r="G1603" s="54">
        <v>1549027334</v>
      </c>
      <c r="H1603" s="54">
        <v>0</v>
      </c>
      <c r="I1603" s="55">
        <f t="shared" si="72"/>
        <v>4146857780</v>
      </c>
      <c r="J1603" s="54">
        <v>-15140497</v>
      </c>
      <c r="K1603" s="56">
        <f t="shared" si="73"/>
        <v>4131717283</v>
      </c>
      <c r="L1603" s="37">
        <v>82789359</v>
      </c>
      <c r="M1603" s="67" t="s">
        <v>773</v>
      </c>
      <c r="N1603" t="s">
        <v>708</v>
      </c>
      <c r="O1603" s="38" t="str">
        <f>IF([1]totrevprm!O1604="","",[1]totrevprm!O1604)</f>
        <v/>
      </c>
    </row>
    <row r="1604" spans="1:26">
      <c r="A1604" s="50" t="s">
        <v>70</v>
      </c>
      <c r="B1604" s="51" t="s">
        <v>482</v>
      </c>
      <c r="C1604" s="52" t="s">
        <v>731</v>
      </c>
      <c r="D1604" s="53">
        <v>1995</v>
      </c>
      <c r="E1604" s="54">
        <v>1727962837</v>
      </c>
      <c r="F1604" s="54">
        <v>1047808902</v>
      </c>
      <c r="G1604" s="54">
        <v>3719779960</v>
      </c>
      <c r="H1604" s="54">
        <v>0</v>
      </c>
      <c r="I1604" s="55">
        <f t="shared" si="72"/>
        <v>6495551699</v>
      </c>
      <c r="J1604" s="54">
        <v>-1477615</v>
      </c>
      <c r="K1604" s="56">
        <f t="shared" si="73"/>
        <v>6494074084</v>
      </c>
      <c r="L1604" s="37">
        <v>91703614</v>
      </c>
      <c r="M1604" s="67" t="s">
        <v>773</v>
      </c>
      <c r="N1604" t="s">
        <v>708</v>
      </c>
      <c r="O1604" s="38" t="str">
        <f>IF([1]totrevprm!O1605="","",[1]totrevprm!O1605)</f>
        <v/>
      </c>
    </row>
    <row r="1605" spans="1:26">
      <c r="A1605" s="50" t="s">
        <v>70</v>
      </c>
      <c r="B1605" s="51" t="s">
        <v>482</v>
      </c>
      <c r="C1605" s="52" t="s">
        <v>731</v>
      </c>
      <c r="D1605" s="53">
        <v>1996</v>
      </c>
      <c r="E1605" s="54">
        <v>1607097663</v>
      </c>
      <c r="F1605" s="54">
        <v>899183122</v>
      </c>
      <c r="G1605" s="54">
        <v>3042149224</v>
      </c>
      <c r="H1605" s="54">
        <v>0</v>
      </c>
      <c r="I1605" s="55">
        <f t="shared" si="72"/>
        <v>5548430009</v>
      </c>
      <c r="J1605" s="54">
        <v>-8491527</v>
      </c>
      <c r="K1605" s="56">
        <f t="shared" si="73"/>
        <v>5539938482</v>
      </c>
      <c r="L1605" s="37">
        <v>71669381</v>
      </c>
      <c r="M1605" s="67" t="s">
        <v>773</v>
      </c>
      <c r="N1605" t="s">
        <v>708</v>
      </c>
      <c r="O1605" s="38" t="str">
        <f>IF([1]totrevprm!O1606="","",[1]totrevprm!O1606)</f>
        <v/>
      </c>
    </row>
    <row r="1606" spans="1:26">
      <c r="A1606" s="50" t="s">
        <v>70</v>
      </c>
      <c r="B1606" s="51" t="s">
        <v>482</v>
      </c>
      <c r="C1606" s="52" t="s">
        <v>731</v>
      </c>
      <c r="D1606" s="53">
        <v>1997</v>
      </c>
      <c r="E1606" s="54">
        <v>1675851142</v>
      </c>
      <c r="F1606" s="54">
        <v>1050846109</v>
      </c>
      <c r="G1606" s="54">
        <v>2399520536</v>
      </c>
      <c r="H1606" s="54">
        <v>0</v>
      </c>
      <c r="I1606" s="55">
        <f t="shared" si="72"/>
        <v>5126217787</v>
      </c>
      <c r="J1606" s="54">
        <v>-1207239</v>
      </c>
      <c r="K1606" s="56">
        <f t="shared" si="73"/>
        <v>5125010548</v>
      </c>
      <c r="L1606" s="37">
        <v>74931317</v>
      </c>
      <c r="M1606" s="67" t="s">
        <v>773</v>
      </c>
      <c r="N1606" t="s">
        <v>708</v>
      </c>
      <c r="O1606" s="38" t="str">
        <f>IF([1]totrevprm!O1607="","",[1]totrevprm!O1607)</f>
        <v/>
      </c>
    </row>
    <row r="1607" spans="1:26">
      <c r="A1607" s="50" t="s">
        <v>70</v>
      </c>
      <c r="B1607" s="51" t="s">
        <v>482</v>
      </c>
      <c r="C1607" s="52" t="s">
        <v>731</v>
      </c>
      <c r="D1607" s="53">
        <v>1998</v>
      </c>
      <c r="E1607" s="54">
        <v>1751128399</v>
      </c>
      <c r="F1607" s="54">
        <v>1054235470</v>
      </c>
      <c r="G1607" s="54">
        <v>2446290662</v>
      </c>
      <c r="H1607" s="54">
        <v>0</v>
      </c>
      <c r="I1607" s="55">
        <f t="shared" si="72"/>
        <v>5251654531</v>
      </c>
      <c r="J1607" s="54">
        <v>-868291</v>
      </c>
      <c r="K1607" s="56">
        <f t="shared" si="73"/>
        <v>5250786240</v>
      </c>
      <c r="L1607" s="37">
        <v>56840224</v>
      </c>
      <c r="M1607" s="67" t="s">
        <v>773</v>
      </c>
      <c r="N1607" t="s">
        <v>708</v>
      </c>
      <c r="O1607" s="38" t="str">
        <f>IF([1]totrevprm!O1608="","",[1]totrevprm!O1608)</f>
        <v/>
      </c>
    </row>
    <row r="1608" spans="1:26">
      <c r="A1608" s="50" t="s">
        <v>70</v>
      </c>
      <c r="B1608" s="51" t="s">
        <v>482</v>
      </c>
      <c r="C1608" s="52" t="s">
        <v>731</v>
      </c>
      <c r="D1608" s="53">
        <v>1999</v>
      </c>
      <c r="E1608" s="54">
        <v>2047396226</v>
      </c>
      <c r="F1608" s="54">
        <v>1504172662</v>
      </c>
      <c r="G1608" s="54">
        <v>2691537939</v>
      </c>
      <c r="H1608" s="54">
        <v>0</v>
      </c>
      <c r="I1608" s="55">
        <f t="shared" si="72"/>
        <v>6243106827</v>
      </c>
      <c r="J1608" s="54">
        <v>-1000005</v>
      </c>
      <c r="K1608" s="56">
        <f t="shared" si="73"/>
        <v>6242106822</v>
      </c>
      <c r="L1608" s="37">
        <v>59059716</v>
      </c>
      <c r="M1608" s="67" t="s">
        <v>773</v>
      </c>
      <c r="N1608" t="s">
        <v>708</v>
      </c>
      <c r="O1608" s="38" t="str">
        <f>IF([1]totrevprm!O1609="","",[1]totrevprm!O1609)</f>
        <v/>
      </c>
    </row>
    <row r="1609" spans="1:26">
      <c r="A1609" s="50" t="s">
        <v>70</v>
      </c>
      <c r="B1609" s="51" t="s">
        <v>482</v>
      </c>
      <c r="C1609" s="52" t="s">
        <v>731</v>
      </c>
      <c r="D1609" s="53">
        <v>2000</v>
      </c>
      <c r="E1609" s="54">
        <v>1941843631</v>
      </c>
      <c r="F1609" s="54">
        <v>1993897874</v>
      </c>
      <c r="G1609" s="54">
        <v>2734710007</v>
      </c>
      <c r="H1609" s="54">
        <v>0</v>
      </c>
      <c r="I1609" s="55">
        <f t="shared" si="72"/>
        <v>6670451512</v>
      </c>
      <c r="J1609" s="54">
        <v>-1560128</v>
      </c>
      <c r="K1609" s="56">
        <f t="shared" si="73"/>
        <v>6668891384</v>
      </c>
      <c r="L1609" s="37">
        <v>61462214</v>
      </c>
      <c r="M1609" s="67" t="s">
        <v>773</v>
      </c>
      <c r="N1609" t="s">
        <v>708</v>
      </c>
      <c r="O1609" s="38" t="str">
        <f>IF([1]totrevprm!O1610="","",[1]totrevprm!O1610)</f>
        <v/>
      </c>
      <c r="V1609" s="38" t="s">
        <v>482</v>
      </c>
      <c r="W1609" s="58">
        <v>3619101</v>
      </c>
      <c r="X1609" s="58">
        <v>46869982</v>
      </c>
      <c r="Y1609" s="58">
        <v>22671113</v>
      </c>
      <c r="Z1609" s="58">
        <v>0</v>
      </c>
    </row>
    <row r="1610" spans="1:26">
      <c r="A1610" s="50" t="s">
        <v>70</v>
      </c>
      <c r="B1610" s="51" t="s">
        <v>482</v>
      </c>
      <c r="C1610" s="52" t="s">
        <v>731</v>
      </c>
      <c r="D1610" s="53">
        <v>2001</v>
      </c>
      <c r="E1610" s="54">
        <v>1827245940</v>
      </c>
      <c r="F1610" s="54">
        <v>2222183682</v>
      </c>
      <c r="G1610" s="54">
        <v>2947465238</v>
      </c>
      <c r="H1610" s="54"/>
      <c r="I1610" s="55">
        <f t="shared" si="72"/>
        <v>6996894860</v>
      </c>
      <c r="J1610" s="54">
        <v>-1192838</v>
      </c>
      <c r="K1610" s="56">
        <f t="shared" si="73"/>
        <v>6995702022</v>
      </c>
      <c r="L1610" s="35">
        <v>91598965</v>
      </c>
      <c r="M1610" s="67" t="s">
        <v>773</v>
      </c>
      <c r="N1610" t="s">
        <v>708</v>
      </c>
      <c r="O1610" s="38" t="str">
        <f>IF([1]totrevprm!O1611="","",[1]totrevprm!O1611)</f>
        <v/>
      </c>
      <c r="V1610" s="38"/>
      <c r="W1610" s="58"/>
      <c r="X1610" s="58"/>
      <c r="Y1610" s="58"/>
      <c r="Z1610" s="58"/>
    </row>
    <row r="1611" spans="1:26">
      <c r="A1611" s="50" t="s">
        <v>70</v>
      </c>
      <c r="B1611" s="51" t="s">
        <v>482</v>
      </c>
      <c r="C1611" s="52" t="s">
        <v>731</v>
      </c>
      <c r="D1611" s="53">
        <v>2002</v>
      </c>
      <c r="E1611" s="54">
        <v>1856272245</v>
      </c>
      <c r="F1611" s="54">
        <v>2787661531</v>
      </c>
      <c r="G1611" s="54">
        <v>3160529817</v>
      </c>
      <c r="H1611" s="54">
        <v>0</v>
      </c>
      <c r="I1611" s="55">
        <f t="shared" si="72"/>
        <v>7804463593</v>
      </c>
      <c r="J1611" s="54">
        <v>-522037</v>
      </c>
      <c r="K1611" s="56">
        <f t="shared" si="73"/>
        <v>7803941556</v>
      </c>
      <c r="L1611" s="35">
        <v>136100928</v>
      </c>
      <c r="M1611" s="67" t="s">
        <v>773</v>
      </c>
      <c r="N1611" t="s">
        <v>708</v>
      </c>
      <c r="O1611" s="38" t="str">
        <f>IF([1]totrevprm!O1612="","",[1]totrevprm!O1612)</f>
        <v/>
      </c>
      <c r="V1611" s="38"/>
      <c r="W1611" s="58"/>
      <c r="X1611" s="58"/>
      <c r="Y1611" s="58"/>
      <c r="Z1611" s="58"/>
    </row>
    <row r="1612" spans="1:26">
      <c r="A1612" s="50" t="s">
        <v>70</v>
      </c>
      <c r="B1612" s="51" t="s">
        <v>482</v>
      </c>
      <c r="C1612" s="52" t="s">
        <v>731</v>
      </c>
      <c r="D1612" s="53">
        <v>2003</v>
      </c>
      <c r="E1612" s="59">
        <v>1948227424</v>
      </c>
      <c r="F1612" s="59">
        <v>2390825804</v>
      </c>
      <c r="G1612" s="59">
        <v>3395318045</v>
      </c>
      <c r="H1612" s="59">
        <v>0</v>
      </c>
      <c r="I1612" s="55">
        <f t="shared" si="72"/>
        <v>7734371273</v>
      </c>
      <c r="J1612" s="54">
        <v>-59845</v>
      </c>
      <c r="K1612" s="56">
        <f t="shared" si="73"/>
        <v>7734311428</v>
      </c>
      <c r="L1612" s="35">
        <v>120381291</v>
      </c>
      <c r="M1612" s="67" t="s">
        <v>773</v>
      </c>
      <c r="N1612" t="s">
        <v>708</v>
      </c>
      <c r="O1612" s="38" t="str">
        <f>IF([1]totrevprm!O1613="","",[1]totrevprm!O1613)</f>
        <v/>
      </c>
      <c r="V1612" s="38"/>
      <c r="W1612" s="58"/>
      <c r="X1612" s="58"/>
      <c r="Y1612" s="58"/>
      <c r="Z1612" s="58"/>
    </row>
    <row r="1613" spans="1:26">
      <c r="A1613" s="50" t="s">
        <v>70</v>
      </c>
      <c r="B1613" s="51" t="s">
        <v>482</v>
      </c>
      <c r="C1613" s="52" t="s">
        <v>731</v>
      </c>
      <c r="D1613" s="53">
        <v>2004</v>
      </c>
      <c r="E1613" s="59">
        <v>2069665421</v>
      </c>
      <c r="F1613" s="59">
        <v>2272702063</v>
      </c>
      <c r="G1613" s="59">
        <v>3633432198</v>
      </c>
      <c r="H1613" s="59">
        <v>0</v>
      </c>
      <c r="I1613" s="55">
        <f t="shared" si="72"/>
        <v>7975799682</v>
      </c>
      <c r="J1613" s="54">
        <v>-1078369</v>
      </c>
      <c r="K1613" s="56">
        <f t="shared" si="73"/>
        <v>7974721313</v>
      </c>
      <c r="L1613" s="35">
        <v>122200801</v>
      </c>
      <c r="M1613" s="67" t="s">
        <v>773</v>
      </c>
      <c r="N1613" t="s">
        <v>708</v>
      </c>
      <c r="O1613" s="38" t="str">
        <f>IF([1]totrevprm!O1614="","",[1]totrevprm!O1614)</f>
        <v/>
      </c>
      <c r="T1613" s="68"/>
      <c r="V1613" s="38"/>
      <c r="W1613" s="58"/>
      <c r="X1613" s="58"/>
      <c r="Y1613" s="58"/>
      <c r="Z1613" s="58"/>
    </row>
    <row r="1614" spans="1:26">
      <c r="A1614" s="50" t="s">
        <v>70</v>
      </c>
      <c r="B1614" s="51" t="s">
        <v>482</v>
      </c>
      <c r="C1614" s="52"/>
      <c r="D1614" s="53">
        <v>2005</v>
      </c>
      <c r="E1614" s="59">
        <v>2005776067</v>
      </c>
      <c r="F1614" s="59">
        <v>2154340621</v>
      </c>
      <c r="G1614" s="59">
        <v>4235582734.4099898</v>
      </c>
      <c r="H1614" s="59">
        <v>0</v>
      </c>
      <c r="I1614" s="55">
        <f t="shared" si="72"/>
        <v>8395699422.4099903</v>
      </c>
      <c r="J1614" s="54">
        <v>-16894</v>
      </c>
      <c r="K1614" s="56">
        <f t="shared" si="73"/>
        <v>8395682528.4099903</v>
      </c>
      <c r="L1614" s="35">
        <v>105110301</v>
      </c>
      <c r="M1614" s="67" t="s">
        <v>773</v>
      </c>
      <c r="N1614" t="s">
        <v>708</v>
      </c>
      <c r="O1614" s="38" t="str">
        <f>IF([1]totrevprm!O1615="","",[1]totrevprm!O1615)</f>
        <v/>
      </c>
      <c r="T1614" s="68"/>
      <c r="V1614" s="38"/>
      <c r="W1614" s="58"/>
      <c r="X1614" s="58"/>
      <c r="Y1614" s="58"/>
      <c r="Z1614" s="58"/>
    </row>
    <row r="1615" spans="1:26">
      <c r="A1615" s="50" t="s">
        <v>70</v>
      </c>
      <c r="B1615" s="51" t="s">
        <v>482</v>
      </c>
      <c r="C1615" s="52"/>
      <c r="D1615" s="53">
        <v>2006</v>
      </c>
      <c r="E1615" s="37">
        <v>2098133996</v>
      </c>
      <c r="F1615" s="37">
        <v>2570841828</v>
      </c>
      <c r="G1615" s="37">
        <v>4641595940</v>
      </c>
      <c r="H1615" s="37">
        <v>0</v>
      </c>
      <c r="I1615" s="55">
        <f t="shared" si="72"/>
        <v>9310571764</v>
      </c>
      <c r="J1615" s="54">
        <v>-3444460</v>
      </c>
      <c r="K1615" s="56">
        <f t="shared" si="73"/>
        <v>9307127304</v>
      </c>
      <c r="L1615" s="35">
        <v>170244485</v>
      </c>
      <c r="M1615" s="67" t="s">
        <v>773</v>
      </c>
      <c r="N1615" t="s">
        <v>708</v>
      </c>
      <c r="O1615" s="38" t="str">
        <f>IF([1]totrevprm!O1616="","",[1]totrevprm!O1616)</f>
        <v/>
      </c>
      <c r="T1615" s="68"/>
      <c r="V1615" s="38"/>
      <c r="W1615" s="58"/>
      <c r="X1615" s="58"/>
      <c r="Y1615" s="58"/>
      <c r="Z1615" s="58"/>
    </row>
    <row r="1616" spans="1:26">
      <c r="A1616" s="50" t="s">
        <v>70</v>
      </c>
      <c r="B1616" s="51" t="s">
        <v>482</v>
      </c>
      <c r="C1616" s="52"/>
      <c r="D1616" s="53">
        <v>2007</v>
      </c>
      <c r="E1616" s="37">
        <v>2234888240</v>
      </c>
      <c r="F1616" s="37">
        <v>2503034109</v>
      </c>
      <c r="G1616" s="37">
        <v>5265221613</v>
      </c>
      <c r="H1616" s="37">
        <v>2998</v>
      </c>
      <c r="I1616" s="55">
        <f t="shared" si="72"/>
        <v>10003146960</v>
      </c>
      <c r="J1616" s="54">
        <v>0</v>
      </c>
      <c r="K1616" s="56">
        <f t="shared" si="73"/>
        <v>10003146960</v>
      </c>
      <c r="L1616" s="35">
        <v>154641262</v>
      </c>
      <c r="M1616" s="67" t="s">
        <v>773</v>
      </c>
      <c r="N1616" t="s">
        <v>708</v>
      </c>
      <c r="O1616" s="38" t="str">
        <f>IF([1]totrevprm!O1617="","",[1]totrevprm!O1617)</f>
        <v/>
      </c>
      <c r="T1616" s="68"/>
      <c r="V1616" s="38"/>
      <c r="W1616" s="58"/>
      <c r="X1616" s="58"/>
      <c r="Y1616" s="58"/>
      <c r="Z1616" s="58"/>
    </row>
    <row r="1617" spans="1:26">
      <c r="A1617" s="50" t="s">
        <v>70</v>
      </c>
      <c r="B1617" s="51" t="s">
        <v>482</v>
      </c>
      <c r="C1617" s="52"/>
      <c r="D1617" s="53">
        <v>2008</v>
      </c>
      <c r="E1617" s="37">
        <v>2278400961</v>
      </c>
      <c r="F1617" s="37">
        <v>3335856406</v>
      </c>
      <c r="G1617" s="37">
        <v>5569394754</v>
      </c>
      <c r="H1617" s="37">
        <v>0</v>
      </c>
      <c r="I1617" s="55">
        <f t="shared" si="72"/>
        <v>11183652121</v>
      </c>
      <c r="J1617" s="54">
        <v>-67665</v>
      </c>
      <c r="K1617" s="56">
        <f t="shared" si="73"/>
        <v>11183584456</v>
      </c>
      <c r="L1617" s="35">
        <v>239720744</v>
      </c>
      <c r="M1617" s="67" t="s">
        <v>773</v>
      </c>
      <c r="N1617" t="s">
        <v>708</v>
      </c>
      <c r="O1617" s="38" t="str">
        <f>IF([1]totrevprm!O1618="","",[1]totrevprm!O1618)</f>
        <v/>
      </c>
      <c r="T1617" s="68"/>
      <c r="V1617" s="38"/>
      <c r="W1617" s="58"/>
      <c r="X1617" s="58"/>
      <c r="Y1617" s="58"/>
      <c r="Z1617" s="58"/>
    </row>
    <row r="1618" spans="1:26">
      <c r="A1618" s="50" t="s">
        <v>70</v>
      </c>
      <c r="B1618" s="51" t="s">
        <v>482</v>
      </c>
      <c r="C1618" s="52"/>
      <c r="D1618" s="53">
        <v>2009</v>
      </c>
      <c r="E1618" s="37">
        <v>2496355863</v>
      </c>
      <c r="F1618" s="37">
        <v>3011164712</v>
      </c>
      <c r="G1618" s="37">
        <v>5743443977</v>
      </c>
      <c r="H1618" s="37">
        <v>0</v>
      </c>
      <c r="I1618" s="55">
        <f t="shared" si="72"/>
        <v>11250964552</v>
      </c>
      <c r="J1618" s="54">
        <v>-411083</v>
      </c>
      <c r="K1618" s="56">
        <f t="shared" si="73"/>
        <v>11250553469</v>
      </c>
      <c r="L1618" s="35">
        <v>181148784</v>
      </c>
      <c r="M1618" s="67" t="s">
        <v>773</v>
      </c>
      <c r="N1618" t="s">
        <v>708</v>
      </c>
      <c r="O1618" s="38" t="str">
        <f>IF([1]totrevprm!O1619="","",[1]totrevprm!O1619)</f>
        <v/>
      </c>
      <c r="T1618" s="68"/>
      <c r="V1618" s="38"/>
      <c r="W1618" s="58"/>
      <c r="X1618" s="58"/>
      <c r="Y1618" s="58"/>
      <c r="Z1618" s="58"/>
    </row>
    <row r="1619" spans="1:26">
      <c r="A1619" s="50" t="s">
        <v>70</v>
      </c>
      <c r="B1619" s="51" t="s">
        <v>482</v>
      </c>
      <c r="C1619" s="52"/>
      <c r="D1619" s="53">
        <v>2010</v>
      </c>
      <c r="E1619" s="37">
        <v>2532009409</v>
      </c>
      <c r="F1619" s="37">
        <v>2577891984</v>
      </c>
      <c r="G1619" s="37">
        <v>6040510733</v>
      </c>
      <c r="H1619" s="37">
        <v>0</v>
      </c>
      <c r="I1619" s="55">
        <f t="shared" si="72"/>
        <v>11150412126</v>
      </c>
      <c r="J1619" s="54">
        <v>-34680</v>
      </c>
      <c r="K1619" s="56">
        <f t="shared" si="73"/>
        <v>11150377446</v>
      </c>
      <c r="L1619" s="35">
        <v>184568416</v>
      </c>
      <c r="M1619" s="67" t="s">
        <v>773</v>
      </c>
      <c r="N1619" t="s">
        <v>708</v>
      </c>
      <c r="O1619" s="38" t="str">
        <f>IF([1]totrevprm!O1620="","",[1]totrevprm!O1620)</f>
        <v/>
      </c>
      <c r="T1619" s="68"/>
      <c r="V1619" s="38"/>
      <c r="W1619" s="58"/>
      <c r="X1619" s="58"/>
      <c r="Y1619" s="58"/>
      <c r="Z1619" s="58"/>
    </row>
    <row r="1620" spans="1:26">
      <c r="A1620" s="50" t="s">
        <v>70</v>
      </c>
      <c r="B1620" s="51" t="s">
        <v>482</v>
      </c>
      <c r="C1620" s="52"/>
      <c r="D1620" s="53">
        <v>2011</v>
      </c>
      <c r="E1620" s="37">
        <v>2527858979</v>
      </c>
      <c r="F1620" s="37">
        <v>2779369697</v>
      </c>
      <c r="G1620" s="37">
        <v>6352208316.5</v>
      </c>
      <c r="H1620" s="37">
        <v>0</v>
      </c>
      <c r="I1620" s="55">
        <f t="shared" si="72"/>
        <v>11659436992.5</v>
      </c>
      <c r="J1620" s="54">
        <v>-134380</v>
      </c>
      <c r="K1620" s="56">
        <f t="shared" si="73"/>
        <v>11659302612.5</v>
      </c>
      <c r="L1620" s="35">
        <v>226498440</v>
      </c>
      <c r="M1620" s="67" t="s">
        <v>773</v>
      </c>
      <c r="N1620" t="s">
        <v>708</v>
      </c>
      <c r="O1620" s="38" t="str">
        <f>IF([1]totrevprm!O1621="","",[1]totrevprm!O1621)</f>
        <v/>
      </c>
      <c r="T1620" s="68"/>
      <c r="V1620" s="38"/>
      <c r="W1620" s="58"/>
      <c r="X1620" s="58"/>
      <c r="Y1620" s="58"/>
      <c r="Z1620" s="58"/>
    </row>
    <row r="1621" spans="1:26">
      <c r="A1621" s="50" t="s">
        <v>70</v>
      </c>
      <c r="B1621" s="51" t="s">
        <v>482</v>
      </c>
      <c r="C1621" s="52"/>
      <c r="D1621" s="53">
        <v>2012</v>
      </c>
      <c r="E1621" s="37">
        <v>2626662450</v>
      </c>
      <c r="F1621" s="37">
        <v>3213367923</v>
      </c>
      <c r="G1621" s="37">
        <v>5385580350</v>
      </c>
      <c r="H1621" s="37">
        <v>0</v>
      </c>
      <c r="I1621" s="55">
        <f t="shared" si="72"/>
        <v>11225610723</v>
      </c>
      <c r="J1621" s="54">
        <v>-336262</v>
      </c>
      <c r="K1621" s="56">
        <f t="shared" si="73"/>
        <v>11225274461</v>
      </c>
      <c r="L1621" s="35">
        <v>161566474</v>
      </c>
      <c r="M1621" s="67" t="s">
        <v>773</v>
      </c>
      <c r="N1621" t="s">
        <v>708</v>
      </c>
      <c r="O1621" s="38" t="str">
        <f>IF([1]totrevprm!O1622="","",[1]totrevprm!O1622)</f>
        <v/>
      </c>
      <c r="T1621" s="68"/>
      <c r="V1621" s="38"/>
      <c r="W1621" s="58"/>
      <c r="X1621" s="58"/>
      <c r="Y1621" s="58"/>
      <c r="Z1621" s="58"/>
    </row>
    <row r="1622" spans="1:26">
      <c r="A1622" s="50" t="s">
        <v>70</v>
      </c>
      <c r="B1622" s="51" t="s">
        <v>482</v>
      </c>
      <c r="C1622" s="52"/>
      <c r="D1622" s="53">
        <v>2013</v>
      </c>
      <c r="E1622" s="37">
        <v>2666813381</v>
      </c>
      <c r="F1622" s="37">
        <v>2933678462</v>
      </c>
      <c r="G1622" s="37">
        <v>5548789709</v>
      </c>
      <c r="H1622" s="37">
        <v>0</v>
      </c>
      <c r="I1622" s="55">
        <f t="shared" si="72"/>
        <v>11149281552</v>
      </c>
      <c r="J1622" s="54">
        <v>-749561</v>
      </c>
      <c r="K1622" s="56">
        <f t="shared" si="73"/>
        <v>11148531991</v>
      </c>
      <c r="L1622" s="35">
        <v>227853848</v>
      </c>
      <c r="M1622" s="67" t="s">
        <v>773</v>
      </c>
      <c r="N1622" t="s">
        <v>708</v>
      </c>
      <c r="O1622" s="38" t="str">
        <f>IF([1]totrevprm!O1623="","",[1]totrevprm!O1623)</f>
        <v/>
      </c>
      <c r="T1622" s="68"/>
      <c r="V1622" s="38"/>
      <c r="W1622" s="58"/>
      <c r="X1622" s="58"/>
      <c r="Y1622" s="58"/>
      <c r="Z1622" s="58"/>
    </row>
    <row r="1623" spans="1:26">
      <c r="A1623" s="50" t="s">
        <v>70</v>
      </c>
      <c r="B1623" s="51" t="s">
        <v>482</v>
      </c>
      <c r="C1623" s="52"/>
      <c r="D1623" s="53">
        <v>2014</v>
      </c>
      <c r="E1623" s="37">
        <v>2745978814</v>
      </c>
      <c r="F1623" s="37">
        <v>3106994300</v>
      </c>
      <c r="G1623" s="37">
        <v>6083023566.9300003</v>
      </c>
      <c r="H1623" s="37">
        <v>0</v>
      </c>
      <c r="I1623" s="55">
        <f t="shared" si="72"/>
        <v>11935996680.93</v>
      </c>
      <c r="J1623" s="54">
        <v>-462216</v>
      </c>
      <c r="K1623" s="56">
        <f t="shared" si="73"/>
        <v>11935534464.93</v>
      </c>
      <c r="L1623" s="37">
        <v>212651683</v>
      </c>
      <c r="M1623" s="67" t="s">
        <v>773</v>
      </c>
      <c r="N1623" t="s">
        <v>708</v>
      </c>
      <c r="O1623" s="38" t="str">
        <f>IF([1]totrevprm!O1624="","",[1]totrevprm!O1624)</f>
        <v/>
      </c>
      <c r="T1623" s="68"/>
      <c r="V1623" s="38"/>
      <c r="W1623" s="58"/>
      <c r="X1623" s="58"/>
      <c r="Y1623" s="58"/>
      <c r="Z1623" s="58"/>
    </row>
    <row r="1624" spans="1:26">
      <c r="A1624" s="50" t="s">
        <v>70</v>
      </c>
      <c r="B1624" s="51" t="s">
        <v>482</v>
      </c>
      <c r="C1624" s="52"/>
      <c r="D1624" s="53">
        <v>2015</v>
      </c>
      <c r="E1624" s="37">
        <v>2821342750</v>
      </c>
      <c r="F1624" s="37">
        <v>3476461169</v>
      </c>
      <c r="G1624" s="37">
        <v>6534760071</v>
      </c>
      <c r="H1624" s="37">
        <v>0</v>
      </c>
      <c r="I1624" s="55">
        <f t="shared" si="72"/>
        <v>12832563990</v>
      </c>
      <c r="J1624" s="54">
        <v>-1533</v>
      </c>
      <c r="K1624" s="56">
        <f t="shared" si="73"/>
        <v>12832562457</v>
      </c>
      <c r="L1624" s="37">
        <v>191261642</v>
      </c>
      <c r="M1624" s="67" t="s">
        <v>773</v>
      </c>
      <c r="N1624" t="s">
        <v>708</v>
      </c>
      <c r="O1624" s="38" t="str">
        <f>IF([1]totrevprm!O1625="","",[1]totrevprm!O1625)</f>
        <v/>
      </c>
      <c r="P1624" s="35">
        <v>588685570.5024035</v>
      </c>
      <c r="Q1624" s="35">
        <v>206940738.83343285</v>
      </c>
      <c r="T1624" s="68"/>
      <c r="V1624" s="38"/>
      <c r="W1624" s="58"/>
      <c r="X1624" s="58"/>
      <c r="Y1624" s="58"/>
      <c r="Z1624" s="58"/>
    </row>
    <row r="1625" spans="1:26">
      <c r="A1625" s="50" t="s">
        <v>70</v>
      </c>
      <c r="B1625" s="51" t="s">
        <v>482</v>
      </c>
      <c r="C1625" s="52"/>
      <c r="D1625" s="53">
        <v>2016</v>
      </c>
      <c r="E1625" s="37">
        <v>2924906165</v>
      </c>
      <c r="F1625" s="37">
        <v>3771450287</v>
      </c>
      <c r="G1625" s="37">
        <v>7066758476</v>
      </c>
      <c r="H1625" s="37">
        <v>0</v>
      </c>
      <c r="I1625" s="55">
        <f t="shared" si="72"/>
        <v>13763114928</v>
      </c>
      <c r="J1625" s="54">
        <v>-2</v>
      </c>
      <c r="K1625" s="56">
        <f t="shared" si="73"/>
        <v>13763114926</v>
      </c>
      <c r="L1625" s="37">
        <v>214177327</v>
      </c>
      <c r="M1625" s="67" t="s">
        <v>773</v>
      </c>
      <c r="N1625" t="s">
        <v>708</v>
      </c>
      <c r="O1625" s="38" t="str">
        <f>IF([1]totrevprm!O1626="","",[1]totrevprm!O1626)</f>
        <v/>
      </c>
      <c r="P1625" s="35">
        <v>617181601.64857447</v>
      </c>
      <c r="Q1625" s="35">
        <v>216514264.84045112</v>
      </c>
      <c r="T1625" s="68"/>
      <c r="V1625" s="38"/>
      <c r="W1625" s="58"/>
      <c r="X1625" s="58"/>
      <c r="Y1625" s="58"/>
      <c r="Z1625" s="58"/>
    </row>
    <row r="1626" spans="1:26">
      <c r="A1626" s="50" t="s">
        <v>70</v>
      </c>
      <c r="B1626" s="51" t="s">
        <v>482</v>
      </c>
      <c r="C1626" s="52"/>
      <c r="D1626" s="53">
        <v>2017</v>
      </c>
      <c r="E1626" s="37">
        <v>3037471154</v>
      </c>
      <c r="F1626" s="37">
        <v>3404723655</v>
      </c>
      <c r="G1626" s="37">
        <v>7464834783.3199997</v>
      </c>
      <c r="H1626" s="37">
        <v>0</v>
      </c>
      <c r="I1626" s="55">
        <f t="shared" si="72"/>
        <v>13907029592.32</v>
      </c>
      <c r="J1626" s="54">
        <v>-427751</v>
      </c>
      <c r="K1626" s="56">
        <f t="shared" si="73"/>
        <v>13906601841.32</v>
      </c>
      <c r="L1626" s="37">
        <v>0</v>
      </c>
      <c r="M1626" s="67" t="s">
        <v>813</v>
      </c>
      <c r="N1626" t="s">
        <v>708</v>
      </c>
      <c r="O1626" s="38" t="str">
        <f>IF([1]totrevprm!O1627="","",[1]totrevprm!O1627)</f>
        <v/>
      </c>
      <c r="P1626" s="35">
        <v>648454926.54056847</v>
      </c>
      <c r="Q1626" s="35">
        <v>215067184.10251969</v>
      </c>
      <c r="R1626" s="67"/>
      <c r="S1626" s="69"/>
      <c r="T1626" s="69"/>
      <c r="V1626" s="38"/>
      <c r="W1626" s="58"/>
      <c r="X1626" s="58"/>
      <c r="Y1626" s="58"/>
      <c r="Z1626" s="58"/>
    </row>
    <row r="1627" spans="1:26">
      <c r="A1627" s="50" t="s">
        <v>70</v>
      </c>
      <c r="B1627" s="51" t="s">
        <v>482</v>
      </c>
      <c r="C1627" s="52"/>
      <c r="D1627" s="53">
        <v>2018</v>
      </c>
      <c r="E1627" s="37">
        <v>3152372766</v>
      </c>
      <c r="F1627" s="37">
        <v>4817332621</v>
      </c>
      <c r="G1627" s="37">
        <v>7895454562.6499996</v>
      </c>
      <c r="H1627" s="37">
        <v>0</v>
      </c>
      <c r="I1627" s="55">
        <f t="shared" si="72"/>
        <v>15865159949.65</v>
      </c>
      <c r="J1627" s="54">
        <v>-769666</v>
      </c>
      <c r="K1627" s="56">
        <f t="shared" si="73"/>
        <v>15864390283.65</v>
      </c>
      <c r="L1627" s="60">
        <v>0</v>
      </c>
      <c r="M1627" s="67" t="s">
        <v>813</v>
      </c>
      <c r="N1627" t="s">
        <v>708</v>
      </c>
      <c r="O1627" s="38" t="str">
        <f>IF([1]totrevprm!O1628="","",[1]totrevprm!O1628)</f>
        <v/>
      </c>
      <c r="P1627" s="35">
        <v>655775280.58230615</v>
      </c>
      <c r="Q1627" s="35">
        <v>212164331.08839971</v>
      </c>
      <c r="R1627" s="67"/>
      <c r="S1627" s="69"/>
      <c r="T1627" s="69"/>
      <c r="V1627" s="38"/>
      <c r="W1627" s="58"/>
      <c r="X1627" s="58"/>
      <c r="Y1627" s="58"/>
      <c r="Z1627" s="58"/>
    </row>
    <row r="1628" spans="1:26">
      <c r="A1628" s="50" t="s">
        <v>70</v>
      </c>
      <c r="B1628" s="51" t="s">
        <v>482</v>
      </c>
      <c r="C1628" s="52"/>
      <c r="D1628" s="53">
        <v>2019</v>
      </c>
      <c r="E1628" s="37">
        <v>3199856108</v>
      </c>
      <c r="F1628" s="37">
        <v>4254716108</v>
      </c>
      <c r="G1628" s="37">
        <v>7495838126.472599</v>
      </c>
      <c r="H1628" s="37">
        <v>0</v>
      </c>
      <c r="I1628" s="55">
        <f t="shared" si="72"/>
        <v>14950410342.472599</v>
      </c>
      <c r="J1628" s="54">
        <v>-14373785</v>
      </c>
      <c r="K1628" s="56">
        <f t="shared" si="73"/>
        <v>14936036557.472599</v>
      </c>
      <c r="L1628" s="60">
        <v>0</v>
      </c>
      <c r="M1628" s="67" t="s">
        <v>814</v>
      </c>
      <c r="N1628" t="s">
        <v>708</v>
      </c>
      <c r="O1628" s="38" t="str">
        <f>IF([1]totrevprm!O1629="","",[1]totrevprm!O1629)</f>
        <v>Yes</v>
      </c>
      <c r="P1628" s="35">
        <v>656720898.26909649</v>
      </c>
      <c r="Q1628" s="35">
        <v>216330054.42647219</v>
      </c>
      <c r="R1628" s="67"/>
      <c r="S1628" s="69"/>
      <c r="T1628" s="69"/>
      <c r="V1628" s="38"/>
      <c r="W1628" s="58"/>
      <c r="X1628" s="58"/>
      <c r="Y1628" s="58"/>
      <c r="Z1628" s="58"/>
    </row>
    <row r="1629" spans="1:26">
      <c r="A1629" s="50" t="s">
        <v>70</v>
      </c>
      <c r="B1629" s="51" t="s">
        <v>482</v>
      </c>
      <c r="C1629" s="52"/>
      <c r="D1629" s="53">
        <v>2020</v>
      </c>
      <c r="E1629" s="37">
        <v>3263806418</v>
      </c>
      <c r="F1629" s="37">
        <v>5031440780</v>
      </c>
      <c r="G1629" s="37">
        <v>7726495621</v>
      </c>
      <c r="H1629" s="37">
        <v>0</v>
      </c>
      <c r="I1629" s="55">
        <f t="shared" si="72"/>
        <v>16021742819</v>
      </c>
      <c r="J1629" s="54">
        <v>-5</v>
      </c>
      <c r="K1629" s="56">
        <f t="shared" si="73"/>
        <v>16021742814</v>
      </c>
      <c r="L1629" s="60">
        <v>0</v>
      </c>
      <c r="M1629" s="67" t="s">
        <v>815</v>
      </c>
      <c r="N1629" t="s">
        <v>708</v>
      </c>
      <c r="O1629" s="38" t="str">
        <f>IF([1]totrevprm!O1630="","",[1]totrevprm!O1630)</f>
        <v/>
      </c>
      <c r="P1629" s="35">
        <v>657624877</v>
      </c>
      <c r="Q1629" s="35">
        <v>213498311</v>
      </c>
      <c r="R1629" s="67"/>
      <c r="S1629" s="69"/>
      <c r="T1629" s="69"/>
      <c r="V1629" s="38"/>
      <c r="W1629" s="58"/>
      <c r="X1629" s="58"/>
      <c r="Y1629" s="58"/>
      <c r="Z1629" s="58"/>
    </row>
    <row r="1630" spans="1:26">
      <c r="A1630" s="50" t="s">
        <v>70</v>
      </c>
      <c r="B1630" s="51" t="s">
        <v>482</v>
      </c>
      <c r="C1630" s="52"/>
      <c r="D1630" s="53">
        <v>2021</v>
      </c>
      <c r="E1630" s="37">
        <v>3510389778</v>
      </c>
      <c r="F1630" s="37">
        <v>5406165628</v>
      </c>
      <c r="G1630" s="37">
        <v>7913375667.4899998</v>
      </c>
      <c r="H1630" s="37">
        <v>0</v>
      </c>
      <c r="I1630" s="55">
        <f t="shared" si="72"/>
        <v>16829931073.49</v>
      </c>
      <c r="J1630" s="60">
        <v>-40124</v>
      </c>
      <c r="K1630" s="56">
        <f t="shared" si="73"/>
        <v>16829890949.49</v>
      </c>
      <c r="L1630" s="60">
        <v>0</v>
      </c>
      <c r="M1630" s="67" t="s">
        <v>815</v>
      </c>
      <c r="N1630" t="s">
        <v>708</v>
      </c>
      <c r="O1630" s="38"/>
      <c r="P1630" s="35">
        <v>639576207.19000006</v>
      </c>
      <c r="Q1630" s="35">
        <v>237470237</v>
      </c>
      <c r="R1630" s="67"/>
      <c r="S1630" s="69"/>
      <c r="T1630" s="69"/>
      <c r="V1630" s="38"/>
      <c r="W1630" s="58"/>
      <c r="X1630" s="58"/>
      <c r="Y1630" s="58"/>
      <c r="Z1630" s="58"/>
    </row>
    <row r="1631" spans="1:26">
      <c r="A1631" s="50" t="s">
        <v>70</v>
      </c>
      <c r="B1631" s="51" t="s">
        <v>482</v>
      </c>
      <c r="C1631" s="52"/>
      <c r="D1631" s="53">
        <v>2022</v>
      </c>
      <c r="E1631" s="37">
        <v>3619992415</v>
      </c>
      <c r="F1631" s="37">
        <v>6557148355</v>
      </c>
      <c r="G1631" s="37">
        <v>8486215680</v>
      </c>
      <c r="H1631" s="37">
        <v>0</v>
      </c>
      <c r="I1631" s="55">
        <f t="shared" ref="I1631:I1694" si="74">SUM(E1631:H1631)</f>
        <v>18663356450</v>
      </c>
      <c r="J1631" s="60">
        <v>-618045</v>
      </c>
      <c r="K1631" s="56">
        <f t="shared" si="73"/>
        <v>18662738405</v>
      </c>
      <c r="L1631" s="60">
        <v>0</v>
      </c>
      <c r="M1631" s="67" t="s">
        <v>815</v>
      </c>
      <c r="N1631" t="s">
        <v>708</v>
      </c>
      <c r="O1631" s="38" t="str">
        <f>IF([1]totrevprm!O1634="","",[1]totrevprm!O1634)</f>
        <v/>
      </c>
      <c r="P1631" s="60">
        <v>676930774</v>
      </c>
      <c r="Q1631" s="60">
        <v>225827079</v>
      </c>
    </row>
    <row r="1632" spans="1:26">
      <c r="A1632" s="50" t="s">
        <v>70</v>
      </c>
      <c r="B1632" s="51" t="s">
        <v>482</v>
      </c>
      <c r="C1632" s="52"/>
      <c r="D1632" s="53">
        <v>2023</v>
      </c>
      <c r="E1632" s="37">
        <v>3794213553</v>
      </c>
      <c r="F1632" s="37">
        <v>7863362645.1985998</v>
      </c>
      <c r="G1632" s="37">
        <v>9536308574.5112</v>
      </c>
      <c r="H1632" s="37">
        <v>0</v>
      </c>
      <c r="I1632" s="55">
        <f t="shared" si="74"/>
        <v>21193884772.709801</v>
      </c>
      <c r="J1632" s="60">
        <v>-55498</v>
      </c>
      <c r="K1632" s="56">
        <f t="shared" si="73"/>
        <v>21193829274.709801</v>
      </c>
      <c r="L1632" s="37">
        <v>0</v>
      </c>
      <c r="M1632" s="67" t="s">
        <v>815</v>
      </c>
      <c r="O1632" s="38"/>
      <c r="P1632" s="60">
        <v>744486187.79999995</v>
      </c>
      <c r="Q1632" s="60">
        <v>225909157</v>
      </c>
    </row>
    <row r="1633" spans="1:26">
      <c r="A1633" s="50"/>
      <c r="B1633" s="52"/>
      <c r="C1633" s="52"/>
      <c r="E1633" s="54"/>
      <c r="F1633" s="54"/>
      <c r="G1633" s="54"/>
      <c r="H1633" s="54"/>
      <c r="I1633" s="55"/>
      <c r="K1633" s="65"/>
      <c r="L1633" s="37"/>
      <c r="O1633" s="38"/>
    </row>
    <row r="1634" spans="1:26">
      <c r="A1634" s="50" t="s">
        <v>71</v>
      </c>
      <c r="B1634" s="51" t="s">
        <v>229</v>
      </c>
      <c r="C1634" s="52" t="s">
        <v>759</v>
      </c>
      <c r="D1634" s="53">
        <v>1988</v>
      </c>
      <c r="E1634" s="54">
        <v>3815419554</v>
      </c>
      <c r="F1634" s="54">
        <v>2268537114</v>
      </c>
      <c r="G1634" s="54">
        <v>4422066159</v>
      </c>
      <c r="H1634" s="54">
        <v>1339828984</v>
      </c>
      <c r="I1634" s="55">
        <f t="shared" si="74"/>
        <v>11845851811</v>
      </c>
      <c r="J1634" s="54">
        <v>0</v>
      </c>
      <c r="K1634" s="56">
        <f>SUM(I1634:J1634)</f>
        <v>11845851811</v>
      </c>
      <c r="L1634" s="37">
        <v>0</v>
      </c>
      <c r="O1634" s="38" t="str">
        <f>IF([1]totrevprm!O1635="","",[1]totrevprm!O1635)</f>
        <v/>
      </c>
    </row>
    <row r="1635" spans="1:26">
      <c r="A1635" s="50" t="s">
        <v>71</v>
      </c>
      <c r="B1635" s="51" t="s">
        <v>229</v>
      </c>
      <c r="C1635" s="52" t="s">
        <v>731</v>
      </c>
      <c r="D1635" s="53">
        <v>1989</v>
      </c>
      <c r="E1635" s="54">
        <v>3599963635</v>
      </c>
      <c r="F1635" s="54">
        <v>2384369898</v>
      </c>
      <c r="G1635" s="54">
        <v>4945087925</v>
      </c>
      <c r="H1635" s="54">
        <v>1438852364</v>
      </c>
      <c r="I1635" s="55">
        <f t="shared" si="74"/>
        <v>12368273822</v>
      </c>
      <c r="J1635" s="54">
        <v>0</v>
      </c>
      <c r="K1635" s="56">
        <f t="shared" ref="K1635:K1669" si="75">SUM(I1635:J1635)</f>
        <v>12368273822</v>
      </c>
      <c r="L1635" s="37">
        <v>0</v>
      </c>
      <c r="O1635" s="38" t="str">
        <f>IF([1]totrevprm!O1636="","",[1]totrevprm!O1636)</f>
        <v/>
      </c>
    </row>
    <row r="1636" spans="1:26">
      <c r="A1636" s="50" t="s">
        <v>71</v>
      </c>
      <c r="B1636" s="51" t="s">
        <v>229</v>
      </c>
      <c r="C1636" s="52" t="s">
        <v>731</v>
      </c>
      <c r="D1636" s="53">
        <v>1990</v>
      </c>
      <c r="E1636" s="54">
        <v>3756690986</v>
      </c>
      <c r="F1636" s="54">
        <v>2554557045.7199998</v>
      </c>
      <c r="G1636" s="54">
        <v>5435265671</v>
      </c>
      <c r="H1636" s="54">
        <v>1412926882</v>
      </c>
      <c r="I1636" s="55">
        <f t="shared" si="74"/>
        <v>13159440584.719999</v>
      </c>
      <c r="J1636" s="54">
        <v>0</v>
      </c>
      <c r="K1636" s="56">
        <f t="shared" si="75"/>
        <v>13159440584.719999</v>
      </c>
      <c r="L1636" s="37">
        <v>0</v>
      </c>
      <c r="O1636" s="38" t="str">
        <f>IF([1]totrevprm!O1637="","",[1]totrevprm!O1637)</f>
        <v/>
      </c>
    </row>
    <row r="1637" spans="1:26">
      <c r="A1637" s="50" t="s">
        <v>71</v>
      </c>
      <c r="B1637" s="51" t="s">
        <v>229</v>
      </c>
      <c r="C1637" s="52" t="s">
        <v>731</v>
      </c>
      <c r="D1637" s="53">
        <v>1991</v>
      </c>
      <c r="E1637" s="54">
        <v>4101784095</v>
      </c>
      <c r="F1637" s="54">
        <v>2470818838</v>
      </c>
      <c r="G1637" s="54">
        <v>5494771599</v>
      </c>
      <c r="H1637" s="54">
        <v>1445275145</v>
      </c>
      <c r="I1637" s="55">
        <f t="shared" si="74"/>
        <v>13512649677</v>
      </c>
      <c r="J1637" s="54">
        <v>0</v>
      </c>
      <c r="K1637" s="56">
        <f t="shared" si="75"/>
        <v>13512649677</v>
      </c>
      <c r="L1637" s="37">
        <v>0</v>
      </c>
      <c r="O1637" s="38" t="str">
        <f>IF([1]totrevprm!O1638="","",[1]totrevprm!O1638)</f>
        <v/>
      </c>
    </row>
    <row r="1638" spans="1:26">
      <c r="A1638" s="50" t="s">
        <v>71</v>
      </c>
      <c r="B1638" s="51" t="s">
        <v>229</v>
      </c>
      <c r="C1638" s="52" t="s">
        <v>731</v>
      </c>
      <c r="D1638" s="53">
        <v>1992</v>
      </c>
      <c r="E1638" s="54">
        <v>4260916595</v>
      </c>
      <c r="F1638" s="54">
        <v>3112732687.8000002</v>
      </c>
      <c r="G1638" s="54">
        <v>5850881673</v>
      </c>
      <c r="H1638" s="54">
        <v>1183778858</v>
      </c>
      <c r="I1638" s="55">
        <f t="shared" si="74"/>
        <v>14408309813.799999</v>
      </c>
      <c r="J1638" s="54">
        <v>0</v>
      </c>
      <c r="K1638" s="56">
        <f t="shared" si="75"/>
        <v>14408309813.799999</v>
      </c>
      <c r="L1638" s="37">
        <v>0</v>
      </c>
      <c r="O1638" s="38" t="str">
        <f>IF([1]totrevprm!O1639="","",[1]totrevprm!O1639)</f>
        <v/>
      </c>
    </row>
    <row r="1639" spans="1:26">
      <c r="A1639" s="50" t="s">
        <v>71</v>
      </c>
      <c r="B1639" s="51" t="s">
        <v>229</v>
      </c>
      <c r="C1639" s="52" t="s">
        <v>731</v>
      </c>
      <c r="D1639" s="53">
        <v>1993</v>
      </c>
      <c r="E1639" s="54">
        <v>4568272333</v>
      </c>
      <c r="F1639" s="54">
        <v>2424316050</v>
      </c>
      <c r="G1639" s="54">
        <v>6040321328</v>
      </c>
      <c r="H1639" s="54">
        <v>1038398764</v>
      </c>
      <c r="I1639" s="55">
        <f t="shared" si="74"/>
        <v>14071308475</v>
      </c>
      <c r="J1639" s="54">
        <v>0</v>
      </c>
      <c r="K1639" s="56">
        <f t="shared" si="75"/>
        <v>14071308475</v>
      </c>
      <c r="L1639" s="37">
        <v>0</v>
      </c>
      <c r="O1639" s="38" t="str">
        <f>IF([1]totrevprm!O1640="","",[1]totrevprm!O1640)</f>
        <v/>
      </c>
    </row>
    <row r="1640" spans="1:26">
      <c r="A1640" s="50" t="s">
        <v>71</v>
      </c>
      <c r="B1640" s="51" t="s">
        <v>229</v>
      </c>
      <c r="C1640" s="52" t="s">
        <v>731</v>
      </c>
      <c r="D1640" s="53">
        <v>1994</v>
      </c>
      <c r="E1640" s="54">
        <v>4856277402</v>
      </c>
      <c r="F1640" s="54">
        <v>2960162037</v>
      </c>
      <c r="G1640" s="54">
        <v>6105777363</v>
      </c>
      <c r="H1640" s="54">
        <v>1144681743</v>
      </c>
      <c r="I1640" s="55">
        <f t="shared" si="74"/>
        <v>15066898545</v>
      </c>
      <c r="J1640" s="54">
        <v>0</v>
      </c>
      <c r="K1640" s="56">
        <f t="shared" si="75"/>
        <v>15066898545</v>
      </c>
      <c r="L1640" s="37">
        <v>0</v>
      </c>
      <c r="O1640" s="38" t="str">
        <f>IF([1]totrevprm!O1641="","",[1]totrevprm!O1641)</f>
        <v/>
      </c>
    </row>
    <row r="1641" spans="1:26">
      <c r="A1641" s="50" t="s">
        <v>71</v>
      </c>
      <c r="B1641" s="51" t="s">
        <v>229</v>
      </c>
      <c r="C1641" s="52" t="s">
        <v>731</v>
      </c>
      <c r="D1641" s="53">
        <v>1995</v>
      </c>
      <c r="E1641" s="54">
        <v>5045233055</v>
      </c>
      <c r="F1641" s="54">
        <v>3078479254</v>
      </c>
      <c r="G1641" s="54">
        <v>6243546186</v>
      </c>
      <c r="H1641" s="54">
        <v>1064458213</v>
      </c>
      <c r="I1641" s="55">
        <f t="shared" si="74"/>
        <v>15431716708</v>
      </c>
      <c r="J1641" s="54">
        <v>0</v>
      </c>
      <c r="K1641" s="56">
        <f t="shared" si="75"/>
        <v>15431716708</v>
      </c>
      <c r="L1641" s="37">
        <v>0</v>
      </c>
      <c r="O1641" s="38" t="str">
        <f>IF([1]totrevprm!O1642="","",[1]totrevprm!O1642)</f>
        <v/>
      </c>
    </row>
    <row r="1642" spans="1:26">
      <c r="A1642" s="50" t="s">
        <v>71</v>
      </c>
      <c r="B1642" s="51" t="s">
        <v>229</v>
      </c>
      <c r="C1642" s="52" t="s">
        <v>731</v>
      </c>
      <c r="D1642" s="53">
        <v>1996</v>
      </c>
      <c r="E1642" s="54">
        <v>4996187312</v>
      </c>
      <c r="F1642" s="54">
        <v>2841705439</v>
      </c>
      <c r="G1642" s="54">
        <v>6530505680</v>
      </c>
      <c r="H1642" s="54">
        <v>808306230</v>
      </c>
      <c r="I1642" s="55">
        <f t="shared" si="74"/>
        <v>15176704661</v>
      </c>
      <c r="J1642" s="54">
        <v>0</v>
      </c>
      <c r="K1642" s="56">
        <f t="shared" si="75"/>
        <v>15176704661</v>
      </c>
      <c r="L1642" s="37">
        <v>0</v>
      </c>
      <c r="O1642" s="38" t="str">
        <f>IF([1]totrevprm!O1643="","",[1]totrevprm!O1643)</f>
        <v/>
      </c>
    </row>
    <row r="1643" spans="1:26">
      <c r="A1643" s="50" t="s">
        <v>71</v>
      </c>
      <c r="B1643" s="51" t="s">
        <v>229</v>
      </c>
      <c r="C1643" s="52" t="s">
        <v>731</v>
      </c>
      <c r="D1643" s="53">
        <v>1997</v>
      </c>
      <c r="E1643" s="54">
        <v>5173395954</v>
      </c>
      <c r="F1643" s="54">
        <v>3023595878</v>
      </c>
      <c r="G1643" s="54">
        <v>6772660413</v>
      </c>
      <c r="H1643" s="54">
        <v>1019117116</v>
      </c>
      <c r="I1643" s="55">
        <f t="shared" si="74"/>
        <v>15988769361</v>
      </c>
      <c r="J1643" s="54">
        <v>0</v>
      </c>
      <c r="K1643" s="56">
        <f t="shared" si="75"/>
        <v>15988769361</v>
      </c>
      <c r="L1643" s="37">
        <v>0</v>
      </c>
      <c r="O1643" s="38" t="str">
        <f>IF([1]totrevprm!O1644="","",[1]totrevprm!O1644)</f>
        <v/>
      </c>
    </row>
    <row r="1644" spans="1:26">
      <c r="A1644" s="50" t="s">
        <v>71</v>
      </c>
      <c r="B1644" s="51" t="s">
        <v>229</v>
      </c>
      <c r="C1644" s="52" t="s">
        <v>731</v>
      </c>
      <c r="D1644" s="53">
        <v>1998</v>
      </c>
      <c r="E1644" s="54">
        <v>5217470879</v>
      </c>
      <c r="F1644" s="54">
        <v>3117683503</v>
      </c>
      <c r="G1644" s="54">
        <v>7159771033</v>
      </c>
      <c r="H1644" s="54">
        <v>732298784</v>
      </c>
      <c r="I1644" s="55">
        <f t="shared" si="74"/>
        <v>16227224199</v>
      </c>
      <c r="J1644" s="54">
        <v>0</v>
      </c>
      <c r="K1644" s="56">
        <f t="shared" si="75"/>
        <v>16227224199</v>
      </c>
      <c r="L1644" s="37">
        <v>0</v>
      </c>
      <c r="O1644" s="38" t="str">
        <f>IF([1]totrevprm!O1645="","",[1]totrevprm!O1645)</f>
        <v/>
      </c>
    </row>
    <row r="1645" spans="1:26">
      <c r="A1645" s="50" t="s">
        <v>71</v>
      </c>
      <c r="B1645" s="51" t="s">
        <v>229</v>
      </c>
      <c r="C1645" s="52" t="s">
        <v>731</v>
      </c>
      <c r="D1645" s="53">
        <v>1999</v>
      </c>
      <c r="E1645" s="54">
        <v>5473118724</v>
      </c>
      <c r="F1645" s="54">
        <v>4524771408</v>
      </c>
      <c r="G1645" s="54">
        <v>7789530339</v>
      </c>
      <c r="H1645" s="54">
        <v>875632734</v>
      </c>
      <c r="I1645" s="55">
        <f t="shared" si="74"/>
        <v>18663053205</v>
      </c>
      <c r="J1645" s="54">
        <v>0</v>
      </c>
      <c r="K1645" s="56">
        <f t="shared" si="75"/>
        <v>18663053205</v>
      </c>
      <c r="L1645" s="37">
        <v>0</v>
      </c>
      <c r="O1645" s="38" t="str">
        <f>IF([1]totrevprm!O1646="","",[1]totrevprm!O1646)</f>
        <v/>
      </c>
    </row>
    <row r="1646" spans="1:26">
      <c r="A1646" s="50" t="s">
        <v>71</v>
      </c>
      <c r="B1646" s="51" t="s">
        <v>229</v>
      </c>
      <c r="C1646" s="52" t="s">
        <v>731</v>
      </c>
      <c r="D1646" s="53">
        <v>2000</v>
      </c>
      <c r="E1646" s="54">
        <v>5363813458</v>
      </c>
      <c r="F1646" s="54">
        <v>4589376804</v>
      </c>
      <c r="G1646" s="54">
        <v>8238565256</v>
      </c>
      <c r="H1646" s="54">
        <v>930820115</v>
      </c>
      <c r="I1646" s="55">
        <f t="shared" si="74"/>
        <v>19122575633</v>
      </c>
      <c r="J1646" s="54">
        <v>0</v>
      </c>
      <c r="K1646" s="56">
        <f t="shared" si="75"/>
        <v>19122575633</v>
      </c>
      <c r="L1646" s="37">
        <v>0</v>
      </c>
      <c r="O1646" s="38" t="str">
        <f>IF([1]totrevprm!O1647="","",[1]totrevprm!O1647)</f>
        <v/>
      </c>
      <c r="V1646" s="38" t="s">
        <v>229</v>
      </c>
      <c r="W1646" s="58">
        <v>3710613</v>
      </c>
      <c r="X1646" s="58">
        <v>172672245</v>
      </c>
      <c r="Y1646" s="58">
        <v>55804743</v>
      </c>
      <c r="Z1646" s="58">
        <v>0</v>
      </c>
    </row>
    <row r="1647" spans="1:26">
      <c r="A1647" s="50" t="s">
        <v>71</v>
      </c>
      <c r="B1647" s="51" t="s">
        <v>229</v>
      </c>
      <c r="C1647" s="52" t="s">
        <v>731</v>
      </c>
      <c r="D1647" s="53">
        <v>2001</v>
      </c>
      <c r="E1647" s="54">
        <v>5911727433</v>
      </c>
      <c r="F1647" s="54">
        <v>6833667279.0699902</v>
      </c>
      <c r="G1647" s="54">
        <v>12519125940</v>
      </c>
      <c r="H1647" s="54">
        <v>972205677</v>
      </c>
      <c r="I1647" s="55">
        <f t="shared" si="74"/>
        <v>26236726329.069992</v>
      </c>
      <c r="J1647" s="54">
        <v>0</v>
      </c>
      <c r="K1647" s="56">
        <f t="shared" si="75"/>
        <v>26236726329.069992</v>
      </c>
      <c r="L1647" s="37">
        <v>0</v>
      </c>
      <c r="O1647" s="38" t="str">
        <f>IF([1]totrevprm!O1648="","",[1]totrevprm!O1648)</f>
        <v/>
      </c>
      <c r="V1647" s="38"/>
      <c r="W1647" s="58"/>
      <c r="X1647" s="58"/>
      <c r="Y1647" s="58"/>
      <c r="Z1647" s="58"/>
    </row>
    <row r="1648" spans="1:26">
      <c r="A1648" s="50" t="s">
        <v>71</v>
      </c>
      <c r="B1648" s="51" t="s">
        <v>229</v>
      </c>
      <c r="C1648" s="52" t="s">
        <v>731</v>
      </c>
      <c r="D1648" s="53">
        <v>2002</v>
      </c>
      <c r="E1648" s="54">
        <v>5984160901</v>
      </c>
      <c r="F1648" s="54">
        <v>9353909601</v>
      </c>
      <c r="G1648" s="54">
        <v>10085143681</v>
      </c>
      <c r="H1648" s="54">
        <v>1388948010</v>
      </c>
      <c r="I1648" s="55">
        <f t="shared" si="74"/>
        <v>26812162193</v>
      </c>
      <c r="J1648" s="54">
        <v>0</v>
      </c>
      <c r="K1648" s="56">
        <f t="shared" si="75"/>
        <v>26812162193</v>
      </c>
      <c r="L1648" s="37">
        <v>0</v>
      </c>
      <c r="O1648" s="38" t="str">
        <f>IF([1]totrevprm!O1649="","",[1]totrevprm!O1649)</f>
        <v/>
      </c>
      <c r="V1648" s="38"/>
      <c r="W1648" s="58"/>
      <c r="X1648" s="58"/>
      <c r="Y1648" s="58"/>
      <c r="Z1648" s="58"/>
    </row>
    <row r="1649" spans="1:26">
      <c r="A1649" s="50" t="s">
        <v>71</v>
      </c>
      <c r="B1649" s="51" t="s">
        <v>229</v>
      </c>
      <c r="C1649" s="52" t="s">
        <v>731</v>
      </c>
      <c r="D1649" s="53">
        <v>2003</v>
      </c>
      <c r="E1649" s="59">
        <v>6199516177</v>
      </c>
      <c r="F1649" s="59">
        <v>8631385888</v>
      </c>
      <c r="G1649" s="59">
        <v>11295441071</v>
      </c>
      <c r="H1649" s="59">
        <v>1301404741</v>
      </c>
      <c r="I1649" s="55">
        <f t="shared" si="74"/>
        <v>27427747877</v>
      </c>
      <c r="J1649" s="54">
        <v>0</v>
      </c>
      <c r="K1649" s="56">
        <f t="shared" si="75"/>
        <v>27427747877</v>
      </c>
      <c r="L1649" s="37">
        <v>0</v>
      </c>
      <c r="O1649" s="38" t="str">
        <f>IF([1]totrevprm!O1650="","",[1]totrevprm!O1650)</f>
        <v/>
      </c>
      <c r="V1649" s="38"/>
      <c r="W1649" s="58"/>
      <c r="X1649" s="58"/>
      <c r="Y1649" s="58"/>
      <c r="Z1649" s="58"/>
    </row>
    <row r="1650" spans="1:26">
      <c r="A1650" s="50" t="s">
        <v>71</v>
      </c>
      <c r="B1650" s="51" t="s">
        <v>229</v>
      </c>
      <c r="C1650" s="52" t="s">
        <v>731</v>
      </c>
      <c r="D1650" s="53">
        <v>2004</v>
      </c>
      <c r="E1650" s="59">
        <v>6550951224</v>
      </c>
      <c r="F1650" s="59">
        <v>7505503713</v>
      </c>
      <c r="G1650" s="59">
        <v>12215265686</v>
      </c>
      <c r="H1650" s="59">
        <v>1426515894</v>
      </c>
      <c r="I1650" s="55">
        <f t="shared" si="74"/>
        <v>27698236517</v>
      </c>
      <c r="J1650" s="54">
        <v>0</v>
      </c>
      <c r="K1650" s="56">
        <f t="shared" si="75"/>
        <v>27698236517</v>
      </c>
      <c r="L1650" s="37">
        <v>0</v>
      </c>
      <c r="O1650" s="38" t="str">
        <f>IF([1]totrevprm!O1651="","",[1]totrevprm!O1651)</f>
        <v/>
      </c>
      <c r="V1650" s="38"/>
      <c r="W1650" s="58"/>
      <c r="X1650" s="58"/>
      <c r="Y1650" s="58"/>
      <c r="Z1650" s="58"/>
    </row>
    <row r="1651" spans="1:26">
      <c r="A1651" s="50" t="s">
        <v>71</v>
      </c>
      <c r="B1651" s="51" t="s">
        <v>229</v>
      </c>
      <c r="C1651" s="52"/>
      <c r="D1651" s="53">
        <v>2005</v>
      </c>
      <c r="E1651" s="59">
        <v>6657225931</v>
      </c>
      <c r="F1651" s="59">
        <v>8088609503</v>
      </c>
      <c r="G1651" s="59">
        <v>13909037431</v>
      </c>
      <c r="H1651" s="59">
        <v>413601202</v>
      </c>
      <c r="I1651" s="55">
        <f t="shared" si="74"/>
        <v>29068474067</v>
      </c>
      <c r="J1651" s="54">
        <v>0</v>
      </c>
      <c r="K1651" s="56">
        <f t="shared" si="75"/>
        <v>29068474067</v>
      </c>
      <c r="L1651" s="37">
        <v>111496799</v>
      </c>
      <c r="M1651" s="67" t="s">
        <v>735</v>
      </c>
      <c r="N1651" t="s">
        <v>708</v>
      </c>
      <c r="O1651" s="38" t="str">
        <f>IF([1]totrevprm!O1652="","",[1]totrevprm!O1652)</f>
        <v/>
      </c>
      <c r="T1651" s="68"/>
      <c r="V1651" s="38"/>
      <c r="W1651" s="58"/>
      <c r="X1651" s="58"/>
      <c r="Y1651" s="58"/>
      <c r="Z1651" s="58"/>
    </row>
    <row r="1652" spans="1:26">
      <c r="A1652" s="50" t="s">
        <v>71</v>
      </c>
      <c r="B1652" s="51" t="s">
        <v>229</v>
      </c>
      <c r="C1652" s="52"/>
      <c r="D1652" s="53">
        <v>2006</v>
      </c>
      <c r="E1652" s="37">
        <v>7264913881</v>
      </c>
      <c r="F1652" s="37">
        <v>9633442441</v>
      </c>
      <c r="G1652" s="37">
        <v>15474603274</v>
      </c>
      <c r="H1652" s="37">
        <v>263035259</v>
      </c>
      <c r="I1652" s="55">
        <f t="shared" si="74"/>
        <v>32635994855</v>
      </c>
      <c r="J1652" s="54">
        <v>0</v>
      </c>
      <c r="K1652" s="56">
        <f t="shared" si="75"/>
        <v>32635994855</v>
      </c>
      <c r="L1652" s="37">
        <v>153773541</v>
      </c>
      <c r="M1652" s="67" t="s">
        <v>735</v>
      </c>
      <c r="N1652" t="s">
        <v>708</v>
      </c>
      <c r="O1652" s="38" t="str">
        <f>IF([1]totrevprm!O1653="","",[1]totrevprm!O1653)</f>
        <v/>
      </c>
      <c r="T1652" s="68"/>
      <c r="V1652" s="38"/>
      <c r="W1652" s="58"/>
      <c r="X1652" s="58"/>
      <c r="Y1652" s="58"/>
      <c r="Z1652" s="58"/>
    </row>
    <row r="1653" spans="1:26">
      <c r="A1653" s="50" t="s">
        <v>71</v>
      </c>
      <c r="B1653" s="51" t="s">
        <v>229</v>
      </c>
      <c r="C1653" s="52"/>
      <c r="D1653" s="53">
        <v>2007</v>
      </c>
      <c r="E1653" s="37">
        <v>7622698764</v>
      </c>
      <c r="F1653" s="37">
        <v>9538505848</v>
      </c>
      <c r="G1653" s="37">
        <v>17682293749</v>
      </c>
      <c r="H1653" s="37">
        <v>288076403</v>
      </c>
      <c r="I1653" s="55">
        <f t="shared" si="74"/>
        <v>35131574764</v>
      </c>
      <c r="J1653" s="54">
        <v>0</v>
      </c>
      <c r="K1653" s="56">
        <f t="shared" si="75"/>
        <v>35131574764</v>
      </c>
      <c r="L1653" s="37">
        <v>143224160</v>
      </c>
      <c r="M1653" s="67" t="s">
        <v>735</v>
      </c>
      <c r="N1653" t="s">
        <v>708</v>
      </c>
      <c r="O1653" s="38" t="str">
        <f>IF([1]totrevprm!O1654="","",[1]totrevprm!O1654)</f>
        <v/>
      </c>
      <c r="T1653" s="68"/>
      <c r="V1653" s="38"/>
      <c r="W1653" s="58"/>
      <c r="X1653" s="58"/>
      <c r="Y1653" s="58"/>
      <c r="Z1653" s="58"/>
    </row>
    <row r="1654" spans="1:26">
      <c r="A1654" s="50" t="s">
        <v>71</v>
      </c>
      <c r="B1654" s="51" t="s">
        <v>229</v>
      </c>
      <c r="C1654" s="52"/>
      <c r="D1654" s="53">
        <v>2008</v>
      </c>
      <c r="E1654" s="37">
        <v>7814055699</v>
      </c>
      <c r="F1654" s="37">
        <v>12056332025</v>
      </c>
      <c r="G1654" s="37">
        <v>18897688295</v>
      </c>
      <c r="H1654" s="37">
        <v>258789568</v>
      </c>
      <c r="I1654" s="55">
        <f t="shared" si="74"/>
        <v>39026865587</v>
      </c>
      <c r="J1654" s="54">
        <v>0</v>
      </c>
      <c r="K1654" s="56">
        <f t="shared" si="75"/>
        <v>39026865587</v>
      </c>
      <c r="L1654" s="37">
        <v>176873118</v>
      </c>
      <c r="M1654" s="67" t="s">
        <v>735</v>
      </c>
      <c r="N1654" t="s">
        <v>708</v>
      </c>
      <c r="O1654" s="38" t="str">
        <f>IF([1]totrevprm!O1655="","",[1]totrevprm!O1655)</f>
        <v/>
      </c>
      <c r="T1654" s="68"/>
      <c r="V1654" s="38"/>
      <c r="W1654" s="58"/>
      <c r="X1654" s="58"/>
      <c r="Y1654" s="58"/>
      <c r="Z1654" s="58"/>
    </row>
    <row r="1655" spans="1:26">
      <c r="A1655" s="50" t="s">
        <v>71</v>
      </c>
      <c r="B1655" s="51" t="s">
        <v>229</v>
      </c>
      <c r="C1655" s="52"/>
      <c r="D1655" s="53">
        <v>2009</v>
      </c>
      <c r="E1655" s="37">
        <v>8312953288</v>
      </c>
      <c r="F1655" s="37">
        <v>10534229038</v>
      </c>
      <c r="G1655" s="37">
        <v>19493137323</v>
      </c>
      <c r="H1655" s="37">
        <v>335584242</v>
      </c>
      <c r="I1655" s="55">
        <f t="shared" si="74"/>
        <v>38675903891</v>
      </c>
      <c r="J1655" s="54">
        <v>0</v>
      </c>
      <c r="K1655" s="56">
        <f t="shared" si="75"/>
        <v>38675903891</v>
      </c>
      <c r="L1655" s="37">
        <v>80667936</v>
      </c>
      <c r="M1655" s="67" t="s">
        <v>735</v>
      </c>
      <c r="N1655" t="s">
        <v>708</v>
      </c>
      <c r="O1655" s="38" t="str">
        <f>IF([1]totrevprm!O1656="","",[1]totrevprm!O1656)</f>
        <v/>
      </c>
      <c r="T1655" s="68"/>
      <c r="V1655" s="38"/>
      <c r="W1655" s="58"/>
      <c r="X1655" s="58"/>
      <c r="Y1655" s="58"/>
      <c r="Z1655" s="58"/>
    </row>
    <row r="1656" spans="1:26">
      <c r="A1656" s="50" t="s">
        <v>71</v>
      </c>
      <c r="B1656" s="51" t="s">
        <v>229</v>
      </c>
      <c r="C1656" s="52"/>
      <c r="D1656" s="53">
        <v>2010</v>
      </c>
      <c r="E1656" s="37">
        <v>8667468764</v>
      </c>
      <c r="F1656" s="37">
        <v>9038799334</v>
      </c>
      <c r="G1656" s="37">
        <v>20538515463</v>
      </c>
      <c r="H1656" s="37">
        <v>189844865</v>
      </c>
      <c r="I1656" s="55">
        <f t="shared" si="74"/>
        <v>38434628426</v>
      </c>
      <c r="J1656" s="54">
        <v>0</v>
      </c>
      <c r="K1656" s="56">
        <f t="shared" si="75"/>
        <v>38434628426</v>
      </c>
      <c r="L1656" s="37">
        <v>91253714</v>
      </c>
      <c r="M1656" s="67" t="s">
        <v>735</v>
      </c>
      <c r="N1656" t="s">
        <v>708</v>
      </c>
      <c r="O1656" s="38" t="str">
        <f>IF([1]totrevprm!O1657="","",[1]totrevprm!O1657)</f>
        <v/>
      </c>
      <c r="T1656" s="68"/>
      <c r="V1656" s="38"/>
      <c r="W1656" s="58"/>
      <c r="X1656" s="58"/>
      <c r="Y1656" s="58"/>
      <c r="Z1656" s="58"/>
    </row>
    <row r="1657" spans="1:26">
      <c r="A1657" s="50" t="s">
        <v>71</v>
      </c>
      <c r="B1657" s="51" t="s">
        <v>229</v>
      </c>
      <c r="C1657" s="52"/>
      <c r="D1657" s="53">
        <v>2011</v>
      </c>
      <c r="E1657" s="37">
        <v>9191938651</v>
      </c>
      <c r="F1657" s="37">
        <v>9080676285</v>
      </c>
      <c r="G1657" s="37">
        <v>20650737570</v>
      </c>
      <c r="H1657" s="37">
        <v>244780838</v>
      </c>
      <c r="I1657" s="55">
        <f t="shared" si="74"/>
        <v>39168133344</v>
      </c>
      <c r="J1657" s="54">
        <v>0</v>
      </c>
      <c r="K1657" s="56">
        <f t="shared" si="75"/>
        <v>39168133344</v>
      </c>
      <c r="L1657" s="37">
        <v>77768369</v>
      </c>
      <c r="M1657" s="67" t="s">
        <v>735</v>
      </c>
      <c r="N1657" t="s">
        <v>708</v>
      </c>
      <c r="O1657" s="38" t="str">
        <f>IF([1]totrevprm!O1658="","",[1]totrevprm!O1658)</f>
        <v/>
      </c>
      <c r="T1657" s="68"/>
      <c r="V1657" s="38"/>
      <c r="W1657" s="58"/>
      <c r="X1657" s="58"/>
      <c r="Y1657" s="58"/>
      <c r="Z1657" s="58"/>
    </row>
    <row r="1658" spans="1:26">
      <c r="A1658" s="50" t="s">
        <v>71</v>
      </c>
      <c r="B1658" s="51" t="s">
        <v>229</v>
      </c>
      <c r="C1658" s="52"/>
      <c r="D1658" s="53">
        <v>2012</v>
      </c>
      <c r="E1658" s="37">
        <v>9696114854</v>
      </c>
      <c r="F1658" s="37">
        <v>10259833214</v>
      </c>
      <c r="G1658" s="37">
        <v>23410376830</v>
      </c>
      <c r="H1658" s="37">
        <v>315222026</v>
      </c>
      <c r="I1658" s="55">
        <f t="shared" si="74"/>
        <v>43681546924</v>
      </c>
      <c r="J1658" s="54">
        <v>0</v>
      </c>
      <c r="K1658" s="56">
        <f t="shared" si="75"/>
        <v>43681546924</v>
      </c>
      <c r="L1658" s="37">
        <v>91618150</v>
      </c>
      <c r="M1658" s="67" t="s">
        <v>735</v>
      </c>
      <c r="N1658" t="s">
        <v>708</v>
      </c>
      <c r="O1658" s="38" t="str">
        <f>IF([1]totrevprm!O1659="","",[1]totrevprm!O1659)</f>
        <v/>
      </c>
      <c r="T1658" s="68"/>
      <c r="V1658" s="38"/>
      <c r="W1658" s="58"/>
      <c r="X1658" s="58"/>
      <c r="Y1658" s="58"/>
      <c r="Z1658" s="58"/>
    </row>
    <row r="1659" spans="1:26">
      <c r="A1659" s="50" t="s">
        <v>71</v>
      </c>
      <c r="B1659" s="51" t="s">
        <v>229</v>
      </c>
      <c r="C1659" s="52"/>
      <c r="D1659" s="53">
        <v>2013</v>
      </c>
      <c r="E1659" s="37">
        <v>10050040204</v>
      </c>
      <c r="F1659" s="37">
        <v>9848355328</v>
      </c>
      <c r="G1659" s="37">
        <v>22990920607</v>
      </c>
      <c r="H1659" s="37">
        <v>336320362</v>
      </c>
      <c r="I1659" s="55">
        <f t="shared" si="74"/>
        <v>43225636501</v>
      </c>
      <c r="J1659" s="54">
        <v>0</v>
      </c>
      <c r="K1659" s="56">
        <f t="shared" si="75"/>
        <v>43225636501</v>
      </c>
      <c r="L1659" s="37">
        <v>96237107</v>
      </c>
      <c r="M1659" s="67" t="s">
        <v>735</v>
      </c>
      <c r="N1659" t="s">
        <v>708</v>
      </c>
      <c r="O1659" s="38" t="str">
        <f>IF([1]totrevprm!O1660="","",[1]totrevprm!O1660)</f>
        <v/>
      </c>
      <c r="T1659" s="68"/>
      <c r="V1659" s="38"/>
      <c r="W1659" s="58"/>
      <c r="X1659" s="58"/>
      <c r="Y1659" s="58"/>
      <c r="Z1659" s="58"/>
    </row>
    <row r="1660" spans="1:26">
      <c r="A1660" s="50" t="s">
        <v>71</v>
      </c>
      <c r="B1660" s="51" t="s">
        <v>229</v>
      </c>
      <c r="C1660" s="52"/>
      <c r="D1660" s="53">
        <v>2014</v>
      </c>
      <c r="E1660" s="37">
        <v>10368167225</v>
      </c>
      <c r="F1660" s="37">
        <v>10380730543</v>
      </c>
      <c r="G1660" s="37">
        <v>25107701208</v>
      </c>
      <c r="H1660" s="37">
        <v>277240921</v>
      </c>
      <c r="I1660" s="55">
        <f t="shared" si="74"/>
        <v>46133839897</v>
      </c>
      <c r="J1660" s="54">
        <v>0</v>
      </c>
      <c r="K1660" s="56">
        <f t="shared" si="75"/>
        <v>46133839897</v>
      </c>
      <c r="L1660" s="37">
        <v>119954432</v>
      </c>
      <c r="M1660" s="67" t="s">
        <v>735</v>
      </c>
      <c r="N1660" t="s">
        <v>708</v>
      </c>
      <c r="O1660" s="38" t="str">
        <f>IF([1]totrevprm!O1661="","",[1]totrevprm!O1661)</f>
        <v/>
      </c>
      <c r="T1660" s="68"/>
      <c r="V1660" s="38"/>
      <c r="W1660" s="58"/>
      <c r="X1660" s="58"/>
      <c r="Y1660" s="58"/>
      <c r="Z1660" s="58"/>
    </row>
    <row r="1661" spans="1:26">
      <c r="A1661" s="50" t="s">
        <v>71</v>
      </c>
      <c r="B1661" s="51" t="s">
        <v>229</v>
      </c>
      <c r="C1661" s="52"/>
      <c r="D1661" s="53">
        <v>2015</v>
      </c>
      <c r="E1661" s="37">
        <v>10814229853</v>
      </c>
      <c r="F1661" s="37">
        <v>12053126891</v>
      </c>
      <c r="G1661" s="37">
        <v>26921409521</v>
      </c>
      <c r="H1661" s="37">
        <v>299495477</v>
      </c>
      <c r="I1661" s="55">
        <f t="shared" si="74"/>
        <v>50088261742</v>
      </c>
      <c r="J1661" s="54">
        <v>0</v>
      </c>
      <c r="K1661" s="56">
        <f t="shared" si="75"/>
        <v>50088261742</v>
      </c>
      <c r="L1661" s="37">
        <v>991011167</v>
      </c>
      <c r="M1661" s="67" t="s">
        <v>735</v>
      </c>
      <c r="N1661" t="s">
        <v>708</v>
      </c>
      <c r="O1661" s="38" t="str">
        <f>IF([1]totrevprm!O1662="","",[1]totrevprm!O1662)</f>
        <v/>
      </c>
      <c r="P1661" s="35">
        <v>1754699476.3391187</v>
      </c>
      <c r="Q1661" s="35">
        <v>637916657.93492544</v>
      </c>
      <c r="T1661" s="68"/>
      <c r="V1661" s="38"/>
      <c r="W1661" s="58"/>
      <c r="X1661" s="58"/>
      <c r="Y1661" s="58"/>
      <c r="Z1661" s="58"/>
    </row>
    <row r="1662" spans="1:26">
      <c r="A1662" s="50" t="s">
        <v>71</v>
      </c>
      <c r="B1662" s="51" t="s">
        <v>229</v>
      </c>
      <c r="C1662" s="52"/>
      <c r="D1662" s="53">
        <v>2016</v>
      </c>
      <c r="E1662" s="37">
        <v>11003763589</v>
      </c>
      <c r="F1662" s="37">
        <v>13054416656</v>
      </c>
      <c r="G1662" s="37">
        <v>27057913014</v>
      </c>
      <c r="H1662" s="37">
        <v>351851006</v>
      </c>
      <c r="I1662" s="55">
        <f t="shared" si="74"/>
        <v>51467944265</v>
      </c>
      <c r="J1662" s="54">
        <v>0</v>
      </c>
      <c r="K1662" s="56">
        <f t="shared" si="75"/>
        <v>51467944265</v>
      </c>
      <c r="L1662" s="37">
        <v>179777391</v>
      </c>
      <c r="M1662" s="67" t="s">
        <v>735</v>
      </c>
      <c r="N1662" t="s">
        <v>708</v>
      </c>
      <c r="O1662" s="38" t="str">
        <f>IF([1]totrevprm!O1663="","",[1]totrevprm!O1663)</f>
        <v/>
      </c>
      <c r="P1662" s="35">
        <v>1756203151.3630674</v>
      </c>
      <c r="Q1662" s="35">
        <v>645735644.78646624</v>
      </c>
      <c r="T1662" s="68"/>
      <c r="V1662" s="38"/>
      <c r="W1662" s="58"/>
      <c r="X1662" s="58"/>
      <c r="Y1662" s="58"/>
      <c r="Z1662" s="58"/>
    </row>
    <row r="1663" spans="1:26">
      <c r="A1663" s="50" t="s">
        <v>71</v>
      </c>
      <c r="B1663" s="51" t="s">
        <v>229</v>
      </c>
      <c r="C1663" s="52"/>
      <c r="D1663" s="53">
        <v>2017</v>
      </c>
      <c r="E1663" s="37">
        <v>11533302135</v>
      </c>
      <c r="F1663" s="37">
        <v>12277752819</v>
      </c>
      <c r="G1663" s="37">
        <v>27860842629</v>
      </c>
      <c r="H1663" s="37">
        <v>266775659</v>
      </c>
      <c r="I1663" s="55">
        <f t="shared" si="74"/>
        <v>51938673242</v>
      </c>
      <c r="J1663" s="54">
        <v>0</v>
      </c>
      <c r="K1663" s="56">
        <f t="shared" si="75"/>
        <v>51938673242</v>
      </c>
      <c r="L1663" s="60">
        <v>134608782</v>
      </c>
      <c r="M1663" s="67" t="s">
        <v>735</v>
      </c>
      <c r="N1663" t="s">
        <v>708</v>
      </c>
      <c r="O1663" s="38" t="str">
        <f>IF([1]totrevprm!O1664="","",[1]totrevprm!O1664)</f>
        <v/>
      </c>
      <c r="P1663" s="35">
        <v>1844985602.4625621</v>
      </c>
      <c r="Q1663" s="35">
        <v>652082134.68677163</v>
      </c>
      <c r="T1663" s="68"/>
      <c r="V1663" s="38"/>
      <c r="W1663" s="58"/>
      <c r="X1663" s="58"/>
      <c r="Y1663" s="58"/>
      <c r="Z1663" s="58"/>
    </row>
    <row r="1664" spans="1:26">
      <c r="A1664" s="50" t="s">
        <v>71</v>
      </c>
      <c r="B1664" s="51" t="s">
        <v>229</v>
      </c>
      <c r="C1664" s="52"/>
      <c r="D1664" s="53">
        <v>2018</v>
      </c>
      <c r="E1664" s="37">
        <v>11953545493</v>
      </c>
      <c r="F1664" s="37">
        <v>15989369255</v>
      </c>
      <c r="G1664" s="37">
        <v>24141500092.02</v>
      </c>
      <c r="H1664" s="37">
        <v>265031541</v>
      </c>
      <c r="I1664" s="55">
        <f t="shared" si="74"/>
        <v>52349446381.020004</v>
      </c>
      <c r="J1664" s="54">
        <v>0</v>
      </c>
      <c r="K1664" s="56">
        <f t="shared" si="75"/>
        <v>52349446381.020004</v>
      </c>
      <c r="L1664" s="60">
        <v>171444711</v>
      </c>
      <c r="M1664" s="67" t="s">
        <v>735</v>
      </c>
      <c r="N1664" t="s">
        <v>708</v>
      </c>
      <c r="O1664" s="38" t="str">
        <f>IF([1]totrevprm!O1665="","",[1]totrevprm!O1665)</f>
        <v/>
      </c>
      <c r="P1664" s="35">
        <v>1916715584.9031532</v>
      </c>
      <c r="Q1664" s="35">
        <v>639010290.65300226</v>
      </c>
      <c r="T1664" s="68"/>
      <c r="V1664" s="38"/>
      <c r="W1664" s="58"/>
      <c r="X1664" s="58"/>
      <c r="Y1664" s="58"/>
      <c r="Z1664" s="58"/>
    </row>
    <row r="1665" spans="1:26">
      <c r="A1665" s="50" t="s">
        <v>71</v>
      </c>
      <c r="B1665" s="51" t="s">
        <v>229</v>
      </c>
      <c r="C1665" s="52"/>
      <c r="D1665" s="53">
        <v>2019</v>
      </c>
      <c r="E1665" s="37">
        <v>12535447148</v>
      </c>
      <c r="F1665" s="37">
        <v>15096908842</v>
      </c>
      <c r="G1665" s="37">
        <v>31754308069.053501</v>
      </c>
      <c r="H1665" s="37">
        <v>303292151</v>
      </c>
      <c r="I1665" s="55">
        <f t="shared" si="74"/>
        <v>59689956210.053497</v>
      </c>
      <c r="J1665" s="54">
        <v>0</v>
      </c>
      <c r="K1665" s="56">
        <f t="shared" si="75"/>
        <v>59689956210.053497</v>
      </c>
      <c r="L1665" s="60">
        <v>211160548</v>
      </c>
      <c r="M1665" s="67" t="s">
        <v>746</v>
      </c>
      <c r="N1665" t="s">
        <v>708</v>
      </c>
      <c r="O1665" s="38" t="str">
        <f>IF([1]totrevprm!O1666="","",[1]totrevprm!O1666)</f>
        <v>Yes</v>
      </c>
      <c r="P1665" s="35">
        <v>2089465600.0151274</v>
      </c>
      <c r="Q1665" s="35">
        <v>664577844.06613266</v>
      </c>
      <c r="T1665" s="68"/>
      <c r="V1665" s="38"/>
      <c r="W1665" s="58"/>
      <c r="X1665" s="58"/>
      <c r="Y1665" s="58"/>
      <c r="Z1665" s="58"/>
    </row>
    <row r="1666" spans="1:26">
      <c r="A1666" s="50" t="s">
        <v>71</v>
      </c>
      <c r="B1666" s="51" t="s">
        <v>229</v>
      </c>
      <c r="C1666" s="52"/>
      <c r="D1666" s="53">
        <v>2020</v>
      </c>
      <c r="E1666" s="37">
        <v>12742538294</v>
      </c>
      <c r="F1666" s="37">
        <v>15361914789</v>
      </c>
      <c r="G1666" s="37">
        <v>32161111608</v>
      </c>
      <c r="H1666" s="37">
        <v>529317686</v>
      </c>
      <c r="I1666" s="55">
        <f t="shared" si="74"/>
        <v>60794882377</v>
      </c>
      <c r="J1666" s="54">
        <v>0</v>
      </c>
      <c r="K1666" s="56">
        <f t="shared" si="75"/>
        <v>60794882377</v>
      </c>
      <c r="L1666" s="60">
        <v>173112983</v>
      </c>
      <c r="M1666" s="67" t="s">
        <v>738</v>
      </c>
      <c r="N1666" t="s">
        <v>708</v>
      </c>
      <c r="O1666" s="38" t="str">
        <f>IF([1]totrevprm!O1667="","",[1]totrevprm!O1667)</f>
        <v/>
      </c>
      <c r="P1666" s="35">
        <v>2120273003</v>
      </c>
      <c r="Q1666" s="35">
        <v>632355091</v>
      </c>
      <c r="T1666" s="68"/>
      <c r="V1666" s="38"/>
      <c r="W1666" s="58"/>
      <c r="X1666" s="58"/>
      <c r="Y1666" s="58"/>
      <c r="Z1666" s="58"/>
    </row>
    <row r="1667" spans="1:26">
      <c r="A1667" s="50" t="s">
        <v>71</v>
      </c>
      <c r="B1667" s="51" t="s">
        <v>229</v>
      </c>
      <c r="C1667" s="52"/>
      <c r="D1667" s="53">
        <v>2021</v>
      </c>
      <c r="E1667" s="37">
        <v>13696058847.6</v>
      </c>
      <c r="F1667" s="37">
        <v>17838461545.200001</v>
      </c>
      <c r="G1667" s="37">
        <v>35274860995.080002</v>
      </c>
      <c r="H1667" s="37">
        <v>255193542</v>
      </c>
      <c r="I1667" s="55">
        <f t="shared" si="74"/>
        <v>67064574929.880005</v>
      </c>
      <c r="J1667" s="54">
        <v>0</v>
      </c>
      <c r="K1667" s="56">
        <f t="shared" si="75"/>
        <v>67064574929.880005</v>
      </c>
      <c r="L1667" s="37">
        <v>0</v>
      </c>
      <c r="M1667" s="67" t="s">
        <v>739</v>
      </c>
      <c r="N1667" t="s">
        <v>708</v>
      </c>
      <c r="O1667" s="38"/>
      <c r="P1667" s="35">
        <v>1997596337.8699999</v>
      </c>
      <c r="Q1667" s="35">
        <v>668505934</v>
      </c>
      <c r="T1667" s="68"/>
      <c r="V1667" s="38"/>
      <c r="W1667" s="58"/>
      <c r="X1667" s="58"/>
      <c r="Y1667" s="58"/>
      <c r="Z1667" s="58"/>
    </row>
    <row r="1668" spans="1:26">
      <c r="A1668" s="50" t="s">
        <v>71</v>
      </c>
      <c r="B1668" s="51" t="s">
        <v>229</v>
      </c>
      <c r="C1668" s="52"/>
      <c r="D1668" s="53">
        <v>2022</v>
      </c>
      <c r="E1668" s="37">
        <v>14324335482</v>
      </c>
      <c r="F1668" s="37">
        <v>21820480564</v>
      </c>
      <c r="G1668" s="37">
        <v>41411761571</v>
      </c>
      <c r="H1668" s="37">
        <v>261433159</v>
      </c>
      <c r="I1668" s="55">
        <f t="shared" si="74"/>
        <v>77818010776</v>
      </c>
      <c r="J1668" s="54">
        <v>0</v>
      </c>
      <c r="K1668" s="56">
        <f t="shared" si="75"/>
        <v>77818010776</v>
      </c>
      <c r="L1668" s="37">
        <v>0</v>
      </c>
      <c r="M1668" s="67" t="s">
        <v>739</v>
      </c>
      <c r="N1668" t="s">
        <v>708</v>
      </c>
      <c r="O1668" s="38" t="str">
        <f>IF([1]totrevprm!O1671="","",[1]totrevprm!O1671)</f>
        <v/>
      </c>
      <c r="P1668" s="60">
        <v>2234051073</v>
      </c>
      <c r="Q1668" s="60">
        <v>668674718</v>
      </c>
    </row>
    <row r="1669" spans="1:26">
      <c r="A1669" s="50" t="s">
        <v>71</v>
      </c>
      <c r="B1669" s="51" t="s">
        <v>229</v>
      </c>
      <c r="C1669" s="52"/>
      <c r="D1669" s="53">
        <v>2023</v>
      </c>
      <c r="E1669" s="37">
        <v>14754437548</v>
      </c>
      <c r="F1669" s="37">
        <v>26645465503.883499</v>
      </c>
      <c r="G1669" s="37">
        <v>46148224262.044098</v>
      </c>
      <c r="H1669" s="37">
        <v>210845556</v>
      </c>
      <c r="I1669" s="55">
        <f t="shared" si="74"/>
        <v>87758972869.927597</v>
      </c>
      <c r="J1669" s="54">
        <v>0</v>
      </c>
      <c r="K1669" s="56">
        <f t="shared" si="75"/>
        <v>87758972869.927597</v>
      </c>
      <c r="L1669" s="37">
        <v>0</v>
      </c>
      <c r="M1669" s="67" t="s">
        <v>739</v>
      </c>
      <c r="O1669" s="38"/>
      <c r="P1669" s="60">
        <v>2415028637.98</v>
      </c>
      <c r="Q1669" s="60">
        <v>661460466</v>
      </c>
    </row>
    <row r="1670" spans="1:26">
      <c r="A1670" s="50"/>
      <c r="B1670" s="52"/>
      <c r="C1670" s="52"/>
      <c r="E1670" s="54"/>
      <c r="F1670" s="54"/>
      <c r="G1670" s="54"/>
      <c r="H1670" s="54"/>
      <c r="I1670" s="55"/>
      <c r="K1670" s="65"/>
      <c r="L1670" s="37"/>
      <c r="O1670" s="38"/>
    </row>
    <row r="1671" spans="1:26">
      <c r="A1671" s="50" t="s">
        <v>72</v>
      </c>
      <c r="B1671" s="51" t="s">
        <v>381</v>
      </c>
      <c r="C1671" s="52" t="s">
        <v>730</v>
      </c>
      <c r="D1671" s="53">
        <v>1988</v>
      </c>
      <c r="E1671" s="54">
        <v>313526813</v>
      </c>
      <c r="F1671" s="54">
        <v>290557522</v>
      </c>
      <c r="G1671" s="54">
        <v>470386838</v>
      </c>
      <c r="H1671" s="54">
        <v>0</v>
      </c>
      <c r="I1671" s="55">
        <f t="shared" si="74"/>
        <v>1074471173</v>
      </c>
      <c r="J1671" s="54">
        <v>-466145</v>
      </c>
      <c r="K1671" s="56">
        <f>SUM(I1671:J1671)</f>
        <v>1074005028</v>
      </c>
      <c r="L1671" s="37">
        <v>0</v>
      </c>
      <c r="O1671" s="38" t="str">
        <f>IF([1]totrevprm!O1672="","",[1]totrevprm!O1672)</f>
        <v/>
      </c>
    </row>
    <row r="1672" spans="1:26">
      <c r="A1672" s="50" t="s">
        <v>72</v>
      </c>
      <c r="B1672" s="51" t="s">
        <v>381</v>
      </c>
      <c r="C1672" s="52" t="s">
        <v>731</v>
      </c>
      <c r="D1672" s="53">
        <v>1989</v>
      </c>
      <c r="E1672" s="54">
        <v>299172790</v>
      </c>
      <c r="F1672" s="54">
        <v>379254528</v>
      </c>
      <c r="G1672" s="54">
        <v>581428474</v>
      </c>
      <c r="H1672" s="54">
        <v>0</v>
      </c>
      <c r="I1672" s="55">
        <f t="shared" si="74"/>
        <v>1259855792</v>
      </c>
      <c r="J1672" s="54">
        <v>-2506118</v>
      </c>
      <c r="K1672" s="56">
        <f t="shared" ref="K1672:K1706" si="76">SUM(I1672:J1672)</f>
        <v>1257349674</v>
      </c>
      <c r="L1672" s="37">
        <v>0</v>
      </c>
      <c r="O1672" s="38" t="str">
        <f>IF([1]totrevprm!O1673="","",[1]totrevprm!O1673)</f>
        <v/>
      </c>
    </row>
    <row r="1673" spans="1:26">
      <c r="A1673" s="50" t="s">
        <v>72</v>
      </c>
      <c r="B1673" s="51" t="s">
        <v>381</v>
      </c>
      <c r="C1673" s="52" t="s">
        <v>731</v>
      </c>
      <c r="D1673" s="53">
        <v>1990</v>
      </c>
      <c r="E1673" s="54">
        <v>318604445</v>
      </c>
      <c r="F1673" s="54">
        <v>414986860.44</v>
      </c>
      <c r="G1673" s="54">
        <v>644904260</v>
      </c>
      <c r="H1673" s="54">
        <v>0</v>
      </c>
      <c r="I1673" s="55">
        <f t="shared" si="74"/>
        <v>1378495565.4400001</v>
      </c>
      <c r="J1673" s="54">
        <v>-2683586</v>
      </c>
      <c r="K1673" s="56">
        <f t="shared" si="76"/>
        <v>1375811979.4400001</v>
      </c>
      <c r="L1673" s="37">
        <v>0</v>
      </c>
      <c r="O1673" s="38" t="str">
        <f>IF([1]totrevprm!O1674="","",[1]totrevprm!O1674)</f>
        <v/>
      </c>
    </row>
    <row r="1674" spans="1:26">
      <c r="A1674" s="50" t="s">
        <v>72</v>
      </c>
      <c r="B1674" s="51" t="s">
        <v>381</v>
      </c>
      <c r="C1674" s="52" t="s">
        <v>750</v>
      </c>
      <c r="D1674" s="53">
        <v>1991</v>
      </c>
      <c r="E1674" s="54">
        <v>354581693</v>
      </c>
      <c r="F1674" s="54">
        <v>340404656</v>
      </c>
      <c r="G1674" s="54">
        <v>506517887</v>
      </c>
      <c r="H1674" s="54">
        <v>140164604</v>
      </c>
      <c r="I1674" s="55">
        <f t="shared" si="74"/>
        <v>1341668840</v>
      </c>
      <c r="J1674" s="54">
        <v>0</v>
      </c>
      <c r="K1674" s="56">
        <f t="shared" si="76"/>
        <v>1341668840</v>
      </c>
      <c r="L1674" s="37">
        <v>0</v>
      </c>
      <c r="O1674" s="38" t="str">
        <f>IF([1]totrevprm!O1675="","",[1]totrevprm!O1675)</f>
        <v/>
      </c>
    </row>
    <row r="1675" spans="1:26">
      <c r="A1675" s="50" t="s">
        <v>72</v>
      </c>
      <c r="B1675" s="51" t="s">
        <v>381</v>
      </c>
      <c r="C1675" s="52" t="s">
        <v>731</v>
      </c>
      <c r="D1675" s="53">
        <v>1992</v>
      </c>
      <c r="E1675" s="54">
        <v>387308050</v>
      </c>
      <c r="F1675" s="54">
        <v>349394173.12</v>
      </c>
      <c r="G1675" s="54">
        <v>524792525</v>
      </c>
      <c r="H1675" s="54">
        <v>117830898</v>
      </c>
      <c r="I1675" s="55">
        <f t="shared" si="74"/>
        <v>1379325646.1199999</v>
      </c>
      <c r="J1675" s="54">
        <v>0</v>
      </c>
      <c r="K1675" s="56">
        <f t="shared" si="76"/>
        <v>1379325646.1199999</v>
      </c>
      <c r="L1675" s="37">
        <v>0</v>
      </c>
      <c r="O1675" s="38" t="str">
        <f>IF([1]totrevprm!O1676="","",[1]totrevprm!O1676)</f>
        <v/>
      </c>
    </row>
    <row r="1676" spans="1:26">
      <c r="A1676" s="50" t="s">
        <v>72</v>
      </c>
      <c r="B1676" s="51" t="s">
        <v>381</v>
      </c>
      <c r="C1676" s="52" t="s">
        <v>731</v>
      </c>
      <c r="D1676" s="53">
        <v>1993</v>
      </c>
      <c r="E1676" s="54">
        <v>404053511</v>
      </c>
      <c r="F1676" s="54">
        <v>284964556</v>
      </c>
      <c r="G1676" s="54">
        <v>572786897</v>
      </c>
      <c r="H1676" s="54">
        <v>118494471</v>
      </c>
      <c r="I1676" s="55">
        <f t="shared" si="74"/>
        <v>1380299435</v>
      </c>
      <c r="J1676" s="54">
        <v>0</v>
      </c>
      <c r="K1676" s="56">
        <f t="shared" si="76"/>
        <v>1380299435</v>
      </c>
      <c r="L1676" s="37">
        <v>0</v>
      </c>
      <c r="O1676" s="38" t="str">
        <f>IF([1]totrevprm!O1677="","",[1]totrevprm!O1677)</f>
        <v/>
      </c>
    </row>
    <row r="1677" spans="1:26">
      <c r="A1677" s="50" t="s">
        <v>72</v>
      </c>
      <c r="B1677" s="51" t="s">
        <v>381</v>
      </c>
      <c r="C1677" s="52" t="s">
        <v>731</v>
      </c>
      <c r="D1677" s="53">
        <v>1994</v>
      </c>
      <c r="E1677" s="54">
        <v>448122101</v>
      </c>
      <c r="F1677" s="54">
        <v>335080149</v>
      </c>
      <c r="G1677" s="54">
        <v>598429341</v>
      </c>
      <c r="H1677" s="54">
        <v>82023413</v>
      </c>
      <c r="I1677" s="55">
        <f t="shared" si="74"/>
        <v>1463655004</v>
      </c>
      <c r="J1677" s="54">
        <v>0</v>
      </c>
      <c r="K1677" s="56">
        <f t="shared" si="76"/>
        <v>1463655004</v>
      </c>
      <c r="L1677" s="37">
        <v>0</v>
      </c>
      <c r="O1677" s="38" t="str">
        <f>IF([1]totrevprm!O1678="","",[1]totrevprm!O1678)</f>
        <v/>
      </c>
    </row>
    <row r="1678" spans="1:26">
      <c r="A1678" s="50" t="s">
        <v>72</v>
      </c>
      <c r="B1678" s="51" t="s">
        <v>381</v>
      </c>
      <c r="C1678" s="52" t="s">
        <v>731</v>
      </c>
      <c r="D1678" s="53">
        <v>1995</v>
      </c>
      <c r="E1678" s="54">
        <v>466569480</v>
      </c>
      <c r="F1678" s="54">
        <v>361825176</v>
      </c>
      <c r="G1678" s="54">
        <v>618199870</v>
      </c>
      <c r="H1678" s="54">
        <v>74926370</v>
      </c>
      <c r="I1678" s="55">
        <f t="shared" si="74"/>
        <v>1521520896</v>
      </c>
      <c r="J1678" s="54">
        <v>0</v>
      </c>
      <c r="K1678" s="56">
        <f t="shared" si="76"/>
        <v>1521520896</v>
      </c>
      <c r="L1678" s="37">
        <v>0</v>
      </c>
      <c r="O1678" s="38" t="str">
        <f>IF([1]totrevprm!O1679="","",[1]totrevprm!O1679)</f>
        <v/>
      </c>
    </row>
    <row r="1679" spans="1:26">
      <c r="A1679" s="50" t="s">
        <v>72</v>
      </c>
      <c r="B1679" s="51" t="s">
        <v>381</v>
      </c>
      <c r="C1679" s="52" t="s">
        <v>731</v>
      </c>
      <c r="D1679" s="53">
        <v>1996</v>
      </c>
      <c r="E1679" s="54">
        <v>538241101</v>
      </c>
      <c r="F1679" s="54">
        <v>293089887</v>
      </c>
      <c r="G1679" s="54">
        <v>896321487</v>
      </c>
      <c r="H1679" s="54">
        <v>57549757</v>
      </c>
      <c r="I1679" s="55">
        <f t="shared" si="74"/>
        <v>1785202232</v>
      </c>
      <c r="J1679" s="54">
        <v>0</v>
      </c>
      <c r="K1679" s="56">
        <f t="shared" si="76"/>
        <v>1785202232</v>
      </c>
      <c r="L1679" s="37">
        <v>0</v>
      </c>
      <c r="O1679" s="38" t="str">
        <f>IF([1]totrevprm!O1680="","",[1]totrevprm!O1680)</f>
        <v/>
      </c>
    </row>
    <row r="1680" spans="1:26">
      <c r="A1680" s="50" t="s">
        <v>72</v>
      </c>
      <c r="B1680" s="51" t="s">
        <v>381</v>
      </c>
      <c r="C1680" s="52" t="s">
        <v>731</v>
      </c>
      <c r="D1680" s="53">
        <v>1997</v>
      </c>
      <c r="E1680" s="54">
        <v>519625457</v>
      </c>
      <c r="F1680" s="54">
        <v>344918051</v>
      </c>
      <c r="G1680" s="54">
        <v>929835181</v>
      </c>
      <c r="H1680" s="54">
        <v>45809089</v>
      </c>
      <c r="I1680" s="55">
        <f t="shared" si="74"/>
        <v>1840187778</v>
      </c>
      <c r="J1680" s="54">
        <v>0</v>
      </c>
      <c r="K1680" s="56">
        <f t="shared" si="76"/>
        <v>1840187778</v>
      </c>
      <c r="L1680" s="37">
        <v>0</v>
      </c>
      <c r="O1680" s="38" t="str">
        <f>IF([1]totrevprm!O1681="","",[1]totrevprm!O1681)</f>
        <v/>
      </c>
    </row>
    <row r="1681" spans="1:26">
      <c r="A1681" s="50" t="s">
        <v>72</v>
      </c>
      <c r="B1681" s="51" t="s">
        <v>381</v>
      </c>
      <c r="C1681" s="52" t="s">
        <v>731</v>
      </c>
      <c r="D1681" s="53">
        <v>1998</v>
      </c>
      <c r="E1681" s="54">
        <v>537069568</v>
      </c>
      <c r="F1681" s="54">
        <v>331698352</v>
      </c>
      <c r="G1681" s="54">
        <v>1022320045</v>
      </c>
      <c r="H1681" s="54">
        <v>41350152</v>
      </c>
      <c r="I1681" s="55">
        <f t="shared" si="74"/>
        <v>1932438117</v>
      </c>
      <c r="J1681" s="54">
        <v>0</v>
      </c>
      <c r="K1681" s="56">
        <f t="shared" si="76"/>
        <v>1932438117</v>
      </c>
      <c r="L1681" s="37">
        <v>0</v>
      </c>
      <c r="O1681" s="38" t="str">
        <f>IF([1]totrevprm!O1682="","",[1]totrevprm!O1682)</f>
        <v/>
      </c>
    </row>
    <row r="1682" spans="1:26">
      <c r="A1682" s="50" t="s">
        <v>72</v>
      </c>
      <c r="B1682" s="51" t="s">
        <v>381</v>
      </c>
      <c r="C1682" s="52" t="s">
        <v>731</v>
      </c>
      <c r="D1682" s="53">
        <v>1999</v>
      </c>
      <c r="E1682" s="54">
        <v>710486850</v>
      </c>
      <c r="F1682" s="54">
        <v>448838668</v>
      </c>
      <c r="G1682" s="54">
        <v>1149140939</v>
      </c>
      <c r="H1682" s="54">
        <v>25579174</v>
      </c>
      <c r="I1682" s="55">
        <f t="shared" si="74"/>
        <v>2334045631</v>
      </c>
      <c r="J1682" s="54">
        <v>0</v>
      </c>
      <c r="K1682" s="56">
        <f t="shared" si="76"/>
        <v>2334045631</v>
      </c>
      <c r="L1682" s="37">
        <v>0</v>
      </c>
      <c r="O1682" s="38" t="str">
        <f>IF([1]totrevprm!O1683="","",[1]totrevprm!O1683)</f>
        <v/>
      </c>
    </row>
    <row r="1683" spans="1:26">
      <c r="A1683" s="50" t="s">
        <v>72</v>
      </c>
      <c r="B1683" s="51" t="s">
        <v>381</v>
      </c>
      <c r="C1683" s="52" t="s">
        <v>731</v>
      </c>
      <c r="D1683" s="53">
        <v>2000</v>
      </c>
      <c r="E1683" s="54">
        <v>523164041</v>
      </c>
      <c r="F1683" s="54">
        <v>485538959</v>
      </c>
      <c r="G1683" s="54">
        <v>1283676867</v>
      </c>
      <c r="H1683" s="54">
        <v>48591441</v>
      </c>
      <c r="I1683" s="55">
        <f t="shared" si="74"/>
        <v>2340971308</v>
      </c>
      <c r="J1683" s="54">
        <v>0</v>
      </c>
      <c r="K1683" s="56">
        <f t="shared" si="76"/>
        <v>2340971308</v>
      </c>
      <c r="L1683" s="37">
        <v>0</v>
      </c>
      <c r="O1683" s="38" t="str">
        <f>IF([1]totrevprm!O1684="","",[1]totrevprm!O1684)</f>
        <v/>
      </c>
      <c r="V1683" s="38" t="s">
        <v>381</v>
      </c>
      <c r="W1683" s="58">
        <v>415494</v>
      </c>
      <c r="X1683" s="58">
        <v>2078538</v>
      </c>
      <c r="Y1683" s="58">
        <v>3280069</v>
      </c>
      <c r="Z1683" s="58">
        <v>0</v>
      </c>
    </row>
    <row r="1684" spans="1:26">
      <c r="A1684" s="50" t="s">
        <v>72</v>
      </c>
      <c r="B1684" s="51" t="s">
        <v>381</v>
      </c>
      <c r="C1684" s="52" t="s">
        <v>816</v>
      </c>
      <c r="D1684" s="53">
        <v>2001</v>
      </c>
      <c r="E1684" s="54">
        <v>517566609</v>
      </c>
      <c r="F1684" s="54">
        <v>657243561</v>
      </c>
      <c r="G1684" s="54">
        <v>1425971566</v>
      </c>
      <c r="H1684" s="54">
        <v>38623752</v>
      </c>
      <c r="I1684" s="55">
        <f t="shared" si="74"/>
        <v>2639405488</v>
      </c>
      <c r="J1684" s="54">
        <v>0</v>
      </c>
      <c r="K1684" s="56">
        <f t="shared" si="76"/>
        <v>2639405488</v>
      </c>
      <c r="L1684" s="35">
        <v>1772286</v>
      </c>
      <c r="M1684" s="67" t="s">
        <v>735</v>
      </c>
      <c r="N1684" t="s">
        <v>708</v>
      </c>
      <c r="O1684" s="38" t="str">
        <f>IF([1]totrevprm!O1685="","",[1]totrevprm!O1685)</f>
        <v/>
      </c>
      <c r="V1684" s="38"/>
      <c r="W1684" s="58"/>
      <c r="X1684" s="58"/>
      <c r="Y1684" s="58"/>
      <c r="Z1684" s="58"/>
    </row>
    <row r="1685" spans="1:26">
      <c r="A1685" s="50" t="s">
        <v>72</v>
      </c>
      <c r="B1685" s="51" t="s">
        <v>381</v>
      </c>
      <c r="C1685" s="52" t="s">
        <v>731</v>
      </c>
      <c r="D1685" s="53">
        <v>2002</v>
      </c>
      <c r="E1685" s="54">
        <v>538503454</v>
      </c>
      <c r="F1685" s="54">
        <v>893815012</v>
      </c>
      <c r="G1685" s="54">
        <v>1500294415</v>
      </c>
      <c r="H1685" s="54">
        <v>29649653</v>
      </c>
      <c r="I1685" s="55">
        <f t="shared" si="74"/>
        <v>2962262534</v>
      </c>
      <c r="J1685" s="54">
        <v>0</v>
      </c>
      <c r="K1685" s="56">
        <f t="shared" si="76"/>
        <v>2962262534</v>
      </c>
      <c r="L1685" s="35">
        <v>818982</v>
      </c>
      <c r="M1685" s="67" t="s">
        <v>735</v>
      </c>
      <c r="N1685" t="s">
        <v>708</v>
      </c>
      <c r="O1685" s="38" t="str">
        <f>IF([1]totrevprm!O1686="","",[1]totrevprm!O1686)</f>
        <v/>
      </c>
      <c r="V1685" s="38"/>
      <c r="W1685" s="58"/>
      <c r="X1685" s="58"/>
      <c r="Y1685" s="58"/>
      <c r="Z1685" s="58"/>
    </row>
    <row r="1686" spans="1:26">
      <c r="A1686" s="50" t="s">
        <v>72</v>
      </c>
      <c r="B1686" s="51" t="s">
        <v>381</v>
      </c>
      <c r="C1686" s="52" t="s">
        <v>731</v>
      </c>
      <c r="D1686" s="53">
        <v>2003</v>
      </c>
      <c r="E1686" s="59">
        <v>601682895</v>
      </c>
      <c r="F1686" s="59">
        <v>862874288</v>
      </c>
      <c r="G1686" s="59">
        <v>1505793625</v>
      </c>
      <c r="H1686" s="59">
        <v>29971231</v>
      </c>
      <c r="I1686" s="55">
        <f t="shared" si="74"/>
        <v>3000322039</v>
      </c>
      <c r="J1686" s="54">
        <v>0</v>
      </c>
      <c r="K1686" s="56">
        <f t="shared" si="76"/>
        <v>3000322039</v>
      </c>
      <c r="L1686" s="37">
        <v>4633254</v>
      </c>
      <c r="M1686" s="67" t="s">
        <v>735</v>
      </c>
      <c r="N1686" t="s">
        <v>708</v>
      </c>
      <c r="O1686" s="38" t="str">
        <f>IF([1]totrevprm!O1687="","",[1]totrevprm!O1687)</f>
        <v/>
      </c>
      <c r="V1686" s="38"/>
      <c r="W1686" s="58"/>
      <c r="X1686" s="58"/>
      <c r="Y1686" s="58"/>
      <c r="Z1686" s="58"/>
    </row>
    <row r="1687" spans="1:26">
      <c r="A1687" s="50" t="s">
        <v>72</v>
      </c>
      <c r="B1687" s="51" t="s">
        <v>381</v>
      </c>
      <c r="C1687" s="52" t="s">
        <v>731</v>
      </c>
      <c r="D1687" s="53">
        <v>2004</v>
      </c>
      <c r="E1687" s="59">
        <v>618140701</v>
      </c>
      <c r="F1687" s="59">
        <v>799269204</v>
      </c>
      <c r="G1687" s="59">
        <v>1592483757</v>
      </c>
      <c r="H1687" s="59">
        <v>26970899</v>
      </c>
      <c r="I1687" s="55">
        <f t="shared" si="74"/>
        <v>3036864561</v>
      </c>
      <c r="J1687" s="54">
        <v>0</v>
      </c>
      <c r="K1687" s="56">
        <f t="shared" si="76"/>
        <v>3036864561</v>
      </c>
      <c r="L1687" s="37">
        <v>4832155</v>
      </c>
      <c r="M1687" s="67" t="s">
        <v>735</v>
      </c>
      <c r="N1687" t="s">
        <v>708</v>
      </c>
      <c r="O1687" s="38" t="str">
        <f>IF([1]totrevprm!O1688="","",[1]totrevprm!O1688)</f>
        <v/>
      </c>
      <c r="V1687" s="38"/>
      <c r="W1687" s="58"/>
      <c r="X1687" s="58"/>
      <c r="Y1687" s="58"/>
      <c r="Z1687" s="58"/>
    </row>
    <row r="1688" spans="1:26">
      <c r="A1688" s="50" t="s">
        <v>72</v>
      </c>
      <c r="B1688" s="51" t="s">
        <v>381</v>
      </c>
      <c r="C1688" s="52"/>
      <c r="D1688" s="53">
        <v>2005</v>
      </c>
      <c r="E1688" s="59">
        <v>672114026</v>
      </c>
      <c r="F1688" s="59">
        <v>444188124</v>
      </c>
      <c r="G1688" s="59">
        <v>1833857405</v>
      </c>
      <c r="H1688" s="59">
        <v>34156835</v>
      </c>
      <c r="I1688" s="55">
        <f t="shared" si="74"/>
        <v>2984316390</v>
      </c>
      <c r="J1688" s="54">
        <v>0</v>
      </c>
      <c r="K1688" s="56">
        <f t="shared" si="76"/>
        <v>2984316390</v>
      </c>
      <c r="L1688" s="37">
        <v>3102711</v>
      </c>
      <c r="M1688" s="67" t="s">
        <v>735</v>
      </c>
      <c r="N1688" t="s">
        <v>708</v>
      </c>
      <c r="O1688" s="38" t="str">
        <f>IF([1]totrevprm!O1689="","",[1]totrevprm!O1689)</f>
        <v/>
      </c>
      <c r="V1688" s="38"/>
      <c r="W1688" s="58"/>
      <c r="X1688" s="58"/>
      <c r="Y1688" s="58"/>
      <c r="Z1688" s="58"/>
    </row>
    <row r="1689" spans="1:26">
      <c r="A1689" s="50" t="s">
        <v>72</v>
      </c>
      <c r="B1689" s="51" t="s">
        <v>381</v>
      </c>
      <c r="C1689" s="52"/>
      <c r="D1689" s="53">
        <v>2006</v>
      </c>
      <c r="E1689" s="37">
        <v>717123386</v>
      </c>
      <c r="F1689" s="37">
        <v>557218553</v>
      </c>
      <c r="G1689" s="37">
        <v>2024428717</v>
      </c>
      <c r="H1689" s="37">
        <v>21684280</v>
      </c>
      <c r="I1689" s="55">
        <f t="shared" si="74"/>
        <v>3320454936</v>
      </c>
      <c r="J1689" s="54">
        <v>0</v>
      </c>
      <c r="K1689" s="56">
        <f t="shared" si="76"/>
        <v>3320454936</v>
      </c>
      <c r="L1689" s="37">
        <v>9492005</v>
      </c>
      <c r="M1689" s="67" t="s">
        <v>735</v>
      </c>
      <c r="N1689" t="s">
        <v>708</v>
      </c>
      <c r="O1689" s="38" t="str">
        <f>IF([1]totrevprm!O1690="","",[1]totrevprm!O1690)</f>
        <v/>
      </c>
      <c r="V1689" s="38"/>
      <c r="W1689" s="58"/>
      <c r="X1689" s="58"/>
      <c r="Y1689" s="58"/>
      <c r="Z1689" s="58"/>
    </row>
    <row r="1690" spans="1:26">
      <c r="A1690" s="50" t="s">
        <v>72</v>
      </c>
      <c r="B1690" s="51" t="s">
        <v>381</v>
      </c>
      <c r="C1690" s="52"/>
      <c r="D1690" s="53">
        <v>2007</v>
      </c>
      <c r="E1690" s="37">
        <v>833532196</v>
      </c>
      <c r="F1690" s="37">
        <v>811359536</v>
      </c>
      <c r="G1690" s="37">
        <v>2429981594</v>
      </c>
      <c r="H1690" s="37">
        <v>25065139</v>
      </c>
      <c r="I1690" s="55">
        <f t="shared" si="74"/>
        <v>4099938465</v>
      </c>
      <c r="J1690" s="54">
        <v>0</v>
      </c>
      <c r="K1690" s="56">
        <f t="shared" si="76"/>
        <v>4099938465</v>
      </c>
      <c r="L1690" s="37">
        <v>11133043</v>
      </c>
      <c r="M1690" s="67" t="s">
        <v>735</v>
      </c>
      <c r="N1690" t="s">
        <v>708</v>
      </c>
      <c r="O1690" s="38" t="str">
        <f>IF([1]totrevprm!O1691="","",[1]totrevprm!O1691)</f>
        <v/>
      </c>
      <c r="V1690" s="38"/>
      <c r="W1690" s="58"/>
      <c r="X1690" s="58"/>
      <c r="Y1690" s="58"/>
      <c r="Z1690" s="58"/>
    </row>
    <row r="1691" spans="1:26">
      <c r="A1691" s="50" t="s">
        <v>72</v>
      </c>
      <c r="B1691" s="51" t="s">
        <v>381</v>
      </c>
      <c r="C1691" s="52"/>
      <c r="D1691" s="53">
        <v>2008</v>
      </c>
      <c r="E1691" s="37">
        <v>957444360</v>
      </c>
      <c r="F1691" s="37">
        <v>1136870003</v>
      </c>
      <c r="G1691" s="37">
        <v>2630663601</v>
      </c>
      <c r="H1691" s="37">
        <v>20685600</v>
      </c>
      <c r="I1691" s="55">
        <f t="shared" si="74"/>
        <v>4745663564</v>
      </c>
      <c r="J1691" s="54">
        <v>0</v>
      </c>
      <c r="K1691" s="56">
        <f t="shared" si="76"/>
        <v>4745663564</v>
      </c>
      <c r="L1691" s="37">
        <v>2552146</v>
      </c>
      <c r="M1691" s="67" t="s">
        <v>735</v>
      </c>
      <c r="N1691" t="s">
        <v>708</v>
      </c>
      <c r="O1691" s="38" t="str">
        <f>IF([1]totrevprm!O1692="","",[1]totrevprm!O1692)</f>
        <v/>
      </c>
      <c r="V1691" s="38"/>
      <c r="W1691" s="58"/>
      <c r="X1691" s="58"/>
      <c r="Y1691" s="58"/>
      <c r="Z1691" s="58"/>
    </row>
    <row r="1692" spans="1:26">
      <c r="A1692" s="50" t="s">
        <v>72</v>
      </c>
      <c r="B1692" s="51" t="s">
        <v>381</v>
      </c>
      <c r="C1692" s="52"/>
      <c r="D1692" s="53">
        <v>2009</v>
      </c>
      <c r="E1692" s="37">
        <v>1020079089</v>
      </c>
      <c r="F1692" s="37">
        <v>1165745155</v>
      </c>
      <c r="G1692" s="37">
        <v>2794581852</v>
      </c>
      <c r="H1692" s="37">
        <v>29345507</v>
      </c>
      <c r="I1692" s="55">
        <f t="shared" si="74"/>
        <v>5009751603</v>
      </c>
      <c r="J1692" s="54">
        <v>0</v>
      </c>
      <c r="K1692" s="56">
        <f t="shared" si="76"/>
        <v>5009751603</v>
      </c>
      <c r="L1692" s="37">
        <v>2607029</v>
      </c>
      <c r="M1692" s="67" t="s">
        <v>735</v>
      </c>
      <c r="N1692" t="s">
        <v>708</v>
      </c>
      <c r="O1692" s="38" t="str">
        <f>IF([1]totrevprm!O1693="","",[1]totrevprm!O1693)</f>
        <v/>
      </c>
      <c r="V1692" s="38"/>
      <c r="W1692" s="58"/>
      <c r="X1692" s="58"/>
      <c r="Y1692" s="58"/>
      <c r="Z1692" s="58"/>
    </row>
    <row r="1693" spans="1:26">
      <c r="A1693" s="50" t="s">
        <v>72</v>
      </c>
      <c r="B1693" s="51" t="s">
        <v>381</v>
      </c>
      <c r="C1693" s="52"/>
      <c r="D1693" s="53">
        <v>2010</v>
      </c>
      <c r="E1693" s="37">
        <v>1060189950</v>
      </c>
      <c r="F1693" s="37">
        <v>1153636758</v>
      </c>
      <c r="G1693" s="37">
        <v>3205672777</v>
      </c>
      <c r="H1693" s="37">
        <v>20351033</v>
      </c>
      <c r="I1693" s="55">
        <f t="shared" si="74"/>
        <v>5439850518</v>
      </c>
      <c r="J1693" s="54">
        <v>0</v>
      </c>
      <c r="K1693" s="56">
        <f t="shared" si="76"/>
        <v>5439850518</v>
      </c>
      <c r="L1693" s="37">
        <v>5976169</v>
      </c>
      <c r="M1693" s="67" t="s">
        <v>735</v>
      </c>
      <c r="N1693" t="s">
        <v>708</v>
      </c>
      <c r="O1693" s="38" t="str">
        <f>IF([1]totrevprm!O1694="","",[1]totrevprm!O1694)</f>
        <v/>
      </c>
      <c r="V1693" s="38"/>
      <c r="W1693" s="58"/>
      <c r="X1693" s="58"/>
      <c r="Y1693" s="58"/>
      <c r="Z1693" s="58"/>
    </row>
    <row r="1694" spans="1:26">
      <c r="A1694" s="50" t="s">
        <v>72</v>
      </c>
      <c r="B1694" s="51" t="s">
        <v>381</v>
      </c>
      <c r="C1694" s="52"/>
      <c r="D1694" s="53">
        <v>2011</v>
      </c>
      <c r="E1694" s="37">
        <v>1267264674</v>
      </c>
      <c r="F1694" s="37">
        <v>1176975925</v>
      </c>
      <c r="G1694" s="37">
        <v>2753168526</v>
      </c>
      <c r="H1694" s="37">
        <v>19538105</v>
      </c>
      <c r="I1694" s="55">
        <f t="shared" si="74"/>
        <v>5216947230</v>
      </c>
      <c r="J1694" s="54">
        <v>0</v>
      </c>
      <c r="K1694" s="56">
        <f t="shared" si="76"/>
        <v>5216947230</v>
      </c>
      <c r="L1694" s="37">
        <v>3539802</v>
      </c>
      <c r="M1694" s="67" t="s">
        <v>735</v>
      </c>
      <c r="N1694" t="s">
        <v>708</v>
      </c>
      <c r="O1694" s="38" t="str">
        <f>IF([1]totrevprm!O1695="","",[1]totrevprm!O1695)</f>
        <v/>
      </c>
      <c r="V1694" s="38"/>
      <c r="W1694" s="58"/>
      <c r="X1694" s="58"/>
      <c r="Y1694" s="58"/>
      <c r="Z1694" s="58"/>
    </row>
    <row r="1695" spans="1:26">
      <c r="A1695" s="50" t="s">
        <v>72</v>
      </c>
      <c r="B1695" s="51" t="s">
        <v>381</v>
      </c>
      <c r="C1695" s="52"/>
      <c r="D1695" s="53">
        <v>2012</v>
      </c>
      <c r="E1695" s="37">
        <v>1283194938</v>
      </c>
      <c r="F1695" s="37">
        <v>1179890529</v>
      </c>
      <c r="G1695" s="37">
        <v>2690058225</v>
      </c>
      <c r="H1695" s="37">
        <v>29621328</v>
      </c>
      <c r="I1695" s="55">
        <f t="shared" ref="I1695:I1758" si="77">SUM(E1695:H1695)</f>
        <v>5182765020</v>
      </c>
      <c r="J1695" s="54">
        <v>0</v>
      </c>
      <c r="K1695" s="56">
        <f t="shared" si="76"/>
        <v>5182765020</v>
      </c>
      <c r="L1695" s="37">
        <v>2992776</v>
      </c>
      <c r="M1695" s="67" t="s">
        <v>735</v>
      </c>
      <c r="N1695" t="s">
        <v>708</v>
      </c>
      <c r="O1695" s="38" t="str">
        <f>IF([1]totrevprm!O1696="","",[1]totrevprm!O1696)</f>
        <v/>
      </c>
      <c r="V1695" s="38"/>
      <c r="W1695" s="58"/>
      <c r="X1695" s="58"/>
      <c r="Y1695" s="58"/>
      <c r="Z1695" s="58"/>
    </row>
    <row r="1696" spans="1:26">
      <c r="A1696" s="50" t="s">
        <v>72</v>
      </c>
      <c r="B1696" s="51" t="s">
        <v>381</v>
      </c>
      <c r="C1696" s="52"/>
      <c r="D1696" s="53">
        <v>2013</v>
      </c>
      <c r="E1696" s="37">
        <v>1224369912</v>
      </c>
      <c r="F1696" s="37">
        <v>1241619291</v>
      </c>
      <c r="G1696" s="37">
        <v>3052765845</v>
      </c>
      <c r="H1696" s="37">
        <v>26632346</v>
      </c>
      <c r="I1696" s="55">
        <f t="shared" si="77"/>
        <v>5545387394</v>
      </c>
      <c r="J1696" s="54">
        <v>0</v>
      </c>
      <c r="K1696" s="56">
        <f t="shared" si="76"/>
        <v>5545387394</v>
      </c>
      <c r="L1696" s="37">
        <v>3478639</v>
      </c>
      <c r="M1696" s="67" t="s">
        <v>735</v>
      </c>
      <c r="N1696" t="s">
        <v>708</v>
      </c>
      <c r="O1696" s="38" t="str">
        <f>IF([1]totrevprm!O1697="","",[1]totrevprm!O1697)</f>
        <v/>
      </c>
      <c r="V1696" s="38"/>
      <c r="W1696" s="58"/>
      <c r="X1696" s="58"/>
      <c r="Y1696" s="58"/>
      <c r="Z1696" s="58"/>
    </row>
    <row r="1697" spans="1:26">
      <c r="A1697" s="50" t="s">
        <v>72</v>
      </c>
      <c r="B1697" s="51" t="s">
        <v>381</v>
      </c>
      <c r="C1697" s="52"/>
      <c r="D1697" s="53">
        <v>2014</v>
      </c>
      <c r="E1697" s="37">
        <v>1269662919</v>
      </c>
      <c r="F1697" s="37">
        <v>1554210503</v>
      </c>
      <c r="G1697" s="37">
        <v>1691946891</v>
      </c>
      <c r="H1697" s="37">
        <v>93253768</v>
      </c>
      <c r="I1697" s="55">
        <f t="shared" si="77"/>
        <v>4609074081</v>
      </c>
      <c r="J1697" s="54">
        <v>0</v>
      </c>
      <c r="K1697" s="56">
        <f t="shared" si="76"/>
        <v>4609074081</v>
      </c>
      <c r="L1697" s="37">
        <v>6602985</v>
      </c>
      <c r="M1697" s="67" t="s">
        <v>735</v>
      </c>
      <c r="N1697" t="s">
        <v>708</v>
      </c>
      <c r="O1697" s="38" t="str">
        <f>IF([1]totrevprm!O1698="","",[1]totrevprm!O1698)</f>
        <v/>
      </c>
      <c r="V1697" s="38"/>
      <c r="W1697" s="58"/>
      <c r="X1697" s="58"/>
      <c r="Y1697" s="58"/>
      <c r="Z1697" s="58"/>
    </row>
    <row r="1698" spans="1:26">
      <c r="A1698" s="50" t="s">
        <v>72</v>
      </c>
      <c r="B1698" s="51" t="s">
        <v>381</v>
      </c>
      <c r="C1698" s="52"/>
      <c r="D1698" s="53">
        <v>2015</v>
      </c>
      <c r="E1698" s="37">
        <v>1314411420</v>
      </c>
      <c r="F1698" s="37">
        <v>1748222319</v>
      </c>
      <c r="G1698" s="37">
        <v>1635463146</v>
      </c>
      <c r="H1698" s="37">
        <v>135971039</v>
      </c>
      <c r="I1698" s="55">
        <f t="shared" si="77"/>
        <v>4834067924</v>
      </c>
      <c r="J1698" s="54">
        <v>0</v>
      </c>
      <c r="K1698" s="56">
        <f t="shared" si="76"/>
        <v>4834067924</v>
      </c>
      <c r="L1698" s="37">
        <v>8810241</v>
      </c>
      <c r="M1698" s="67" t="s">
        <v>735</v>
      </c>
      <c r="N1698" t="s">
        <v>708</v>
      </c>
      <c r="O1698" s="38" t="str">
        <f>IF([1]totrevprm!O1699="","",[1]totrevprm!O1699)</f>
        <v/>
      </c>
      <c r="P1698" s="35">
        <v>164258110.91046003</v>
      </c>
      <c r="Q1698" s="35">
        <v>42374329.049104482</v>
      </c>
      <c r="V1698" s="38"/>
      <c r="W1698" s="58"/>
      <c r="X1698" s="58"/>
      <c r="Y1698" s="58"/>
      <c r="Z1698" s="58"/>
    </row>
    <row r="1699" spans="1:26">
      <c r="A1699" s="50" t="s">
        <v>72</v>
      </c>
      <c r="B1699" s="51" t="s">
        <v>381</v>
      </c>
      <c r="C1699" s="52"/>
      <c r="D1699" s="53">
        <v>2016</v>
      </c>
      <c r="E1699" s="37">
        <v>1360619293</v>
      </c>
      <c r="F1699" s="37">
        <v>1882212898</v>
      </c>
      <c r="G1699" s="37">
        <v>1697030058</v>
      </c>
      <c r="H1699" s="37">
        <v>166935214</v>
      </c>
      <c r="I1699" s="55">
        <f t="shared" si="77"/>
        <v>5106797463</v>
      </c>
      <c r="J1699" s="54">
        <v>0</v>
      </c>
      <c r="K1699" s="56">
        <f t="shared" si="76"/>
        <v>5106797463</v>
      </c>
      <c r="L1699" s="37">
        <v>5295743</v>
      </c>
      <c r="M1699" s="67" t="s">
        <v>735</v>
      </c>
      <c r="N1699" t="s">
        <v>708</v>
      </c>
      <c r="O1699" s="38" t="str">
        <f>IF([1]totrevprm!O1700="","",[1]totrevprm!O1700)</f>
        <v/>
      </c>
      <c r="P1699" s="35">
        <v>173013270.25762579</v>
      </c>
      <c r="Q1699" s="35">
        <v>44290627.703157894</v>
      </c>
      <c r="V1699" s="38"/>
      <c r="W1699" s="58"/>
      <c r="X1699" s="58"/>
      <c r="Y1699" s="58"/>
      <c r="Z1699" s="58"/>
    </row>
    <row r="1700" spans="1:26">
      <c r="A1700" s="50" t="s">
        <v>72</v>
      </c>
      <c r="B1700" s="51" t="s">
        <v>381</v>
      </c>
      <c r="C1700" s="52"/>
      <c r="D1700" s="53">
        <v>2017</v>
      </c>
      <c r="E1700" s="37">
        <v>1504883321</v>
      </c>
      <c r="F1700" s="37">
        <v>1728023040</v>
      </c>
      <c r="G1700" s="37">
        <v>1846669728</v>
      </c>
      <c r="H1700" s="37">
        <v>111379151</v>
      </c>
      <c r="I1700" s="55">
        <f t="shared" si="77"/>
        <v>5190955240</v>
      </c>
      <c r="J1700" s="54">
        <v>0</v>
      </c>
      <c r="K1700" s="56">
        <f t="shared" si="76"/>
        <v>5190955240</v>
      </c>
      <c r="L1700" s="60">
        <v>10775136</v>
      </c>
      <c r="M1700" s="67" t="s">
        <v>735</v>
      </c>
      <c r="N1700" t="s">
        <v>708</v>
      </c>
      <c r="O1700" s="38" t="str">
        <f>IF([1]totrevprm!O1701="","",[1]totrevprm!O1701)</f>
        <v/>
      </c>
      <c r="P1700" s="35">
        <v>185682931.13817686</v>
      </c>
      <c r="Q1700" s="35">
        <v>41672095.035826772</v>
      </c>
      <c r="V1700" s="38"/>
      <c r="W1700" s="58"/>
      <c r="X1700" s="58"/>
      <c r="Y1700" s="58"/>
      <c r="Z1700" s="58"/>
    </row>
    <row r="1701" spans="1:26">
      <c r="A1701" s="50" t="s">
        <v>72</v>
      </c>
      <c r="B1701" s="51" t="s">
        <v>381</v>
      </c>
      <c r="C1701" s="52"/>
      <c r="D1701" s="53">
        <v>2018</v>
      </c>
      <c r="E1701" s="37">
        <v>1514599515</v>
      </c>
      <c r="F1701" s="37">
        <v>2244552282</v>
      </c>
      <c r="G1701" s="37">
        <v>2078105185.6500001</v>
      </c>
      <c r="H1701" s="37">
        <v>171442610</v>
      </c>
      <c r="I1701" s="55">
        <f t="shared" si="77"/>
        <v>6008699592.6499996</v>
      </c>
      <c r="J1701" s="54">
        <v>0</v>
      </c>
      <c r="K1701" s="56">
        <f t="shared" si="76"/>
        <v>6008699592.6499996</v>
      </c>
      <c r="L1701" s="60">
        <v>9483184</v>
      </c>
      <c r="M1701" s="67" t="s">
        <v>735</v>
      </c>
      <c r="N1701" t="s">
        <v>708</v>
      </c>
      <c r="O1701" s="38" t="str">
        <f>IF([1]totrevprm!O1702="","",[1]totrevprm!O1702)</f>
        <v/>
      </c>
      <c r="P1701" s="35">
        <v>186802427.72546414</v>
      </c>
      <c r="Q1701" s="35">
        <v>41566613.226491153</v>
      </c>
      <c r="V1701" s="38"/>
      <c r="W1701" s="58"/>
      <c r="X1701" s="58"/>
      <c r="Y1701" s="58"/>
      <c r="Z1701" s="58"/>
    </row>
    <row r="1702" spans="1:26">
      <c r="A1702" s="50" t="s">
        <v>72</v>
      </c>
      <c r="B1702" s="51" t="s">
        <v>381</v>
      </c>
      <c r="C1702" s="52"/>
      <c r="D1702" s="53">
        <v>2019</v>
      </c>
      <c r="E1702" s="37">
        <v>1534358559</v>
      </c>
      <c r="F1702" s="37">
        <v>2474490957</v>
      </c>
      <c r="G1702" s="37">
        <v>4210363018.8688002</v>
      </c>
      <c r="H1702" s="37">
        <v>150878442</v>
      </c>
      <c r="I1702" s="55">
        <f t="shared" si="77"/>
        <v>8370090976.8688002</v>
      </c>
      <c r="J1702" s="54">
        <v>0</v>
      </c>
      <c r="K1702" s="56">
        <f t="shared" si="76"/>
        <v>8370090976.8688002</v>
      </c>
      <c r="L1702" s="60">
        <v>24497227</v>
      </c>
      <c r="M1702" s="67" t="s">
        <v>746</v>
      </c>
      <c r="N1702" t="s">
        <v>708</v>
      </c>
      <c r="O1702" s="38" t="str">
        <f>IF([1]totrevprm!O1703="","",[1]totrevprm!O1703)</f>
        <v>Yes</v>
      </c>
      <c r="P1702" s="35">
        <v>202406282.72810006</v>
      </c>
      <c r="Q1702" s="35">
        <v>43472895.435671583</v>
      </c>
      <c r="V1702" s="38"/>
      <c r="W1702" s="58"/>
      <c r="X1702" s="58"/>
      <c r="Y1702" s="58"/>
      <c r="Z1702" s="58"/>
    </row>
    <row r="1703" spans="1:26">
      <c r="A1703" s="50" t="s">
        <v>72</v>
      </c>
      <c r="B1703" s="51" t="s">
        <v>381</v>
      </c>
      <c r="C1703" s="52"/>
      <c r="D1703" s="53">
        <v>2020</v>
      </c>
      <c r="E1703" s="37">
        <v>1586599817</v>
      </c>
      <c r="F1703" s="37">
        <v>2108336301</v>
      </c>
      <c r="G1703" s="37">
        <v>4258792284</v>
      </c>
      <c r="H1703" s="37">
        <v>55558498</v>
      </c>
      <c r="I1703" s="55">
        <f t="shared" si="77"/>
        <v>8009286900</v>
      </c>
      <c r="J1703" s="54">
        <v>0</v>
      </c>
      <c r="K1703" s="56">
        <f t="shared" si="76"/>
        <v>8009286900</v>
      </c>
      <c r="L1703" s="60">
        <v>6719130</v>
      </c>
      <c r="M1703" s="67" t="s">
        <v>783</v>
      </c>
      <c r="N1703" t="s">
        <v>708</v>
      </c>
      <c r="O1703" s="38" t="str">
        <f>IF([1]totrevprm!O1704="","",[1]totrevprm!O1704)</f>
        <v/>
      </c>
      <c r="P1703" s="35">
        <v>208573931</v>
      </c>
      <c r="Q1703" s="35">
        <v>40903345</v>
      </c>
      <c r="V1703" s="38"/>
      <c r="W1703" s="58"/>
      <c r="X1703" s="58"/>
      <c r="Y1703" s="58"/>
      <c r="Z1703" s="58"/>
    </row>
    <row r="1704" spans="1:26">
      <c r="A1704" s="50" t="s">
        <v>72</v>
      </c>
      <c r="B1704" s="51" t="s">
        <v>381</v>
      </c>
      <c r="C1704" s="52"/>
      <c r="D1704" s="53">
        <v>2021</v>
      </c>
      <c r="E1704" s="37">
        <v>1727037503</v>
      </c>
      <c r="F1704" s="37">
        <v>2402010479</v>
      </c>
      <c r="G1704" s="37">
        <v>4425004050.0100002</v>
      </c>
      <c r="H1704" s="37">
        <v>34580431</v>
      </c>
      <c r="I1704" s="55">
        <f t="shared" si="77"/>
        <v>8588632463.0100002</v>
      </c>
      <c r="J1704" s="54">
        <v>0</v>
      </c>
      <c r="K1704" s="56">
        <f t="shared" si="76"/>
        <v>8588632463.0100002</v>
      </c>
      <c r="L1704" s="37">
        <v>0</v>
      </c>
      <c r="M1704" s="67" t="s">
        <v>739</v>
      </c>
      <c r="N1704" t="s">
        <v>708</v>
      </c>
      <c r="O1704" s="38"/>
      <c r="P1704" s="35">
        <v>226308020.28999999</v>
      </c>
      <c r="Q1704" s="35">
        <v>43260371</v>
      </c>
      <c r="V1704" s="38"/>
      <c r="W1704" s="58"/>
      <c r="X1704" s="58"/>
      <c r="Y1704" s="58"/>
      <c r="Z1704" s="58"/>
    </row>
    <row r="1705" spans="1:26">
      <c r="A1705" s="50" t="s">
        <v>72</v>
      </c>
      <c r="B1705" s="51" t="s">
        <v>381</v>
      </c>
      <c r="C1705" s="52"/>
      <c r="D1705" s="53">
        <v>2022</v>
      </c>
      <c r="E1705" s="37">
        <v>1798694057</v>
      </c>
      <c r="F1705" s="37">
        <v>3005276842</v>
      </c>
      <c r="G1705" s="37">
        <v>4862060180</v>
      </c>
      <c r="H1705" s="37">
        <v>52334560</v>
      </c>
      <c r="I1705" s="55">
        <f t="shared" si="77"/>
        <v>9718365639</v>
      </c>
      <c r="J1705" s="54">
        <v>0</v>
      </c>
      <c r="K1705" s="56">
        <f t="shared" si="76"/>
        <v>9718365639</v>
      </c>
      <c r="L1705" s="37">
        <v>0</v>
      </c>
      <c r="M1705" s="67" t="s">
        <v>739</v>
      </c>
      <c r="N1705" t="s">
        <v>708</v>
      </c>
      <c r="O1705" s="38" t="str">
        <f>IF([1]totrevprm!O1708="","",[1]totrevprm!O1708)</f>
        <v/>
      </c>
      <c r="P1705" s="60">
        <v>253481087</v>
      </c>
      <c r="Q1705" s="60">
        <v>43249663</v>
      </c>
    </row>
    <row r="1706" spans="1:26">
      <c r="A1706" s="50" t="s">
        <v>72</v>
      </c>
      <c r="B1706" s="51" t="s">
        <v>381</v>
      </c>
      <c r="C1706" s="52"/>
      <c r="D1706" s="53">
        <v>2023</v>
      </c>
      <c r="E1706" s="37">
        <v>1757540870</v>
      </c>
      <c r="F1706" s="37">
        <v>3739485165.0833001</v>
      </c>
      <c r="G1706" s="37">
        <v>5245429837.7600002</v>
      </c>
      <c r="H1706" s="37">
        <v>678053803</v>
      </c>
      <c r="I1706" s="55">
        <f t="shared" si="77"/>
        <v>11420509675.8433</v>
      </c>
      <c r="J1706" s="54">
        <v>0</v>
      </c>
      <c r="K1706" s="56">
        <f t="shared" si="76"/>
        <v>11420509675.8433</v>
      </c>
      <c r="L1706" s="37">
        <v>0</v>
      </c>
      <c r="M1706" s="67" t="s">
        <v>739</v>
      </c>
      <c r="O1706" s="38"/>
      <c r="P1706" s="60">
        <v>266185002.50999999</v>
      </c>
      <c r="Q1706" s="60">
        <v>42015226</v>
      </c>
    </row>
    <row r="1707" spans="1:26">
      <c r="A1707" s="50"/>
      <c r="B1707" s="52"/>
      <c r="C1707" s="52"/>
      <c r="E1707" s="54"/>
      <c r="F1707" s="54"/>
      <c r="G1707" s="54"/>
      <c r="H1707" s="54"/>
      <c r="I1707" s="55"/>
      <c r="K1707" s="65"/>
      <c r="L1707" s="37"/>
      <c r="O1707" s="38"/>
    </row>
    <row r="1708" spans="1:26">
      <c r="A1708" s="50" t="s">
        <v>73</v>
      </c>
      <c r="B1708" s="51" t="s">
        <v>817</v>
      </c>
      <c r="C1708" s="52" t="s">
        <v>762</v>
      </c>
      <c r="D1708" s="53">
        <v>1988</v>
      </c>
      <c r="E1708" s="54">
        <v>122626500</v>
      </c>
      <c r="F1708" s="54">
        <v>110419005</v>
      </c>
      <c r="G1708" s="54">
        <v>93493091</v>
      </c>
      <c r="H1708" s="54">
        <v>32147720</v>
      </c>
      <c r="I1708" s="55">
        <f t="shared" si="77"/>
        <v>358686316</v>
      </c>
      <c r="J1708" s="54">
        <v>0</v>
      </c>
      <c r="K1708" s="56">
        <f>SUM(I1708:J1708)</f>
        <v>358686316</v>
      </c>
      <c r="L1708" s="37">
        <v>0</v>
      </c>
      <c r="O1708" s="38" t="str">
        <f>IF([1]totrevprm!O1709="","",[1]totrevprm!O1709)</f>
        <v/>
      </c>
    </row>
    <row r="1709" spans="1:26">
      <c r="A1709" s="50" t="s">
        <v>73</v>
      </c>
      <c r="B1709" s="51" t="s">
        <v>817</v>
      </c>
      <c r="C1709" s="52" t="s">
        <v>731</v>
      </c>
      <c r="D1709" s="53">
        <v>1989</v>
      </c>
      <c r="E1709" s="54">
        <v>121866023</v>
      </c>
      <c r="F1709" s="54">
        <v>103462668</v>
      </c>
      <c r="G1709" s="54">
        <v>114573357</v>
      </c>
      <c r="H1709" s="54">
        <v>31655100</v>
      </c>
      <c r="I1709" s="55">
        <f t="shared" si="77"/>
        <v>371557148</v>
      </c>
      <c r="J1709" s="54">
        <v>0</v>
      </c>
      <c r="K1709" s="56">
        <f t="shared" ref="K1709:K1740" si="78">SUM(I1709:J1709)</f>
        <v>371557148</v>
      </c>
      <c r="L1709" s="37">
        <v>0</v>
      </c>
      <c r="O1709" s="38" t="str">
        <f>IF([1]totrevprm!O1710="","",[1]totrevprm!O1710)</f>
        <v/>
      </c>
    </row>
    <row r="1710" spans="1:26">
      <c r="A1710" s="50" t="s">
        <v>73</v>
      </c>
      <c r="B1710" s="51" t="s">
        <v>817</v>
      </c>
      <c r="C1710" s="52" t="s">
        <v>731</v>
      </c>
      <c r="D1710" s="53">
        <v>1990</v>
      </c>
      <c r="E1710" s="54">
        <v>125284028</v>
      </c>
      <c r="F1710" s="54">
        <v>129964172.8</v>
      </c>
      <c r="G1710" s="54">
        <v>121889421</v>
      </c>
      <c r="H1710" s="54">
        <v>30348856</v>
      </c>
      <c r="I1710" s="55">
        <f t="shared" si="77"/>
        <v>407486477.80000001</v>
      </c>
      <c r="J1710" s="54">
        <v>0</v>
      </c>
      <c r="K1710" s="56">
        <f t="shared" si="78"/>
        <v>407486477.80000001</v>
      </c>
      <c r="L1710" s="37">
        <v>0</v>
      </c>
      <c r="O1710" s="38" t="str">
        <f>IF([1]totrevprm!O1711="","",[1]totrevprm!O1711)</f>
        <v/>
      </c>
    </row>
    <row r="1711" spans="1:26">
      <c r="A1711" s="50" t="s">
        <v>73</v>
      </c>
      <c r="B1711" s="51" t="s">
        <v>817</v>
      </c>
      <c r="C1711" s="52" t="s">
        <v>731</v>
      </c>
      <c r="D1711" s="53">
        <v>1991</v>
      </c>
      <c r="E1711" s="54">
        <v>140035940</v>
      </c>
      <c r="F1711" s="54">
        <v>97458725</v>
      </c>
      <c r="G1711" s="54">
        <v>121428543</v>
      </c>
      <c r="H1711" s="54">
        <v>46492982</v>
      </c>
      <c r="I1711" s="55">
        <f t="shared" si="77"/>
        <v>405416190</v>
      </c>
      <c r="J1711" s="54">
        <v>0</v>
      </c>
      <c r="K1711" s="56">
        <f t="shared" si="78"/>
        <v>405416190</v>
      </c>
      <c r="L1711" s="37">
        <v>0</v>
      </c>
      <c r="O1711" s="38" t="str">
        <f>IF([1]totrevprm!O1712="","",[1]totrevprm!O1712)</f>
        <v/>
      </c>
    </row>
    <row r="1712" spans="1:26">
      <c r="A1712" s="50" t="s">
        <v>73</v>
      </c>
      <c r="B1712" s="51" t="s">
        <v>817</v>
      </c>
      <c r="C1712" s="52" t="s">
        <v>731</v>
      </c>
      <c r="D1712" s="53">
        <v>1992</v>
      </c>
      <c r="E1712" s="54">
        <v>144127741</v>
      </c>
      <c r="F1712" s="54">
        <v>101249948.59999999</v>
      </c>
      <c r="G1712" s="54">
        <v>110744720</v>
      </c>
      <c r="H1712" s="54">
        <v>36425854</v>
      </c>
      <c r="I1712" s="55">
        <f t="shared" si="77"/>
        <v>392548263.60000002</v>
      </c>
      <c r="J1712" s="54">
        <v>0</v>
      </c>
      <c r="K1712" s="56">
        <f t="shared" si="78"/>
        <v>392548263.60000002</v>
      </c>
      <c r="L1712" s="37">
        <v>0</v>
      </c>
      <c r="O1712" s="38" t="str">
        <f>IF([1]totrevprm!O1713="","",[1]totrevprm!O1713)</f>
        <v/>
      </c>
    </row>
    <row r="1713" spans="1:26">
      <c r="A1713" s="50" t="s">
        <v>73</v>
      </c>
      <c r="B1713" s="51" t="s">
        <v>817</v>
      </c>
      <c r="C1713" s="52" t="s">
        <v>741</v>
      </c>
      <c r="D1713" s="53">
        <v>1993</v>
      </c>
      <c r="E1713" s="54">
        <v>149477430</v>
      </c>
      <c r="F1713" s="54">
        <v>91852476</v>
      </c>
      <c r="G1713" s="54">
        <v>100302377</v>
      </c>
      <c r="H1713" s="54">
        <v>24211331</v>
      </c>
      <c r="I1713" s="55">
        <f t="shared" si="77"/>
        <v>365843614</v>
      </c>
      <c r="J1713" s="54">
        <v>0</v>
      </c>
      <c r="K1713" s="56">
        <f t="shared" si="78"/>
        <v>365843614</v>
      </c>
      <c r="L1713" s="37">
        <v>0</v>
      </c>
      <c r="O1713" s="38" t="str">
        <f>IF([1]totrevprm!O1714="","",[1]totrevprm!O1714)</f>
        <v/>
      </c>
    </row>
    <row r="1714" spans="1:26">
      <c r="A1714" s="50" t="s">
        <v>73</v>
      </c>
      <c r="B1714" s="51" t="s">
        <v>817</v>
      </c>
      <c r="C1714" s="52" t="s">
        <v>742</v>
      </c>
      <c r="D1714" s="53">
        <v>1994</v>
      </c>
      <c r="E1714" s="54">
        <v>148603072</v>
      </c>
      <c r="F1714" s="54">
        <v>120243180</v>
      </c>
      <c r="G1714" s="54">
        <v>100735266</v>
      </c>
      <c r="H1714" s="54">
        <v>25504706</v>
      </c>
      <c r="I1714" s="55">
        <f t="shared" si="77"/>
        <v>395086224</v>
      </c>
      <c r="J1714" s="54">
        <v>0</v>
      </c>
      <c r="K1714" s="56">
        <f t="shared" si="78"/>
        <v>395086224</v>
      </c>
      <c r="L1714" s="37">
        <v>0</v>
      </c>
      <c r="O1714" s="38" t="str">
        <f>IF([1]totrevprm!O1715="","",[1]totrevprm!O1715)</f>
        <v/>
      </c>
    </row>
    <row r="1715" spans="1:26">
      <c r="A1715" s="50" t="s">
        <v>73</v>
      </c>
      <c r="B1715" s="51" t="s">
        <v>817</v>
      </c>
      <c r="C1715" s="52" t="s">
        <v>731</v>
      </c>
      <c r="D1715" s="53">
        <v>1995</v>
      </c>
      <c r="E1715" s="54">
        <v>156076340</v>
      </c>
      <c r="F1715" s="54">
        <v>130970112</v>
      </c>
      <c r="G1715" s="54">
        <v>103963046</v>
      </c>
      <c r="H1715" s="54">
        <v>26580328</v>
      </c>
      <c r="I1715" s="55">
        <f t="shared" si="77"/>
        <v>417589826</v>
      </c>
      <c r="J1715" s="54">
        <v>0</v>
      </c>
      <c r="K1715" s="56">
        <f t="shared" si="78"/>
        <v>417589826</v>
      </c>
      <c r="L1715" s="37">
        <v>0</v>
      </c>
      <c r="O1715" s="38" t="str">
        <f>IF([1]totrevprm!O1716="","",[1]totrevprm!O1716)</f>
        <v/>
      </c>
    </row>
    <row r="1716" spans="1:26">
      <c r="A1716" s="50" t="s">
        <v>73</v>
      </c>
      <c r="B1716" s="51" t="s">
        <v>817</v>
      </c>
      <c r="C1716" s="52" t="s">
        <v>731</v>
      </c>
      <c r="D1716" s="53">
        <v>1996</v>
      </c>
      <c r="E1716" s="54">
        <v>157634026</v>
      </c>
      <c r="F1716" s="54">
        <v>107804469</v>
      </c>
      <c r="G1716" s="54">
        <v>125040436</v>
      </c>
      <c r="H1716" s="54">
        <v>5126379</v>
      </c>
      <c r="I1716" s="55">
        <f t="shared" si="77"/>
        <v>395605310</v>
      </c>
      <c r="J1716" s="54">
        <v>0</v>
      </c>
      <c r="K1716" s="56">
        <f t="shared" si="78"/>
        <v>395605310</v>
      </c>
      <c r="L1716" s="37">
        <v>0</v>
      </c>
      <c r="O1716" s="38" t="str">
        <f>IF([1]totrevprm!O1717="","",[1]totrevprm!O1717)</f>
        <v/>
      </c>
    </row>
    <row r="1717" spans="1:26">
      <c r="A1717" s="50" t="s">
        <v>73</v>
      </c>
      <c r="B1717" s="51" t="s">
        <v>817</v>
      </c>
      <c r="C1717" s="52" t="s">
        <v>731</v>
      </c>
      <c r="D1717" s="53">
        <v>1997</v>
      </c>
      <c r="E1717" s="54">
        <v>185895076</v>
      </c>
      <c r="F1717" s="54">
        <v>134030611</v>
      </c>
      <c r="G1717" s="54">
        <v>136455905</v>
      </c>
      <c r="H1717" s="54">
        <v>19201038</v>
      </c>
      <c r="I1717" s="55">
        <f t="shared" si="77"/>
        <v>475582630</v>
      </c>
      <c r="J1717" s="54">
        <v>0</v>
      </c>
      <c r="K1717" s="56">
        <f t="shared" si="78"/>
        <v>475582630</v>
      </c>
      <c r="L1717" s="37">
        <v>0</v>
      </c>
      <c r="O1717" s="38" t="str">
        <f>IF([1]totrevprm!O1718="","",[1]totrevprm!O1718)</f>
        <v/>
      </c>
    </row>
    <row r="1718" spans="1:26">
      <c r="A1718" s="50" t="s">
        <v>73</v>
      </c>
      <c r="B1718" s="51" t="s">
        <v>817</v>
      </c>
      <c r="C1718" s="52" t="s">
        <v>731</v>
      </c>
      <c r="D1718" s="53">
        <v>1998</v>
      </c>
      <c r="E1718" s="54">
        <v>203025510</v>
      </c>
      <c r="F1718" s="54">
        <v>147820152</v>
      </c>
      <c r="G1718" s="54">
        <v>145892884</v>
      </c>
      <c r="H1718" s="54">
        <v>35091296</v>
      </c>
      <c r="I1718" s="55">
        <f t="shared" si="77"/>
        <v>531829842</v>
      </c>
      <c r="J1718" s="54">
        <v>0</v>
      </c>
      <c r="K1718" s="56">
        <f t="shared" si="78"/>
        <v>531829842</v>
      </c>
      <c r="L1718" s="37">
        <v>0</v>
      </c>
      <c r="O1718" s="38" t="str">
        <f>IF([1]totrevprm!O1719="","",[1]totrevprm!O1719)</f>
        <v/>
      </c>
    </row>
    <row r="1719" spans="1:26">
      <c r="A1719" s="50" t="s">
        <v>73</v>
      </c>
      <c r="B1719" s="51" t="s">
        <v>817</v>
      </c>
      <c r="C1719" s="52" t="s">
        <v>731</v>
      </c>
      <c r="D1719" s="53">
        <v>1999</v>
      </c>
      <c r="E1719" s="54">
        <v>172802446</v>
      </c>
      <c r="F1719" s="54">
        <v>157281818</v>
      </c>
      <c r="G1719" s="54">
        <v>162721759</v>
      </c>
      <c r="H1719" s="54">
        <v>20633887</v>
      </c>
      <c r="I1719" s="55">
        <f t="shared" si="77"/>
        <v>513439910</v>
      </c>
      <c r="J1719" s="54">
        <v>0</v>
      </c>
      <c r="K1719" s="56">
        <f t="shared" si="78"/>
        <v>513439910</v>
      </c>
      <c r="L1719" s="37">
        <v>0</v>
      </c>
      <c r="O1719" s="38" t="str">
        <f>IF([1]totrevprm!O1720="","",[1]totrevprm!O1720)</f>
        <v/>
      </c>
    </row>
    <row r="1720" spans="1:26">
      <c r="A1720" s="50" t="s">
        <v>73</v>
      </c>
      <c r="B1720" s="51" t="s">
        <v>817</v>
      </c>
      <c r="C1720" s="52" t="s">
        <v>731</v>
      </c>
      <c r="D1720" s="53">
        <v>2000</v>
      </c>
      <c r="E1720" s="54">
        <v>157480327</v>
      </c>
      <c r="F1720" s="54">
        <v>167531791</v>
      </c>
      <c r="G1720" s="54">
        <v>176952104</v>
      </c>
      <c r="H1720" s="54">
        <v>14182348</v>
      </c>
      <c r="I1720" s="55">
        <f t="shared" si="77"/>
        <v>516146570</v>
      </c>
      <c r="J1720" s="54">
        <v>0</v>
      </c>
      <c r="K1720" s="56">
        <f t="shared" si="78"/>
        <v>516146570</v>
      </c>
      <c r="L1720" s="37">
        <v>0</v>
      </c>
      <c r="O1720" s="38" t="str">
        <f>IF([1]totrevprm!O1721="","",[1]totrevprm!O1721)</f>
        <v/>
      </c>
      <c r="V1720" s="38" t="s">
        <v>817</v>
      </c>
      <c r="W1720" s="58">
        <v>15643</v>
      </c>
      <c r="X1720" s="58">
        <v>3927804</v>
      </c>
      <c r="Y1720" s="58">
        <v>2846267</v>
      </c>
      <c r="Z1720" s="58">
        <v>0</v>
      </c>
    </row>
    <row r="1721" spans="1:26">
      <c r="A1721" s="50" t="s">
        <v>73</v>
      </c>
      <c r="B1721" s="51" t="s">
        <v>817</v>
      </c>
      <c r="C1721" s="52" t="s">
        <v>731</v>
      </c>
      <c r="D1721" s="53">
        <v>2001</v>
      </c>
      <c r="E1721" s="54">
        <v>163055866</v>
      </c>
      <c r="F1721" s="54">
        <v>208920556</v>
      </c>
      <c r="G1721" s="54">
        <v>180145681</v>
      </c>
      <c r="H1721" s="54">
        <v>26300720</v>
      </c>
      <c r="I1721" s="55">
        <f t="shared" si="77"/>
        <v>578422823</v>
      </c>
      <c r="J1721" s="54">
        <v>0</v>
      </c>
      <c r="K1721" s="56">
        <f t="shared" si="78"/>
        <v>578422823</v>
      </c>
      <c r="L1721" s="37">
        <v>0</v>
      </c>
      <c r="O1721" s="38" t="str">
        <f>IF([1]totrevprm!O1722="","",[1]totrevprm!O1722)</f>
        <v/>
      </c>
      <c r="V1721" s="38"/>
      <c r="W1721" s="58"/>
      <c r="X1721" s="58"/>
      <c r="Y1721" s="58"/>
      <c r="Z1721" s="58"/>
    </row>
    <row r="1722" spans="1:26">
      <c r="A1722" s="50" t="s">
        <v>73</v>
      </c>
      <c r="B1722" s="51" t="s">
        <v>817</v>
      </c>
      <c r="C1722" s="52" t="s">
        <v>731</v>
      </c>
      <c r="D1722" s="53">
        <v>2002</v>
      </c>
      <c r="E1722" s="54">
        <v>170834571</v>
      </c>
      <c r="F1722" s="54">
        <v>283646412</v>
      </c>
      <c r="G1722" s="54">
        <v>191392830</v>
      </c>
      <c r="H1722" s="54">
        <v>8116588</v>
      </c>
      <c r="I1722" s="55">
        <f t="shared" si="77"/>
        <v>653990401</v>
      </c>
      <c r="J1722" s="54">
        <v>0</v>
      </c>
      <c r="K1722" s="56">
        <f t="shared" si="78"/>
        <v>653990401</v>
      </c>
      <c r="L1722" s="37">
        <v>0</v>
      </c>
      <c r="O1722" s="38" t="str">
        <f>IF([1]totrevprm!O1723="","",[1]totrevprm!O1723)</f>
        <v/>
      </c>
      <c r="V1722" s="38"/>
      <c r="W1722" s="58"/>
      <c r="X1722" s="58"/>
      <c r="Y1722" s="58"/>
      <c r="Z1722" s="58"/>
    </row>
    <row r="1723" spans="1:26">
      <c r="A1723" s="50" t="s">
        <v>73</v>
      </c>
      <c r="B1723" s="51" t="s">
        <v>817</v>
      </c>
      <c r="C1723" s="52" t="s">
        <v>731</v>
      </c>
      <c r="D1723" s="53">
        <v>2003</v>
      </c>
      <c r="E1723" s="59">
        <v>177530714</v>
      </c>
      <c r="F1723" s="59">
        <v>258254076</v>
      </c>
      <c r="G1723" s="59">
        <v>196191535</v>
      </c>
      <c r="H1723" s="59">
        <v>10055004</v>
      </c>
      <c r="I1723" s="55">
        <f t="shared" si="77"/>
        <v>642031329</v>
      </c>
      <c r="J1723" s="54">
        <v>0</v>
      </c>
      <c r="K1723" s="56">
        <f t="shared" si="78"/>
        <v>642031329</v>
      </c>
      <c r="L1723" s="37">
        <v>0</v>
      </c>
      <c r="O1723" s="38" t="str">
        <f>IF([1]totrevprm!O1724="","",[1]totrevprm!O1724)</f>
        <v/>
      </c>
      <c r="V1723" s="38"/>
      <c r="W1723" s="58"/>
      <c r="X1723" s="58"/>
      <c r="Y1723" s="58"/>
      <c r="Z1723" s="58"/>
    </row>
    <row r="1724" spans="1:26">
      <c r="A1724" s="50" t="s">
        <v>73</v>
      </c>
      <c r="B1724" s="51" t="s">
        <v>817</v>
      </c>
      <c r="C1724" s="52" t="s">
        <v>731</v>
      </c>
      <c r="D1724" s="53">
        <v>2004</v>
      </c>
      <c r="E1724" s="59">
        <v>186017356</v>
      </c>
      <c r="F1724" s="59">
        <v>268779890</v>
      </c>
      <c r="G1724" s="59">
        <v>206948324</v>
      </c>
      <c r="H1724" s="59">
        <v>12025335</v>
      </c>
      <c r="I1724" s="55">
        <f t="shared" si="77"/>
        <v>673770905</v>
      </c>
      <c r="J1724" s="54">
        <v>0</v>
      </c>
      <c r="K1724" s="56">
        <f t="shared" si="78"/>
        <v>673770905</v>
      </c>
      <c r="L1724" s="37">
        <v>0</v>
      </c>
      <c r="O1724" s="38" t="str">
        <f>IF([1]totrevprm!O1725="","",[1]totrevprm!O1725)</f>
        <v/>
      </c>
      <c r="V1724" s="38"/>
      <c r="W1724" s="58"/>
      <c r="X1724" s="58"/>
      <c r="Y1724" s="58"/>
      <c r="Z1724" s="58"/>
    </row>
    <row r="1725" spans="1:26">
      <c r="A1725" s="50" t="s">
        <v>73</v>
      </c>
      <c r="B1725" s="51" t="s">
        <v>817</v>
      </c>
      <c r="C1725" s="52"/>
      <c r="D1725" s="53">
        <v>2005</v>
      </c>
      <c r="E1725" s="59">
        <v>185152502</v>
      </c>
      <c r="F1725" s="59">
        <v>236548777</v>
      </c>
      <c r="G1725" s="59">
        <v>239497821.16</v>
      </c>
      <c r="H1725" s="59">
        <v>13441274</v>
      </c>
      <c r="I1725" s="55">
        <f t="shared" si="77"/>
        <v>674640374.15999997</v>
      </c>
      <c r="J1725" s="54">
        <v>0</v>
      </c>
      <c r="K1725" s="56">
        <f t="shared" si="78"/>
        <v>674640374.15999997</v>
      </c>
      <c r="L1725" s="37">
        <v>0</v>
      </c>
      <c r="O1725" s="38" t="str">
        <f>IF([1]totrevprm!O1726="","",[1]totrevprm!O1726)</f>
        <v/>
      </c>
      <c r="V1725" s="38"/>
      <c r="W1725" s="58"/>
      <c r="X1725" s="58"/>
      <c r="Y1725" s="58"/>
      <c r="Z1725" s="58"/>
    </row>
    <row r="1726" spans="1:26">
      <c r="A1726" s="50" t="s">
        <v>73</v>
      </c>
      <c r="B1726" s="51" t="s">
        <v>817</v>
      </c>
      <c r="C1726" s="52"/>
      <c r="D1726" s="53">
        <v>2006</v>
      </c>
      <c r="E1726" s="37">
        <v>199520573</v>
      </c>
      <c r="F1726" s="37">
        <v>247475120</v>
      </c>
      <c r="G1726" s="37">
        <v>284171600</v>
      </c>
      <c r="H1726" s="37">
        <v>22308478</v>
      </c>
      <c r="I1726" s="55">
        <f t="shared" si="77"/>
        <v>753475771</v>
      </c>
      <c r="J1726" s="54">
        <v>0</v>
      </c>
      <c r="K1726" s="56">
        <f t="shared" si="78"/>
        <v>753475771</v>
      </c>
      <c r="L1726" s="37">
        <v>0</v>
      </c>
      <c r="O1726" s="38" t="str">
        <f>IF([1]totrevprm!O1727="","",[1]totrevprm!O1727)</f>
        <v/>
      </c>
      <c r="V1726" s="38"/>
      <c r="W1726" s="58"/>
      <c r="X1726" s="58"/>
      <c r="Y1726" s="58"/>
      <c r="Z1726" s="58"/>
    </row>
    <row r="1727" spans="1:26">
      <c r="A1727" s="50" t="s">
        <v>73</v>
      </c>
      <c r="B1727" s="51" t="s">
        <v>817</v>
      </c>
      <c r="C1727" s="52"/>
      <c r="D1727" s="53">
        <v>2007</v>
      </c>
      <c r="E1727" s="37">
        <v>212039129</v>
      </c>
      <c r="F1727" s="37">
        <v>247937825</v>
      </c>
      <c r="G1727" s="37">
        <v>366182457</v>
      </c>
      <c r="H1727" s="37">
        <v>11031139</v>
      </c>
      <c r="I1727" s="55">
        <f t="shared" si="77"/>
        <v>837190550</v>
      </c>
      <c r="J1727" s="54">
        <v>0</v>
      </c>
      <c r="K1727" s="56">
        <f t="shared" si="78"/>
        <v>837190550</v>
      </c>
      <c r="L1727" s="37">
        <v>0</v>
      </c>
      <c r="O1727" s="38" t="str">
        <f>IF([1]totrevprm!O1728="","",[1]totrevprm!O1728)</f>
        <v/>
      </c>
      <c r="V1727" s="38"/>
      <c r="W1727" s="58"/>
      <c r="X1727" s="58"/>
      <c r="Y1727" s="58"/>
      <c r="Z1727" s="58"/>
    </row>
    <row r="1728" spans="1:26">
      <c r="A1728" s="50" t="s">
        <v>73</v>
      </c>
      <c r="B1728" s="51" t="s">
        <v>817</v>
      </c>
      <c r="C1728" s="52"/>
      <c r="D1728" s="53">
        <v>2008</v>
      </c>
      <c r="E1728" s="37">
        <v>218058285</v>
      </c>
      <c r="F1728" s="37">
        <v>349485954</v>
      </c>
      <c r="G1728" s="37">
        <v>379046576</v>
      </c>
      <c r="H1728" s="37">
        <v>5983365</v>
      </c>
      <c r="I1728" s="55">
        <f t="shared" si="77"/>
        <v>952574180</v>
      </c>
      <c r="J1728" s="54">
        <v>0</v>
      </c>
      <c r="K1728" s="56">
        <f t="shared" si="78"/>
        <v>952574180</v>
      </c>
      <c r="L1728" s="37">
        <v>0</v>
      </c>
      <c r="O1728" s="38" t="str">
        <f>IF([1]totrevprm!O1729="","",[1]totrevprm!O1729)</f>
        <v/>
      </c>
      <c r="V1728" s="38"/>
      <c r="W1728" s="58"/>
      <c r="X1728" s="58"/>
      <c r="Y1728" s="58"/>
      <c r="Z1728" s="58"/>
    </row>
    <row r="1729" spans="1:26">
      <c r="A1729" s="50" t="s">
        <v>73</v>
      </c>
      <c r="B1729" s="51" t="s">
        <v>817</v>
      </c>
      <c r="C1729" s="52"/>
      <c r="D1729" s="53">
        <v>2009</v>
      </c>
      <c r="E1729" s="37">
        <v>212320959</v>
      </c>
      <c r="F1729" s="37">
        <v>361745779</v>
      </c>
      <c r="G1729" s="37">
        <v>437409588</v>
      </c>
      <c r="H1729" s="37">
        <v>22195721</v>
      </c>
      <c r="I1729" s="55">
        <f t="shared" si="77"/>
        <v>1033672047</v>
      </c>
      <c r="J1729" s="54">
        <v>0</v>
      </c>
      <c r="K1729" s="56">
        <f t="shared" si="78"/>
        <v>1033672047</v>
      </c>
      <c r="L1729" s="37">
        <v>0</v>
      </c>
      <c r="O1729" s="38" t="str">
        <f>IF([1]totrevprm!O1730="","",[1]totrevprm!O1730)</f>
        <v/>
      </c>
      <c r="V1729" s="38"/>
      <c r="W1729" s="58"/>
      <c r="X1729" s="58"/>
      <c r="Y1729" s="58"/>
      <c r="Z1729" s="58"/>
    </row>
    <row r="1730" spans="1:26">
      <c r="A1730" s="50" t="s">
        <v>73</v>
      </c>
      <c r="B1730" s="51" t="s">
        <v>817</v>
      </c>
      <c r="C1730" s="52"/>
      <c r="D1730" s="53">
        <v>2010</v>
      </c>
      <c r="E1730" s="37">
        <v>228866126</v>
      </c>
      <c r="F1730" s="37">
        <v>296359502</v>
      </c>
      <c r="G1730" s="37">
        <v>483344143</v>
      </c>
      <c r="H1730" s="37">
        <v>14766102</v>
      </c>
      <c r="I1730" s="55">
        <f t="shared" si="77"/>
        <v>1023335873</v>
      </c>
      <c r="J1730" s="54">
        <v>0</v>
      </c>
      <c r="K1730" s="56">
        <f t="shared" si="78"/>
        <v>1023335873</v>
      </c>
      <c r="L1730" s="37">
        <v>0</v>
      </c>
      <c r="O1730" s="38" t="str">
        <f>IF([1]totrevprm!O1731="","",[1]totrevprm!O1731)</f>
        <v/>
      </c>
      <c r="V1730" s="38"/>
      <c r="W1730" s="58"/>
      <c r="X1730" s="58"/>
      <c r="Y1730" s="58"/>
      <c r="Z1730" s="58"/>
    </row>
    <row r="1731" spans="1:26">
      <c r="A1731" s="50" t="s">
        <v>73</v>
      </c>
      <c r="B1731" s="51" t="s">
        <v>817</v>
      </c>
      <c r="C1731" s="52"/>
      <c r="D1731" s="53">
        <v>2011</v>
      </c>
      <c r="E1731" s="37">
        <v>272337659</v>
      </c>
      <c r="F1731" s="37">
        <v>350708627</v>
      </c>
      <c r="G1731" s="37">
        <v>448387273.58000004</v>
      </c>
      <c r="H1731" s="37">
        <v>20197399</v>
      </c>
      <c r="I1731" s="55">
        <f t="shared" si="77"/>
        <v>1091630958.5799999</v>
      </c>
      <c r="J1731" s="54">
        <v>0</v>
      </c>
      <c r="K1731" s="56">
        <f t="shared" si="78"/>
        <v>1091630958.5799999</v>
      </c>
      <c r="L1731" s="37">
        <v>0</v>
      </c>
      <c r="O1731" s="38" t="str">
        <f>IF([1]totrevprm!O1732="","",[1]totrevprm!O1732)</f>
        <v/>
      </c>
      <c r="V1731" s="38"/>
      <c r="W1731" s="58"/>
      <c r="X1731" s="58"/>
      <c r="Y1731" s="58"/>
      <c r="Z1731" s="58"/>
    </row>
    <row r="1732" spans="1:26">
      <c r="A1732" s="50" t="s">
        <v>73</v>
      </c>
      <c r="B1732" s="51" t="s">
        <v>817</v>
      </c>
      <c r="C1732" s="52"/>
      <c r="D1732" s="53">
        <v>2012</v>
      </c>
      <c r="E1732" s="37">
        <v>231686232</v>
      </c>
      <c r="F1732" s="37">
        <v>333546998</v>
      </c>
      <c r="G1732" s="37">
        <v>375907026</v>
      </c>
      <c r="H1732" s="37">
        <v>10244346</v>
      </c>
      <c r="I1732" s="55">
        <f t="shared" si="77"/>
        <v>951384602</v>
      </c>
      <c r="J1732" s="54">
        <v>0</v>
      </c>
      <c r="K1732" s="56">
        <f t="shared" si="78"/>
        <v>951384602</v>
      </c>
      <c r="L1732" s="37">
        <v>0</v>
      </c>
      <c r="O1732" s="38" t="str">
        <f>IF([1]totrevprm!O1733="","",[1]totrevprm!O1733)</f>
        <v/>
      </c>
      <c r="V1732" s="38"/>
      <c r="W1732" s="58"/>
      <c r="X1732" s="58"/>
      <c r="Y1732" s="58"/>
      <c r="Z1732" s="58"/>
    </row>
    <row r="1733" spans="1:26">
      <c r="A1733" s="50" t="s">
        <v>73</v>
      </c>
      <c r="B1733" s="51" t="s">
        <v>817</v>
      </c>
      <c r="C1733" s="52"/>
      <c r="D1733" s="53">
        <v>2013</v>
      </c>
      <c r="E1733" s="37">
        <v>249423519</v>
      </c>
      <c r="F1733" s="37">
        <v>321840601</v>
      </c>
      <c r="G1733" s="37">
        <v>358462479</v>
      </c>
      <c r="H1733" s="37">
        <v>10065082</v>
      </c>
      <c r="I1733" s="55">
        <f t="shared" si="77"/>
        <v>939791681</v>
      </c>
      <c r="J1733" s="54">
        <v>0</v>
      </c>
      <c r="K1733" s="56">
        <f t="shared" si="78"/>
        <v>939791681</v>
      </c>
      <c r="L1733" s="37">
        <v>0</v>
      </c>
      <c r="O1733" s="38" t="str">
        <f>IF([1]totrevprm!O1734="","",[1]totrevprm!O1734)</f>
        <v/>
      </c>
      <c r="V1733" s="38"/>
      <c r="W1733" s="58"/>
      <c r="X1733" s="58"/>
      <c r="Y1733" s="58"/>
      <c r="Z1733" s="58"/>
    </row>
    <row r="1734" spans="1:26">
      <c r="A1734" s="50" t="s">
        <v>73</v>
      </c>
      <c r="B1734" s="51" t="s">
        <v>817</v>
      </c>
      <c r="C1734" s="52"/>
      <c r="D1734" s="53">
        <v>2014</v>
      </c>
      <c r="E1734" s="37">
        <v>251184345</v>
      </c>
      <c r="F1734" s="37">
        <v>353425000</v>
      </c>
      <c r="G1734" s="37">
        <v>309073981.49000001</v>
      </c>
      <c r="H1734" s="37">
        <v>11238252</v>
      </c>
      <c r="I1734" s="55">
        <f t="shared" si="77"/>
        <v>924921578.49000001</v>
      </c>
      <c r="J1734" s="54">
        <v>0</v>
      </c>
      <c r="K1734" s="56">
        <f t="shared" si="78"/>
        <v>924921578.49000001</v>
      </c>
      <c r="L1734" s="37">
        <v>0</v>
      </c>
      <c r="O1734" s="38" t="str">
        <f>IF([1]totrevprm!O1735="","",[1]totrevprm!O1735)</f>
        <v/>
      </c>
      <c r="V1734" s="38"/>
      <c r="W1734" s="58"/>
      <c r="X1734" s="58"/>
      <c r="Y1734" s="58"/>
      <c r="Z1734" s="58"/>
    </row>
    <row r="1735" spans="1:26">
      <c r="A1735" s="50" t="s">
        <v>73</v>
      </c>
      <c r="B1735" s="51" t="s">
        <v>817</v>
      </c>
      <c r="C1735" s="52"/>
      <c r="D1735" s="53">
        <v>2015</v>
      </c>
      <c r="E1735" s="37">
        <v>249665945</v>
      </c>
      <c r="F1735" s="37">
        <v>410119019</v>
      </c>
      <c r="G1735" s="37">
        <v>266860580</v>
      </c>
      <c r="H1735" s="37">
        <v>17263115</v>
      </c>
      <c r="I1735" s="55">
        <f t="shared" si="77"/>
        <v>943908659</v>
      </c>
      <c r="J1735" s="54">
        <v>0</v>
      </c>
      <c r="K1735" s="56">
        <f t="shared" si="78"/>
        <v>943908659</v>
      </c>
      <c r="L1735" s="37">
        <v>0</v>
      </c>
      <c r="O1735" s="38" t="str">
        <f>IF([1]totrevprm!O1736="","",[1]totrevprm!O1736)</f>
        <v/>
      </c>
      <c r="P1735" s="35">
        <v>59388171.50296621</v>
      </c>
      <c r="Q1735" s="35">
        <v>25487855.879999999</v>
      </c>
      <c r="V1735" s="38"/>
      <c r="W1735" s="58"/>
      <c r="X1735" s="58"/>
      <c r="Y1735" s="58"/>
      <c r="Z1735" s="58"/>
    </row>
    <row r="1736" spans="1:26">
      <c r="A1736" s="50" t="s">
        <v>73</v>
      </c>
      <c r="B1736" s="51" t="s">
        <v>817</v>
      </c>
      <c r="C1736" s="52"/>
      <c r="D1736" s="53">
        <v>2016</v>
      </c>
      <c r="E1736" s="37">
        <v>254441984</v>
      </c>
      <c r="F1736" s="37">
        <v>457254410</v>
      </c>
      <c r="G1736" s="37">
        <v>257006629</v>
      </c>
      <c r="H1736" s="37">
        <v>26610254</v>
      </c>
      <c r="I1736" s="55">
        <f t="shared" si="77"/>
        <v>995313277</v>
      </c>
      <c r="J1736" s="54">
        <v>0</v>
      </c>
      <c r="K1736" s="56">
        <f t="shared" si="78"/>
        <v>995313277</v>
      </c>
      <c r="L1736" s="37">
        <v>0</v>
      </c>
      <c r="O1736" s="38" t="str">
        <f>IF([1]totrevprm!O1737="","",[1]totrevprm!O1737)</f>
        <v/>
      </c>
      <c r="P1736" s="35">
        <v>62723270.410526313</v>
      </c>
      <c r="Q1736" s="35">
        <v>26256774.57</v>
      </c>
      <c r="V1736" s="38"/>
      <c r="W1736" s="58"/>
      <c r="X1736" s="58"/>
      <c r="Y1736" s="58"/>
      <c r="Z1736" s="58"/>
    </row>
    <row r="1737" spans="1:26">
      <c r="A1737" s="50" t="s">
        <v>73</v>
      </c>
      <c r="B1737" s="51" t="s">
        <v>817</v>
      </c>
      <c r="C1737" s="52"/>
      <c r="D1737" s="53">
        <v>2017</v>
      </c>
      <c r="E1737" s="37">
        <v>253159869</v>
      </c>
      <c r="F1737" s="37">
        <v>506932643</v>
      </c>
      <c r="G1737" s="37">
        <v>262053988.73000002</v>
      </c>
      <c r="H1737" s="37">
        <v>16735797</v>
      </c>
      <c r="I1737" s="55">
        <f t="shared" si="77"/>
        <v>1038882297.73</v>
      </c>
      <c r="J1737" s="54">
        <v>0</v>
      </c>
      <c r="K1737" s="56">
        <f t="shared" si="78"/>
        <v>1038882297.73</v>
      </c>
      <c r="L1737" s="37">
        <v>0</v>
      </c>
      <c r="O1737" s="38" t="str">
        <f>IF([1]totrevprm!O1738="","",[1]totrevprm!O1738)</f>
        <v/>
      </c>
      <c r="P1737" s="35">
        <v>62939859.028661415</v>
      </c>
      <c r="Q1737" s="35">
        <v>25509466.280000001</v>
      </c>
      <c r="V1737" s="38"/>
      <c r="W1737" s="58"/>
      <c r="X1737" s="58"/>
      <c r="Y1737" s="58"/>
      <c r="Z1737" s="58"/>
    </row>
    <row r="1738" spans="1:26">
      <c r="A1738" s="50" t="s">
        <v>73</v>
      </c>
      <c r="B1738" s="51" t="s">
        <v>817</v>
      </c>
      <c r="C1738" s="52"/>
      <c r="D1738" s="53">
        <v>2018</v>
      </c>
      <c r="E1738" s="37">
        <v>251361756</v>
      </c>
      <c r="F1738" s="37">
        <v>511012882</v>
      </c>
      <c r="G1738" s="37">
        <v>273785084</v>
      </c>
      <c r="H1738" s="37">
        <v>36209723</v>
      </c>
      <c r="I1738" s="55">
        <f t="shared" si="77"/>
        <v>1072369445</v>
      </c>
      <c r="J1738" s="54">
        <v>0</v>
      </c>
      <c r="K1738" s="56">
        <f t="shared" si="78"/>
        <v>1072369445</v>
      </c>
      <c r="L1738" s="60">
        <v>0</v>
      </c>
      <c r="O1738" s="38" t="str">
        <f>IF([1]totrevprm!O1739="","",[1]totrevprm!O1739)</f>
        <v/>
      </c>
      <c r="P1738" s="35">
        <v>61881450.330261432</v>
      </c>
      <c r="Q1738" s="35">
        <v>25228861.390000001</v>
      </c>
      <c r="V1738" s="38"/>
      <c r="W1738" s="58"/>
      <c r="X1738" s="58"/>
      <c r="Y1738" s="58"/>
      <c r="Z1738" s="58"/>
    </row>
    <row r="1739" spans="1:26">
      <c r="A1739" s="50" t="s">
        <v>73</v>
      </c>
      <c r="B1739" s="51" t="s">
        <v>817</v>
      </c>
      <c r="C1739" s="52"/>
      <c r="D1739" s="53">
        <v>2019</v>
      </c>
      <c r="E1739" s="37">
        <v>253083212</v>
      </c>
      <c r="F1739" s="37">
        <v>460908082</v>
      </c>
      <c r="G1739" s="37">
        <v>258645904.84999999</v>
      </c>
      <c r="H1739" s="37">
        <v>45647057</v>
      </c>
      <c r="I1739" s="55">
        <f t="shared" si="77"/>
        <v>1018284255.85</v>
      </c>
      <c r="J1739" s="54">
        <v>0</v>
      </c>
      <c r="K1739" s="56">
        <f t="shared" si="78"/>
        <v>1018284255.85</v>
      </c>
      <c r="L1739" s="60">
        <v>0</v>
      </c>
      <c r="O1739" s="38" t="str">
        <f>IF([1]totrevprm!O1740="","",[1]totrevprm!O1740)</f>
        <v/>
      </c>
      <c r="P1739" s="35">
        <v>61104043.475224033</v>
      </c>
      <c r="Q1739" s="35">
        <v>24259902.550000004</v>
      </c>
      <c r="V1739" s="38"/>
      <c r="W1739" s="58"/>
      <c r="X1739" s="58"/>
      <c r="Y1739" s="58"/>
      <c r="Z1739" s="58"/>
    </row>
    <row r="1740" spans="1:26">
      <c r="A1740" s="50" t="s">
        <v>73</v>
      </c>
      <c r="B1740" s="51" t="s">
        <v>817</v>
      </c>
      <c r="C1740" s="52"/>
      <c r="D1740" s="53">
        <v>2020</v>
      </c>
      <c r="E1740" s="37">
        <v>246921789</v>
      </c>
      <c r="F1740" s="37">
        <v>444453803</v>
      </c>
      <c r="G1740" s="37">
        <v>269800824</v>
      </c>
      <c r="H1740" s="37">
        <v>59734652</v>
      </c>
      <c r="I1740" s="55">
        <f t="shared" si="77"/>
        <v>1020911068</v>
      </c>
      <c r="J1740" s="54">
        <v>0</v>
      </c>
      <c r="K1740" s="56">
        <f t="shared" si="78"/>
        <v>1020911068</v>
      </c>
      <c r="L1740" s="60">
        <v>0</v>
      </c>
      <c r="O1740" s="38" t="str">
        <f>IF([1]totrevprm!O1741="","",[1]totrevprm!O1741)</f>
        <v/>
      </c>
      <c r="P1740" s="35">
        <v>59143869</v>
      </c>
      <c r="Q1740" s="35">
        <v>23399609</v>
      </c>
      <c r="V1740" s="38"/>
      <c r="W1740" s="58"/>
      <c r="X1740" s="58"/>
      <c r="Y1740" s="58"/>
      <c r="Z1740" s="58"/>
    </row>
    <row r="1741" spans="1:26">
      <c r="A1741" s="50" t="s">
        <v>73</v>
      </c>
      <c r="B1741" s="51" t="s">
        <v>817</v>
      </c>
      <c r="C1741" s="52"/>
      <c r="D1741" s="53">
        <v>2021</v>
      </c>
      <c r="E1741" s="37">
        <v>269298689</v>
      </c>
      <c r="F1741" s="37">
        <v>526152380</v>
      </c>
      <c r="G1741" s="37">
        <v>261613610.56999999</v>
      </c>
      <c r="H1741" s="37">
        <v>11593092</v>
      </c>
      <c r="I1741" s="55">
        <f t="shared" si="77"/>
        <v>1068657771.5699999</v>
      </c>
      <c r="J1741" s="54">
        <v>0</v>
      </c>
      <c r="K1741" s="56">
        <f>SUM(I1741:J1741)</f>
        <v>1068657771.5699999</v>
      </c>
      <c r="L1741" s="54">
        <v>0</v>
      </c>
      <c r="O1741" s="38"/>
      <c r="P1741" s="35">
        <v>59413893.189999998</v>
      </c>
      <c r="Q1741" s="35">
        <v>25180594</v>
      </c>
      <c r="V1741" s="38"/>
      <c r="W1741" s="58"/>
      <c r="X1741" s="58"/>
      <c r="Y1741" s="58"/>
      <c r="Z1741" s="58"/>
    </row>
    <row r="1742" spans="1:26">
      <c r="A1742" s="50" t="s">
        <v>73</v>
      </c>
      <c r="B1742" s="51" t="s">
        <v>817</v>
      </c>
      <c r="C1742" s="52"/>
      <c r="D1742" s="53">
        <v>2022</v>
      </c>
      <c r="E1742" s="37">
        <v>280702067</v>
      </c>
      <c r="F1742" s="37">
        <v>1212184531</v>
      </c>
      <c r="G1742" s="37">
        <v>284561733</v>
      </c>
      <c r="H1742" s="37">
        <v>25136370</v>
      </c>
      <c r="I1742" s="55">
        <f t="shared" si="77"/>
        <v>1802584701</v>
      </c>
      <c r="J1742" s="54">
        <v>0</v>
      </c>
      <c r="K1742" s="56">
        <f t="shared" ref="K1742:K1743" si="79">SUM(I1742:J1742)</f>
        <v>1802584701</v>
      </c>
      <c r="L1742" s="54">
        <v>0</v>
      </c>
      <c r="O1742" s="38" t="str">
        <f>IF([1]totrevprm!O1745="","",[1]totrevprm!O1745)</f>
        <v/>
      </c>
      <c r="P1742" s="60">
        <v>80435236</v>
      </c>
      <c r="Q1742" s="60">
        <v>24944848</v>
      </c>
    </row>
    <row r="1743" spans="1:26">
      <c r="A1743" s="50" t="s">
        <v>73</v>
      </c>
      <c r="B1743" s="51" t="s">
        <v>817</v>
      </c>
      <c r="C1743" s="52"/>
      <c r="D1743" s="53">
        <v>2023</v>
      </c>
      <c r="E1743" s="37">
        <v>260419900</v>
      </c>
      <c r="F1743" s="37">
        <v>935460824</v>
      </c>
      <c r="G1743" s="37">
        <v>539664827.47000003</v>
      </c>
      <c r="H1743" s="37">
        <v>18628448</v>
      </c>
      <c r="I1743" s="55">
        <f t="shared" si="77"/>
        <v>1754173999.47</v>
      </c>
      <c r="J1743" s="54">
        <v>0</v>
      </c>
      <c r="K1743" s="56">
        <f t="shared" si="79"/>
        <v>1754173999.47</v>
      </c>
      <c r="L1743" s="37">
        <v>0</v>
      </c>
      <c r="M1743" s="69" t="s">
        <v>739</v>
      </c>
      <c r="O1743" s="38" t="s">
        <v>737</v>
      </c>
      <c r="P1743" s="60">
        <v>65324397.350000001</v>
      </c>
      <c r="Q1743" s="60">
        <v>25070335</v>
      </c>
    </row>
    <row r="1744" spans="1:26">
      <c r="A1744" s="50"/>
      <c r="B1744" s="52"/>
      <c r="C1744" s="52"/>
      <c r="E1744" s="54"/>
      <c r="F1744" s="54"/>
      <c r="G1744" s="54"/>
      <c r="H1744" s="54"/>
      <c r="I1744" s="55"/>
      <c r="K1744" s="65"/>
      <c r="L1744" s="37"/>
      <c r="O1744" s="38"/>
    </row>
    <row r="1745" spans="1:26">
      <c r="A1745" s="50" t="s">
        <v>74</v>
      </c>
      <c r="B1745" s="51" t="s">
        <v>470</v>
      </c>
      <c r="C1745" s="52" t="s">
        <v>730</v>
      </c>
      <c r="D1745" s="53">
        <v>1988</v>
      </c>
      <c r="E1745" s="54">
        <v>1501089283</v>
      </c>
      <c r="F1745" s="54">
        <v>910923198</v>
      </c>
      <c r="G1745" s="54">
        <v>2363356212</v>
      </c>
      <c r="H1745" s="54">
        <v>0</v>
      </c>
      <c r="I1745" s="55">
        <f t="shared" si="77"/>
        <v>4775368693</v>
      </c>
      <c r="J1745" s="54">
        <v>-1618472</v>
      </c>
      <c r="K1745" s="56">
        <f>SUM(I1745:J1745)</f>
        <v>4773750221</v>
      </c>
      <c r="L1745" s="37">
        <v>0</v>
      </c>
      <c r="O1745" s="38" t="str">
        <f>IF([1]totrevprm!O1746="","",[1]totrevprm!O1746)</f>
        <v/>
      </c>
    </row>
    <row r="1746" spans="1:26">
      <c r="A1746" s="50" t="s">
        <v>74</v>
      </c>
      <c r="B1746" s="51" t="s">
        <v>470</v>
      </c>
      <c r="C1746" s="52" t="s">
        <v>731</v>
      </c>
      <c r="D1746" s="53">
        <v>1989</v>
      </c>
      <c r="E1746" s="54">
        <v>1543941404</v>
      </c>
      <c r="F1746" s="54">
        <v>1049042899</v>
      </c>
      <c r="G1746" s="54">
        <v>2657188303</v>
      </c>
      <c r="H1746" s="54">
        <v>0</v>
      </c>
      <c r="I1746" s="55">
        <f t="shared" si="77"/>
        <v>5250172606</v>
      </c>
      <c r="J1746" s="54">
        <v>-1344406</v>
      </c>
      <c r="K1746" s="56">
        <f t="shared" ref="K1746:K1780" si="80">SUM(I1746:J1746)</f>
        <v>5248828200</v>
      </c>
      <c r="L1746" s="37">
        <v>0</v>
      </c>
      <c r="O1746" s="38" t="str">
        <f>IF([1]totrevprm!O1747="","",[1]totrevprm!O1747)</f>
        <v/>
      </c>
    </row>
    <row r="1747" spans="1:26">
      <c r="A1747" s="50" t="s">
        <v>74</v>
      </c>
      <c r="B1747" s="51" t="s">
        <v>470</v>
      </c>
      <c r="C1747" s="52" t="s">
        <v>731</v>
      </c>
      <c r="D1747" s="53">
        <v>1990</v>
      </c>
      <c r="E1747" s="54">
        <v>1660561706</v>
      </c>
      <c r="F1747" s="54">
        <v>1103217804.1199999</v>
      </c>
      <c r="G1747" s="54">
        <v>2128224081</v>
      </c>
      <c r="H1747" s="54">
        <v>0</v>
      </c>
      <c r="I1747" s="55">
        <f t="shared" si="77"/>
        <v>4892003591.1199999</v>
      </c>
      <c r="J1747" s="54">
        <v>-2238664</v>
      </c>
      <c r="K1747" s="56">
        <f t="shared" si="80"/>
        <v>4889764927.1199999</v>
      </c>
      <c r="L1747" s="37">
        <v>0</v>
      </c>
      <c r="O1747" s="38" t="str">
        <f>IF([1]totrevprm!O1748="","",[1]totrevprm!O1748)</f>
        <v/>
      </c>
    </row>
    <row r="1748" spans="1:26">
      <c r="A1748" s="50" t="s">
        <v>74</v>
      </c>
      <c r="B1748" s="51" t="s">
        <v>470</v>
      </c>
      <c r="C1748" s="52" t="s">
        <v>731</v>
      </c>
      <c r="D1748" s="53">
        <v>1991</v>
      </c>
      <c r="E1748" s="54">
        <v>1729816670</v>
      </c>
      <c r="F1748" s="54">
        <v>945263271</v>
      </c>
      <c r="G1748" s="54">
        <v>2250538034</v>
      </c>
      <c r="H1748" s="54">
        <v>0</v>
      </c>
      <c r="I1748" s="55">
        <f t="shared" si="77"/>
        <v>4925617975</v>
      </c>
      <c r="J1748" s="54">
        <v>-14628757</v>
      </c>
      <c r="K1748" s="56">
        <f t="shared" si="80"/>
        <v>4910989218</v>
      </c>
      <c r="L1748" s="37">
        <v>0</v>
      </c>
      <c r="O1748" s="38" t="str">
        <f>IF([1]totrevprm!O1749="","",[1]totrevprm!O1749)</f>
        <v/>
      </c>
    </row>
    <row r="1749" spans="1:26">
      <c r="A1749" s="50" t="s">
        <v>74</v>
      </c>
      <c r="B1749" s="51" t="s">
        <v>470</v>
      </c>
      <c r="C1749" s="52" t="s">
        <v>731</v>
      </c>
      <c r="D1749" s="53">
        <v>1992</v>
      </c>
      <c r="E1749" s="54">
        <v>1889473142</v>
      </c>
      <c r="F1749" s="54">
        <v>1257251933.5599999</v>
      </c>
      <c r="G1749" s="54">
        <v>2348996620</v>
      </c>
      <c r="H1749" s="54">
        <v>0</v>
      </c>
      <c r="I1749" s="55">
        <f t="shared" si="77"/>
        <v>5495721695.5599995</v>
      </c>
      <c r="J1749" s="54">
        <v>-7472033</v>
      </c>
      <c r="K1749" s="56">
        <f t="shared" si="80"/>
        <v>5488249662.5599995</v>
      </c>
      <c r="L1749" s="37">
        <v>0</v>
      </c>
      <c r="O1749" s="38" t="str">
        <f>IF([1]totrevprm!O1750="","",[1]totrevprm!O1750)</f>
        <v/>
      </c>
    </row>
    <row r="1750" spans="1:26">
      <c r="A1750" s="50" t="s">
        <v>74</v>
      </c>
      <c r="B1750" s="51" t="s">
        <v>470</v>
      </c>
      <c r="C1750" s="52" t="s">
        <v>731</v>
      </c>
      <c r="D1750" s="53">
        <v>1993</v>
      </c>
      <c r="E1750" s="54">
        <v>1907656659</v>
      </c>
      <c r="F1750" s="54">
        <v>1126828951</v>
      </c>
      <c r="G1750" s="54">
        <v>2519918117</v>
      </c>
      <c r="H1750" s="54">
        <v>0</v>
      </c>
      <c r="I1750" s="55">
        <f t="shared" si="77"/>
        <v>5554403727</v>
      </c>
      <c r="J1750" s="54">
        <v>-2789224</v>
      </c>
      <c r="K1750" s="56">
        <f t="shared" si="80"/>
        <v>5551614503</v>
      </c>
      <c r="L1750" s="37">
        <v>0</v>
      </c>
      <c r="O1750" s="38" t="str">
        <f>IF([1]totrevprm!O1751="","",[1]totrevprm!O1751)</f>
        <v/>
      </c>
    </row>
    <row r="1751" spans="1:26">
      <c r="A1751" s="50" t="s">
        <v>74</v>
      </c>
      <c r="B1751" s="51" t="s">
        <v>470</v>
      </c>
      <c r="C1751" s="52" t="s">
        <v>731</v>
      </c>
      <c r="D1751" s="53">
        <v>1994</v>
      </c>
      <c r="E1751" s="54">
        <v>2049832358</v>
      </c>
      <c r="F1751" s="54">
        <v>1532486706</v>
      </c>
      <c r="G1751" s="54">
        <v>2520943348</v>
      </c>
      <c r="H1751" s="54">
        <v>0</v>
      </c>
      <c r="I1751" s="55">
        <f t="shared" si="77"/>
        <v>6103262412</v>
      </c>
      <c r="J1751" s="54">
        <v>-567028</v>
      </c>
      <c r="K1751" s="56">
        <f t="shared" si="80"/>
        <v>6102695384</v>
      </c>
      <c r="L1751" s="37">
        <v>0</v>
      </c>
      <c r="O1751" s="38" t="str">
        <f>IF([1]totrevprm!O1752="","",[1]totrevprm!O1752)</f>
        <v/>
      </c>
    </row>
    <row r="1752" spans="1:26">
      <c r="A1752" s="50" t="s">
        <v>74</v>
      </c>
      <c r="B1752" s="51" t="s">
        <v>470</v>
      </c>
      <c r="C1752" s="52" t="s">
        <v>731</v>
      </c>
      <c r="D1752" s="53">
        <v>1995</v>
      </c>
      <c r="E1752" s="54">
        <v>2190692461</v>
      </c>
      <c r="F1752" s="54">
        <v>1400792149</v>
      </c>
      <c r="G1752" s="54">
        <v>2639522810</v>
      </c>
      <c r="H1752" s="54">
        <v>0</v>
      </c>
      <c r="I1752" s="55">
        <f t="shared" si="77"/>
        <v>6231007420</v>
      </c>
      <c r="J1752" s="54">
        <v>-2945549</v>
      </c>
      <c r="K1752" s="56">
        <f t="shared" si="80"/>
        <v>6228061871</v>
      </c>
      <c r="L1752" s="37">
        <v>0</v>
      </c>
      <c r="O1752" s="38" t="str">
        <f>IF([1]totrevprm!O1753="","",[1]totrevprm!O1753)</f>
        <v/>
      </c>
    </row>
    <row r="1753" spans="1:26">
      <c r="A1753" s="50" t="s">
        <v>74</v>
      </c>
      <c r="B1753" s="51" t="s">
        <v>470</v>
      </c>
      <c r="C1753" s="52" t="s">
        <v>731</v>
      </c>
      <c r="D1753" s="53">
        <v>1996</v>
      </c>
      <c r="E1753" s="54">
        <v>2227159561</v>
      </c>
      <c r="F1753" s="54">
        <v>1192305410</v>
      </c>
      <c r="G1753" s="54">
        <v>2690850982</v>
      </c>
      <c r="H1753" s="54">
        <v>0</v>
      </c>
      <c r="I1753" s="55">
        <f t="shared" si="77"/>
        <v>6110315953</v>
      </c>
      <c r="J1753" s="54">
        <v>-790559</v>
      </c>
      <c r="K1753" s="56">
        <f t="shared" si="80"/>
        <v>6109525394</v>
      </c>
      <c r="L1753" s="37">
        <v>0</v>
      </c>
      <c r="O1753" s="38" t="str">
        <f>IF([1]totrevprm!O1754="","",[1]totrevprm!O1754)</f>
        <v/>
      </c>
    </row>
    <row r="1754" spans="1:26">
      <c r="A1754" s="50" t="s">
        <v>74</v>
      </c>
      <c r="B1754" s="51" t="s">
        <v>470</v>
      </c>
      <c r="C1754" s="52" t="s">
        <v>731</v>
      </c>
      <c r="D1754" s="53">
        <v>1997</v>
      </c>
      <c r="E1754" s="54">
        <v>2183619207</v>
      </c>
      <c r="F1754" s="54">
        <v>1364423874</v>
      </c>
      <c r="G1754" s="54">
        <v>2716987365</v>
      </c>
      <c r="H1754" s="54">
        <v>0</v>
      </c>
      <c r="I1754" s="55">
        <f t="shared" si="77"/>
        <v>6265030446</v>
      </c>
      <c r="J1754" s="54">
        <v>-666995</v>
      </c>
      <c r="K1754" s="56">
        <f t="shared" si="80"/>
        <v>6264363451</v>
      </c>
      <c r="L1754" s="37">
        <v>0</v>
      </c>
      <c r="O1754" s="38" t="str">
        <f>IF([1]totrevprm!O1755="","",[1]totrevprm!O1755)</f>
        <v/>
      </c>
    </row>
    <row r="1755" spans="1:26">
      <c r="A1755" s="50" t="s">
        <v>74</v>
      </c>
      <c r="B1755" s="51" t="s">
        <v>470</v>
      </c>
      <c r="C1755" s="52" t="s">
        <v>731</v>
      </c>
      <c r="D1755" s="53">
        <v>1998</v>
      </c>
      <c r="E1755" s="54">
        <v>2343446115</v>
      </c>
      <c r="F1755" s="54">
        <v>1408582622</v>
      </c>
      <c r="G1755" s="54">
        <v>2828357943</v>
      </c>
      <c r="H1755" s="54">
        <v>0</v>
      </c>
      <c r="I1755" s="55">
        <f t="shared" si="77"/>
        <v>6580386680</v>
      </c>
      <c r="J1755" s="54">
        <v>-2198687</v>
      </c>
      <c r="K1755" s="56">
        <f t="shared" si="80"/>
        <v>6578187993</v>
      </c>
      <c r="L1755" s="37">
        <v>0</v>
      </c>
      <c r="O1755" s="38" t="str">
        <f>IF([1]totrevprm!O1756="","",[1]totrevprm!O1756)</f>
        <v/>
      </c>
    </row>
    <row r="1756" spans="1:26">
      <c r="A1756" s="50" t="s">
        <v>74</v>
      </c>
      <c r="B1756" s="51" t="s">
        <v>470</v>
      </c>
      <c r="C1756" s="52" t="s">
        <v>731</v>
      </c>
      <c r="D1756" s="53">
        <v>1999</v>
      </c>
      <c r="E1756" s="54">
        <v>2290594933</v>
      </c>
      <c r="F1756" s="54">
        <v>2028097258</v>
      </c>
      <c r="G1756" s="54">
        <v>3086655463</v>
      </c>
      <c r="H1756" s="54">
        <v>0</v>
      </c>
      <c r="I1756" s="55">
        <f t="shared" si="77"/>
        <v>7405347654</v>
      </c>
      <c r="J1756" s="54">
        <v>-601088</v>
      </c>
      <c r="K1756" s="56">
        <f t="shared" si="80"/>
        <v>7404746566</v>
      </c>
      <c r="L1756" s="37">
        <v>0</v>
      </c>
      <c r="O1756" s="38" t="str">
        <f>IF([1]totrevprm!O1757="","",[1]totrevprm!O1757)</f>
        <v/>
      </c>
    </row>
    <row r="1757" spans="1:26">
      <c r="A1757" s="50" t="s">
        <v>74</v>
      </c>
      <c r="B1757" s="51" t="s">
        <v>470</v>
      </c>
      <c r="C1757" s="52" t="s">
        <v>818</v>
      </c>
      <c r="D1757" s="53">
        <v>2000</v>
      </c>
      <c r="E1757" s="54">
        <v>2495479386</v>
      </c>
      <c r="F1757" s="54">
        <v>2090547968</v>
      </c>
      <c r="G1757" s="54">
        <v>3622895043</v>
      </c>
      <c r="H1757" s="54">
        <v>0</v>
      </c>
      <c r="I1757" s="55">
        <f t="shared" si="77"/>
        <v>8208922397</v>
      </c>
      <c r="J1757" s="54">
        <v>-1879241</v>
      </c>
      <c r="K1757" s="56">
        <f t="shared" si="80"/>
        <v>8207043156</v>
      </c>
      <c r="L1757" s="37">
        <v>0</v>
      </c>
      <c r="O1757" s="38" t="str">
        <f>IF([1]totrevprm!O1758="","",[1]totrevprm!O1758)</f>
        <v/>
      </c>
      <c r="V1757" s="38" t="s">
        <v>470</v>
      </c>
      <c r="W1757" s="58">
        <v>3212979</v>
      </c>
      <c r="X1757" s="58">
        <v>31840800</v>
      </c>
      <c r="Y1757" s="58">
        <v>26671578</v>
      </c>
      <c r="Z1757" s="58">
        <v>0</v>
      </c>
    </row>
    <row r="1758" spans="1:26">
      <c r="A1758" s="50" t="s">
        <v>74</v>
      </c>
      <c r="B1758" s="51" t="s">
        <v>470</v>
      </c>
      <c r="C1758" s="52" t="s">
        <v>731</v>
      </c>
      <c r="D1758" s="53">
        <v>2001</v>
      </c>
      <c r="E1758" s="54">
        <v>2395872565</v>
      </c>
      <c r="F1758" s="54">
        <v>2486863710</v>
      </c>
      <c r="G1758" s="54">
        <v>3788332286</v>
      </c>
      <c r="H1758" s="54">
        <v>0</v>
      </c>
      <c r="I1758" s="55">
        <f t="shared" si="77"/>
        <v>8671068561</v>
      </c>
      <c r="J1758" s="54">
        <v>-735468</v>
      </c>
      <c r="K1758" s="56">
        <f t="shared" si="80"/>
        <v>8670333093</v>
      </c>
      <c r="L1758" s="37">
        <v>0</v>
      </c>
      <c r="O1758" s="38" t="str">
        <f>IF([1]totrevprm!O1759="","",[1]totrevprm!O1759)</f>
        <v/>
      </c>
      <c r="V1758" s="38"/>
      <c r="W1758" s="58"/>
      <c r="X1758" s="58"/>
      <c r="Y1758" s="58"/>
      <c r="Z1758" s="58"/>
    </row>
    <row r="1759" spans="1:26">
      <c r="A1759" s="50" t="s">
        <v>74</v>
      </c>
      <c r="B1759" s="51" t="s">
        <v>470</v>
      </c>
      <c r="C1759" s="52" t="s">
        <v>731</v>
      </c>
      <c r="D1759" s="53">
        <v>2002</v>
      </c>
      <c r="E1759" s="54">
        <v>2422101179</v>
      </c>
      <c r="F1759" s="54">
        <v>3299077415</v>
      </c>
      <c r="G1759" s="54">
        <v>4625861868</v>
      </c>
      <c r="H1759" s="54">
        <v>0</v>
      </c>
      <c r="I1759" s="55">
        <f t="shared" ref="I1759:I1822" si="81">SUM(E1759:H1759)</f>
        <v>10347040462</v>
      </c>
      <c r="J1759" s="54">
        <v>-62639</v>
      </c>
      <c r="K1759" s="56">
        <f t="shared" si="80"/>
        <v>10346977823</v>
      </c>
      <c r="L1759" s="37">
        <v>0</v>
      </c>
      <c r="O1759" s="38" t="str">
        <f>IF([1]totrevprm!O1760="","",[1]totrevprm!O1760)</f>
        <v/>
      </c>
      <c r="V1759" s="38"/>
      <c r="W1759" s="58"/>
      <c r="X1759" s="58"/>
      <c r="Y1759" s="58"/>
      <c r="Z1759" s="58"/>
    </row>
    <row r="1760" spans="1:26">
      <c r="A1760" s="50" t="s">
        <v>74</v>
      </c>
      <c r="B1760" s="51" t="s">
        <v>470</v>
      </c>
      <c r="C1760" s="52" t="s">
        <v>731</v>
      </c>
      <c r="D1760" s="53">
        <v>2003</v>
      </c>
      <c r="E1760" s="59">
        <v>2556657303</v>
      </c>
      <c r="F1760" s="59">
        <v>3079248641</v>
      </c>
      <c r="G1760" s="59">
        <v>5035520945</v>
      </c>
      <c r="H1760" s="59">
        <v>0</v>
      </c>
      <c r="I1760" s="55">
        <f t="shared" si="81"/>
        <v>10671426889</v>
      </c>
      <c r="J1760" s="54">
        <v>-142196</v>
      </c>
      <c r="K1760" s="56">
        <f t="shared" si="80"/>
        <v>10671284693</v>
      </c>
      <c r="L1760" s="37">
        <v>0</v>
      </c>
      <c r="O1760" s="38" t="str">
        <f>IF([1]totrevprm!O1761="","",[1]totrevprm!O1761)</f>
        <v/>
      </c>
      <c r="V1760" s="38"/>
      <c r="W1760" s="58"/>
      <c r="X1760" s="58"/>
      <c r="Y1760" s="58"/>
      <c r="Z1760" s="58"/>
    </row>
    <row r="1761" spans="1:26">
      <c r="A1761" s="50" t="s">
        <v>74</v>
      </c>
      <c r="B1761" s="51" t="s">
        <v>470</v>
      </c>
      <c r="C1761" s="52" t="s">
        <v>731</v>
      </c>
      <c r="D1761" s="53">
        <v>2004</v>
      </c>
      <c r="E1761" s="59">
        <v>2614519974</v>
      </c>
      <c r="F1761" s="59">
        <v>2799229962</v>
      </c>
      <c r="G1761" s="59">
        <v>5516056428</v>
      </c>
      <c r="H1761" s="59">
        <v>0</v>
      </c>
      <c r="I1761" s="55">
        <f t="shared" si="81"/>
        <v>10929806364</v>
      </c>
      <c r="J1761" s="54">
        <v>-247630</v>
      </c>
      <c r="K1761" s="56">
        <f t="shared" si="80"/>
        <v>10929558734</v>
      </c>
      <c r="L1761" s="37">
        <v>0</v>
      </c>
      <c r="O1761" s="38" t="str">
        <f>IF([1]totrevprm!O1762="","",[1]totrevprm!O1762)</f>
        <v/>
      </c>
      <c r="V1761" s="38"/>
      <c r="W1761" s="58"/>
      <c r="X1761" s="58"/>
      <c r="Y1761" s="58"/>
      <c r="Z1761" s="58"/>
    </row>
    <row r="1762" spans="1:26">
      <c r="A1762" s="50" t="s">
        <v>74</v>
      </c>
      <c r="B1762" s="51" t="s">
        <v>470</v>
      </c>
      <c r="C1762" s="52"/>
      <c r="D1762" s="53">
        <v>2005</v>
      </c>
      <c r="E1762" s="59">
        <v>2686824082</v>
      </c>
      <c r="F1762" s="59">
        <v>2409315752</v>
      </c>
      <c r="G1762" s="59">
        <v>5989332444.4399996</v>
      </c>
      <c r="H1762" s="59">
        <v>0</v>
      </c>
      <c r="I1762" s="55">
        <f t="shared" si="81"/>
        <v>11085472278.439999</v>
      </c>
      <c r="J1762" s="54">
        <v>-550288</v>
      </c>
      <c r="K1762" s="56">
        <f t="shared" si="80"/>
        <v>11084921990.439999</v>
      </c>
      <c r="L1762" s="37">
        <v>0</v>
      </c>
      <c r="O1762" s="38" t="str">
        <f>IF([1]totrevprm!O1763="","",[1]totrevprm!O1763)</f>
        <v/>
      </c>
      <c r="V1762" s="38"/>
      <c r="W1762" s="58"/>
      <c r="X1762" s="58"/>
      <c r="Y1762" s="58"/>
      <c r="Z1762" s="58"/>
    </row>
    <row r="1763" spans="1:26">
      <c r="A1763" s="50" t="s">
        <v>74</v>
      </c>
      <c r="B1763" s="51" t="s">
        <v>470</v>
      </c>
      <c r="C1763" s="52"/>
      <c r="D1763" s="53">
        <v>2006</v>
      </c>
      <c r="E1763" s="37">
        <v>2936162430</v>
      </c>
      <c r="F1763" s="37">
        <v>2702514754</v>
      </c>
      <c r="G1763" s="37">
        <v>5795171726</v>
      </c>
      <c r="H1763" s="37">
        <v>0</v>
      </c>
      <c r="I1763" s="55">
        <f t="shared" si="81"/>
        <v>11433848910</v>
      </c>
      <c r="J1763" s="54">
        <v>-7559268</v>
      </c>
      <c r="K1763" s="56">
        <f t="shared" si="80"/>
        <v>11426289642</v>
      </c>
      <c r="L1763" s="37">
        <v>0</v>
      </c>
      <c r="O1763" s="38" t="str">
        <f>IF([1]totrevprm!O1764="","",[1]totrevprm!O1764)</f>
        <v/>
      </c>
      <c r="V1763" s="38"/>
      <c r="W1763" s="58"/>
      <c r="X1763" s="58"/>
      <c r="Y1763" s="58"/>
      <c r="Z1763" s="58"/>
    </row>
    <row r="1764" spans="1:26">
      <c r="A1764" s="50" t="s">
        <v>74</v>
      </c>
      <c r="B1764" s="51" t="s">
        <v>470</v>
      </c>
      <c r="C1764" s="52"/>
      <c r="D1764" s="53">
        <v>2007</v>
      </c>
      <c r="E1764" s="37">
        <v>2991698548</v>
      </c>
      <c r="F1764" s="37">
        <v>2668467549</v>
      </c>
      <c r="G1764" s="37">
        <v>6636005822</v>
      </c>
      <c r="H1764" s="37">
        <v>0</v>
      </c>
      <c r="I1764" s="55">
        <f t="shared" si="81"/>
        <v>12296171919</v>
      </c>
      <c r="J1764" s="54">
        <v>-2</v>
      </c>
      <c r="K1764" s="56">
        <f t="shared" si="80"/>
        <v>12296171917</v>
      </c>
      <c r="L1764" s="37">
        <v>0</v>
      </c>
      <c r="O1764" s="38" t="str">
        <f>IF([1]totrevprm!O1765="","",[1]totrevprm!O1765)</f>
        <v/>
      </c>
      <c r="V1764" s="38"/>
      <c r="W1764" s="58"/>
      <c r="X1764" s="58"/>
      <c r="Y1764" s="58"/>
      <c r="Z1764" s="58"/>
    </row>
    <row r="1765" spans="1:26">
      <c r="A1765" s="50" t="s">
        <v>74</v>
      </c>
      <c r="B1765" s="51" t="s">
        <v>470</v>
      </c>
      <c r="C1765" s="52"/>
      <c r="D1765" s="53">
        <v>2008</v>
      </c>
      <c r="E1765" s="37">
        <v>3100365954</v>
      </c>
      <c r="F1765" s="37">
        <v>4007178223</v>
      </c>
      <c r="G1765" s="37">
        <v>7028334298</v>
      </c>
      <c r="H1765" s="37">
        <v>0</v>
      </c>
      <c r="I1765" s="55">
        <f t="shared" si="81"/>
        <v>14135878475</v>
      </c>
      <c r="J1765" s="54">
        <v>-29297</v>
      </c>
      <c r="K1765" s="56">
        <f t="shared" si="80"/>
        <v>14135849178</v>
      </c>
      <c r="L1765" s="37">
        <v>0</v>
      </c>
      <c r="O1765" s="38" t="str">
        <f>IF([1]totrevprm!O1766="","",[1]totrevprm!O1766)</f>
        <v/>
      </c>
      <c r="V1765" s="38"/>
      <c r="W1765" s="58"/>
      <c r="X1765" s="58"/>
      <c r="Y1765" s="58"/>
      <c r="Z1765" s="58"/>
    </row>
    <row r="1766" spans="1:26">
      <c r="A1766" s="50" t="s">
        <v>74</v>
      </c>
      <c r="B1766" s="51" t="s">
        <v>470</v>
      </c>
      <c r="C1766" s="52"/>
      <c r="D1766" s="53">
        <v>2009</v>
      </c>
      <c r="E1766" s="37">
        <v>3482986689</v>
      </c>
      <c r="F1766" s="37">
        <v>3893096464</v>
      </c>
      <c r="G1766" s="37">
        <v>7287630663</v>
      </c>
      <c r="H1766" s="37">
        <v>0</v>
      </c>
      <c r="I1766" s="55">
        <f t="shared" si="81"/>
        <v>14663713816</v>
      </c>
      <c r="J1766" s="54">
        <v>-83287</v>
      </c>
      <c r="K1766" s="56">
        <f t="shared" si="80"/>
        <v>14663630529</v>
      </c>
      <c r="L1766" s="37">
        <v>0</v>
      </c>
      <c r="O1766" s="38" t="str">
        <f>IF([1]totrevprm!O1767="","",[1]totrevprm!O1767)</f>
        <v/>
      </c>
      <c r="V1766" s="38"/>
      <c r="W1766" s="58"/>
      <c r="X1766" s="58"/>
      <c r="Y1766" s="58"/>
      <c r="Z1766" s="58"/>
    </row>
    <row r="1767" spans="1:26">
      <c r="A1767" s="50" t="s">
        <v>74</v>
      </c>
      <c r="B1767" s="51" t="s">
        <v>470</v>
      </c>
      <c r="C1767" s="52"/>
      <c r="D1767" s="53">
        <v>2010</v>
      </c>
      <c r="E1767" s="37">
        <v>3607092710</v>
      </c>
      <c r="F1767" s="37">
        <v>3469447420</v>
      </c>
      <c r="G1767" s="37">
        <v>7181231192</v>
      </c>
      <c r="H1767" s="37">
        <v>93676191</v>
      </c>
      <c r="I1767" s="55">
        <f t="shared" si="81"/>
        <v>14351447513</v>
      </c>
      <c r="J1767" s="54">
        <v>0</v>
      </c>
      <c r="K1767" s="56">
        <f t="shared" si="80"/>
        <v>14351447513</v>
      </c>
      <c r="L1767" s="37">
        <v>41955158</v>
      </c>
      <c r="M1767" s="67" t="s">
        <v>735</v>
      </c>
      <c r="N1767" t="s">
        <v>708</v>
      </c>
      <c r="O1767" s="38" t="str">
        <f>IF([1]totrevprm!O1768="","",[1]totrevprm!O1768)</f>
        <v/>
      </c>
      <c r="T1767" s="68"/>
      <c r="V1767" s="38"/>
      <c r="W1767" s="58"/>
      <c r="X1767" s="58"/>
      <c r="Y1767" s="58"/>
      <c r="Z1767" s="58"/>
    </row>
    <row r="1768" spans="1:26">
      <c r="A1768" s="50" t="s">
        <v>74</v>
      </c>
      <c r="B1768" s="51" t="s">
        <v>470</v>
      </c>
      <c r="C1768" s="52"/>
      <c r="D1768" s="53">
        <v>2011</v>
      </c>
      <c r="E1768" s="37">
        <v>3709199847</v>
      </c>
      <c r="F1768" s="37">
        <v>3379817973</v>
      </c>
      <c r="G1768" s="37">
        <v>6944334442</v>
      </c>
      <c r="H1768" s="37">
        <v>128740547</v>
      </c>
      <c r="I1768" s="55">
        <f t="shared" si="81"/>
        <v>14162092809</v>
      </c>
      <c r="J1768" s="54">
        <v>0</v>
      </c>
      <c r="K1768" s="56">
        <f t="shared" si="80"/>
        <v>14162092809</v>
      </c>
      <c r="L1768" s="37">
        <v>19314425</v>
      </c>
      <c r="M1768" s="67" t="s">
        <v>735</v>
      </c>
      <c r="N1768" t="s">
        <v>708</v>
      </c>
      <c r="O1768" s="38" t="str">
        <f>IF([1]totrevprm!O1769="","",[1]totrevprm!O1769)</f>
        <v/>
      </c>
      <c r="T1768" s="68"/>
      <c r="V1768" s="38"/>
      <c r="W1768" s="58"/>
      <c r="X1768" s="58"/>
      <c r="Y1768" s="58"/>
      <c r="Z1768" s="58"/>
    </row>
    <row r="1769" spans="1:26">
      <c r="A1769" s="50" t="s">
        <v>74</v>
      </c>
      <c r="B1769" s="51" t="s">
        <v>470</v>
      </c>
      <c r="C1769" s="52"/>
      <c r="D1769" s="53">
        <v>2012</v>
      </c>
      <c r="E1769" s="37">
        <v>3986860876</v>
      </c>
      <c r="F1769" s="37">
        <v>3970689965</v>
      </c>
      <c r="G1769" s="37">
        <v>6494107159</v>
      </c>
      <c r="H1769" s="37">
        <v>274323277</v>
      </c>
      <c r="I1769" s="55">
        <f t="shared" si="81"/>
        <v>14725981277</v>
      </c>
      <c r="J1769" s="54">
        <v>0</v>
      </c>
      <c r="K1769" s="56">
        <f t="shared" si="80"/>
        <v>14725981277</v>
      </c>
      <c r="L1769" s="37">
        <v>24157302</v>
      </c>
      <c r="M1769" s="67" t="s">
        <v>735</v>
      </c>
      <c r="N1769" t="s">
        <v>708</v>
      </c>
      <c r="O1769" s="38" t="str">
        <f>IF([1]totrevprm!O1770="","",[1]totrevprm!O1770)</f>
        <v/>
      </c>
      <c r="T1769" s="68"/>
      <c r="V1769" s="38"/>
      <c r="W1769" s="58"/>
      <c r="X1769" s="58"/>
      <c r="Y1769" s="58"/>
      <c r="Z1769" s="58"/>
    </row>
    <row r="1770" spans="1:26">
      <c r="A1770" s="50" t="s">
        <v>74</v>
      </c>
      <c r="B1770" s="51" t="s">
        <v>470</v>
      </c>
      <c r="C1770" s="52"/>
      <c r="D1770" s="53">
        <v>2013</v>
      </c>
      <c r="E1770" s="37">
        <v>4033135508</v>
      </c>
      <c r="F1770" s="37">
        <v>3531711590</v>
      </c>
      <c r="G1770" s="37">
        <v>6563340419</v>
      </c>
      <c r="H1770" s="37">
        <v>283614056</v>
      </c>
      <c r="I1770" s="55">
        <f t="shared" si="81"/>
        <v>14411801573</v>
      </c>
      <c r="J1770" s="54">
        <v>0</v>
      </c>
      <c r="K1770" s="56">
        <f t="shared" si="80"/>
        <v>14411801573</v>
      </c>
      <c r="L1770" s="37">
        <v>30802327</v>
      </c>
      <c r="M1770" s="67" t="s">
        <v>735</v>
      </c>
      <c r="N1770" t="s">
        <v>708</v>
      </c>
      <c r="O1770" s="38" t="str">
        <f>IF([1]totrevprm!O1771="","",[1]totrevprm!O1771)</f>
        <v/>
      </c>
      <c r="T1770" s="68"/>
      <c r="V1770" s="38"/>
      <c r="W1770" s="58"/>
      <c r="X1770" s="58"/>
      <c r="Y1770" s="58"/>
      <c r="Z1770" s="58"/>
    </row>
    <row r="1771" spans="1:26">
      <c r="A1771" s="50" t="s">
        <v>74</v>
      </c>
      <c r="B1771" s="51" t="s">
        <v>470</v>
      </c>
      <c r="C1771" s="52"/>
      <c r="D1771" s="53">
        <v>2014</v>
      </c>
      <c r="E1771" s="37">
        <v>3979237482</v>
      </c>
      <c r="F1771" s="37">
        <v>3923424548</v>
      </c>
      <c r="G1771" s="37">
        <v>6903382036</v>
      </c>
      <c r="H1771" s="37">
        <v>91084435</v>
      </c>
      <c r="I1771" s="55">
        <f t="shared" si="81"/>
        <v>14897128501</v>
      </c>
      <c r="J1771" s="54">
        <v>0</v>
      </c>
      <c r="K1771" s="56">
        <f t="shared" si="80"/>
        <v>14897128501</v>
      </c>
      <c r="L1771" s="37">
        <v>211691881</v>
      </c>
      <c r="M1771" s="67" t="s">
        <v>735</v>
      </c>
      <c r="N1771" t="s">
        <v>708</v>
      </c>
      <c r="O1771" s="38" t="str">
        <f>IF([1]totrevprm!O1772="","",[1]totrevprm!O1772)</f>
        <v/>
      </c>
      <c r="T1771" s="68"/>
      <c r="V1771" s="38"/>
      <c r="W1771" s="58"/>
      <c r="X1771" s="58"/>
      <c r="Y1771" s="58"/>
      <c r="Z1771" s="58"/>
    </row>
    <row r="1772" spans="1:26">
      <c r="A1772" s="50" t="s">
        <v>74</v>
      </c>
      <c r="B1772" s="51" t="s">
        <v>470</v>
      </c>
      <c r="C1772" s="52"/>
      <c r="D1772" s="53">
        <v>2015</v>
      </c>
      <c r="E1772" s="37">
        <v>4227842413</v>
      </c>
      <c r="F1772" s="37">
        <v>4319855282</v>
      </c>
      <c r="G1772" s="37">
        <v>6654722914</v>
      </c>
      <c r="H1772" s="37">
        <v>125374007</v>
      </c>
      <c r="I1772" s="55">
        <f t="shared" si="81"/>
        <v>15327794616</v>
      </c>
      <c r="J1772" s="54">
        <v>0</v>
      </c>
      <c r="K1772" s="56">
        <f t="shared" si="80"/>
        <v>15327794616</v>
      </c>
      <c r="L1772" s="37">
        <v>142571001</v>
      </c>
      <c r="M1772" s="67" t="s">
        <v>735</v>
      </c>
      <c r="N1772" t="s">
        <v>708</v>
      </c>
      <c r="O1772" s="38" t="str">
        <f>IF([1]totrevprm!O1773="","",[1]totrevprm!O1773)</f>
        <v/>
      </c>
      <c r="P1772" s="35">
        <v>658615797.39279568</v>
      </c>
      <c r="Q1772" s="35">
        <v>374931313.90746272</v>
      </c>
      <c r="T1772" s="68"/>
      <c r="V1772" s="38"/>
      <c r="W1772" s="58"/>
      <c r="X1772" s="58"/>
      <c r="Y1772" s="58"/>
      <c r="Z1772" s="58"/>
    </row>
    <row r="1773" spans="1:26">
      <c r="A1773" s="50" t="s">
        <v>74</v>
      </c>
      <c r="B1773" s="51" t="s">
        <v>470</v>
      </c>
      <c r="C1773" s="52"/>
      <c r="D1773" s="53">
        <v>2016</v>
      </c>
      <c r="E1773" s="37">
        <v>4332097227</v>
      </c>
      <c r="F1773" s="37">
        <v>5229411861</v>
      </c>
      <c r="G1773" s="37">
        <v>6764697549</v>
      </c>
      <c r="H1773" s="37">
        <v>170089356</v>
      </c>
      <c r="I1773" s="55">
        <f t="shared" si="81"/>
        <v>16496295993</v>
      </c>
      <c r="J1773" s="54">
        <v>0</v>
      </c>
      <c r="K1773" s="56">
        <f t="shared" si="80"/>
        <v>16496295993</v>
      </c>
      <c r="L1773" s="37">
        <v>110280016</v>
      </c>
      <c r="M1773" s="67" t="s">
        <v>735</v>
      </c>
      <c r="N1773" t="s">
        <v>708</v>
      </c>
      <c r="O1773" s="38" t="str">
        <f>IF([1]totrevprm!O1774="","",[1]totrevprm!O1774)</f>
        <v/>
      </c>
      <c r="P1773" s="35">
        <v>688882882.33472359</v>
      </c>
      <c r="Q1773" s="35">
        <v>377747120.8487218</v>
      </c>
      <c r="T1773" s="68"/>
      <c r="V1773" s="38"/>
      <c r="W1773" s="58"/>
      <c r="X1773" s="58"/>
      <c r="Y1773" s="58"/>
      <c r="Z1773" s="58"/>
    </row>
    <row r="1774" spans="1:26">
      <c r="A1774" s="50" t="s">
        <v>74</v>
      </c>
      <c r="B1774" s="51" t="s">
        <v>470</v>
      </c>
      <c r="C1774" s="52"/>
      <c r="D1774" s="53">
        <v>2017</v>
      </c>
      <c r="E1774" s="37">
        <v>4367624287</v>
      </c>
      <c r="F1774" s="37">
        <v>4660135439</v>
      </c>
      <c r="G1774" s="37">
        <v>6853855281</v>
      </c>
      <c r="H1774" s="37">
        <v>136364845</v>
      </c>
      <c r="I1774" s="55">
        <f t="shared" si="81"/>
        <v>16017979852</v>
      </c>
      <c r="J1774" s="54">
        <v>0</v>
      </c>
      <c r="K1774" s="56">
        <f t="shared" si="80"/>
        <v>16017979852</v>
      </c>
      <c r="L1774" s="60">
        <v>76669176</v>
      </c>
      <c r="M1774" s="67" t="s">
        <v>735</v>
      </c>
      <c r="N1774" t="s">
        <v>708</v>
      </c>
      <c r="O1774" s="38" t="str">
        <f>IF([1]totrevprm!O1775="","",[1]totrevprm!O1775)</f>
        <v/>
      </c>
      <c r="P1774" s="35">
        <v>707366830.89025533</v>
      </c>
      <c r="Q1774" s="35">
        <v>381350064.22062993</v>
      </c>
      <c r="T1774" s="68"/>
      <c r="V1774" s="38"/>
      <c r="W1774" s="58"/>
      <c r="X1774" s="58"/>
      <c r="Y1774" s="58"/>
      <c r="Z1774" s="58"/>
    </row>
    <row r="1775" spans="1:26">
      <c r="A1775" s="50" t="s">
        <v>74</v>
      </c>
      <c r="B1775" s="51" t="s">
        <v>470</v>
      </c>
      <c r="C1775" s="52"/>
      <c r="D1775" s="53">
        <v>2018</v>
      </c>
      <c r="E1775" s="37">
        <v>4457171148</v>
      </c>
      <c r="F1775" s="37">
        <v>5138305054</v>
      </c>
      <c r="G1775" s="37">
        <v>9224537247.3899994</v>
      </c>
      <c r="H1775" s="37">
        <v>128124192</v>
      </c>
      <c r="I1775" s="55">
        <f t="shared" si="81"/>
        <v>18948137641.389999</v>
      </c>
      <c r="J1775" s="54">
        <v>0</v>
      </c>
      <c r="K1775" s="56">
        <f t="shared" si="80"/>
        <v>18948137641.389999</v>
      </c>
      <c r="L1775" s="60">
        <v>108205166</v>
      </c>
      <c r="M1775" s="69" t="s">
        <v>736</v>
      </c>
      <c r="N1775" t="s">
        <v>708</v>
      </c>
      <c r="O1775" s="38" t="str">
        <f>IF([1]totrevprm!O1776="","",[1]totrevprm!O1776)</f>
        <v>Yes</v>
      </c>
      <c r="P1775" s="35">
        <v>758183218.28012633</v>
      </c>
      <c r="Q1775" s="35">
        <v>368798144.94400996</v>
      </c>
      <c r="R1775" s="36"/>
      <c r="T1775" s="68"/>
      <c r="V1775" s="38"/>
      <c r="W1775" s="58"/>
      <c r="X1775" s="58"/>
      <c r="Y1775" s="58"/>
      <c r="Z1775" s="58"/>
    </row>
    <row r="1776" spans="1:26">
      <c r="A1776" s="50" t="s">
        <v>74</v>
      </c>
      <c r="B1776" s="51" t="s">
        <v>470</v>
      </c>
      <c r="C1776" s="52"/>
      <c r="D1776" s="53">
        <v>2019</v>
      </c>
      <c r="E1776" s="37">
        <v>4547725083</v>
      </c>
      <c r="F1776" s="37">
        <v>5397451168</v>
      </c>
      <c r="G1776" s="37">
        <v>11364852501.6159</v>
      </c>
      <c r="H1776" s="37">
        <v>147537505</v>
      </c>
      <c r="I1776" s="55">
        <f t="shared" si="81"/>
        <v>21457566257.615898</v>
      </c>
      <c r="J1776" s="54">
        <v>0</v>
      </c>
      <c r="K1776" s="56">
        <f t="shared" si="80"/>
        <v>21457566257.615898</v>
      </c>
      <c r="L1776" s="60">
        <v>103627291</v>
      </c>
      <c r="M1776" s="69" t="s">
        <v>738</v>
      </c>
      <c r="N1776" t="s">
        <v>708</v>
      </c>
      <c r="O1776" s="38" t="str">
        <f>IF([1]totrevprm!O1777="","",[1]totrevprm!O1777)</f>
        <v/>
      </c>
      <c r="P1776" s="35">
        <v>763752683.21736062</v>
      </c>
      <c r="Q1776" s="35">
        <v>380161726.3704868</v>
      </c>
      <c r="R1776" s="36"/>
      <c r="T1776" s="68"/>
      <c r="V1776" s="38"/>
      <c r="W1776" s="58"/>
      <c r="X1776" s="58"/>
      <c r="Y1776" s="58"/>
      <c r="Z1776" s="58"/>
    </row>
    <row r="1777" spans="1:26">
      <c r="A1777" s="50" t="s">
        <v>74</v>
      </c>
      <c r="B1777" s="51" t="s">
        <v>470</v>
      </c>
      <c r="C1777" s="52"/>
      <c r="D1777" s="53">
        <v>2020</v>
      </c>
      <c r="E1777" s="37">
        <v>4495798592</v>
      </c>
      <c r="F1777" s="37">
        <v>5340133710</v>
      </c>
      <c r="G1777" s="37">
        <v>11097179855</v>
      </c>
      <c r="H1777" s="37">
        <v>157468168</v>
      </c>
      <c r="I1777" s="55">
        <f t="shared" si="81"/>
        <v>21090580325</v>
      </c>
      <c r="J1777" s="54">
        <v>0</v>
      </c>
      <c r="K1777" s="56">
        <f t="shared" si="80"/>
        <v>21090580325</v>
      </c>
      <c r="L1777" s="60">
        <v>62154387</v>
      </c>
      <c r="M1777" s="69" t="s">
        <v>738</v>
      </c>
      <c r="N1777" t="s">
        <v>708</v>
      </c>
      <c r="O1777" s="38" t="str">
        <f>IF([1]totrevprm!O1778="","",[1]totrevprm!O1778)</f>
        <v/>
      </c>
      <c r="P1777" s="35">
        <v>781281657</v>
      </c>
      <c r="Q1777" s="35">
        <v>377088149</v>
      </c>
      <c r="R1777" s="36"/>
      <c r="T1777" s="68"/>
      <c r="V1777" s="38"/>
      <c r="W1777" s="58"/>
      <c r="X1777" s="58"/>
      <c r="Y1777" s="58"/>
      <c r="Z1777" s="58"/>
    </row>
    <row r="1778" spans="1:26">
      <c r="A1778" s="50" t="s">
        <v>74</v>
      </c>
      <c r="B1778" s="51" t="s">
        <v>470</v>
      </c>
      <c r="C1778" s="52"/>
      <c r="D1778" s="53">
        <v>2021</v>
      </c>
      <c r="E1778" s="37">
        <v>4936830679</v>
      </c>
      <c r="F1778" s="37">
        <v>6144306286</v>
      </c>
      <c r="G1778" s="37">
        <v>11274920709</v>
      </c>
      <c r="H1778" s="37">
        <v>113703390</v>
      </c>
      <c r="I1778" s="55">
        <f t="shared" si="81"/>
        <v>22469761064</v>
      </c>
      <c r="J1778" s="54">
        <v>0</v>
      </c>
      <c r="K1778" s="56">
        <f t="shared" si="80"/>
        <v>22469761064</v>
      </c>
      <c r="L1778" s="54">
        <v>0</v>
      </c>
      <c r="M1778" s="69" t="s">
        <v>739</v>
      </c>
      <c r="N1778" t="s">
        <v>708</v>
      </c>
      <c r="O1778" s="38"/>
      <c r="P1778" s="35">
        <v>754365727.38999999</v>
      </c>
      <c r="Q1778" s="35">
        <v>403687680</v>
      </c>
      <c r="R1778" s="36"/>
      <c r="T1778" s="68"/>
      <c r="V1778" s="38"/>
      <c r="W1778" s="58"/>
      <c r="X1778" s="58"/>
      <c r="Y1778" s="58"/>
      <c r="Z1778" s="58"/>
    </row>
    <row r="1779" spans="1:26">
      <c r="A1779" s="50" t="s">
        <v>74</v>
      </c>
      <c r="B1779" s="51" t="s">
        <v>470</v>
      </c>
      <c r="C1779" s="52"/>
      <c r="D1779" s="53">
        <v>2022</v>
      </c>
      <c r="E1779" s="37">
        <v>4871927540</v>
      </c>
      <c r="F1779" s="37">
        <v>7960511493</v>
      </c>
      <c r="G1779" s="37">
        <v>11584435849</v>
      </c>
      <c r="H1779" s="37">
        <v>151172567</v>
      </c>
      <c r="I1779" s="55">
        <f t="shared" si="81"/>
        <v>24568047449</v>
      </c>
      <c r="J1779" s="54">
        <v>0</v>
      </c>
      <c r="K1779" s="56">
        <f t="shared" si="80"/>
        <v>24568047449</v>
      </c>
      <c r="L1779" s="54">
        <v>0</v>
      </c>
      <c r="M1779" s="69" t="s">
        <v>739</v>
      </c>
      <c r="N1779" t="s">
        <v>708</v>
      </c>
      <c r="O1779" s="38" t="str">
        <f>IF([1]totrevprm!O1782="","",[1]totrevprm!O1782)</f>
        <v/>
      </c>
      <c r="P1779" s="60">
        <v>797352587</v>
      </c>
      <c r="Q1779" s="60">
        <v>413503822</v>
      </c>
    </row>
    <row r="1780" spans="1:26">
      <c r="A1780" s="50" t="s">
        <v>74</v>
      </c>
      <c r="B1780" s="51" t="s">
        <v>470</v>
      </c>
      <c r="C1780" s="52"/>
      <c r="D1780" s="53">
        <v>2023</v>
      </c>
      <c r="E1780" s="37">
        <v>4916566774</v>
      </c>
      <c r="F1780" s="37">
        <v>8947284198.5342999</v>
      </c>
      <c r="G1780" s="37">
        <v>11783295247.138901</v>
      </c>
      <c r="H1780" s="37">
        <v>117562439</v>
      </c>
      <c r="I1780" s="55">
        <f t="shared" si="81"/>
        <v>25764708658.673203</v>
      </c>
      <c r="J1780" s="54">
        <v>0</v>
      </c>
      <c r="K1780" s="56">
        <f t="shared" si="80"/>
        <v>25764708658.673203</v>
      </c>
      <c r="L1780" s="37">
        <v>0</v>
      </c>
      <c r="M1780" s="69" t="s">
        <v>739</v>
      </c>
      <c r="O1780" s="38"/>
      <c r="P1780" s="60">
        <v>870483344.96000004</v>
      </c>
      <c r="Q1780" s="60">
        <v>421884164</v>
      </c>
    </row>
    <row r="1781" spans="1:26">
      <c r="A1781" s="50"/>
      <c r="B1781" s="52"/>
      <c r="C1781" s="52"/>
      <c r="E1781" s="54"/>
      <c r="F1781" s="54"/>
      <c r="G1781" s="54"/>
      <c r="H1781" s="54"/>
      <c r="I1781" s="55"/>
      <c r="K1781" s="56"/>
      <c r="L1781" s="37"/>
      <c r="O1781" s="38"/>
    </row>
    <row r="1782" spans="1:26">
      <c r="A1782" s="50" t="s">
        <v>75</v>
      </c>
      <c r="B1782" s="51" t="s">
        <v>819</v>
      </c>
      <c r="C1782" s="52" t="s">
        <v>766</v>
      </c>
      <c r="D1782" s="53">
        <v>1988</v>
      </c>
      <c r="E1782" s="54">
        <v>840791631</v>
      </c>
      <c r="F1782" s="54">
        <v>1043673472</v>
      </c>
      <c r="G1782" s="54">
        <v>591169771</v>
      </c>
      <c r="H1782" s="54">
        <v>437364236</v>
      </c>
      <c r="I1782" s="55">
        <f t="shared" si="81"/>
        <v>2912999110</v>
      </c>
      <c r="J1782" s="54">
        <v>0</v>
      </c>
      <c r="K1782" s="56">
        <f>SUM(I1782:J1782)</f>
        <v>2912999110</v>
      </c>
      <c r="L1782" s="37">
        <v>0</v>
      </c>
      <c r="O1782" s="38" t="str">
        <f>IF([1]totrevprm!O1783="","",[1]totrevprm!O1783)</f>
        <v/>
      </c>
    </row>
    <row r="1783" spans="1:26">
      <c r="A1783" s="50" t="s">
        <v>75</v>
      </c>
      <c r="B1783" s="51" t="s">
        <v>819</v>
      </c>
      <c r="C1783" s="52" t="s">
        <v>742</v>
      </c>
      <c r="D1783" s="53">
        <v>1989</v>
      </c>
      <c r="E1783" s="54">
        <v>807137955</v>
      </c>
      <c r="F1783" s="54">
        <v>1210734505</v>
      </c>
      <c r="G1783" s="54">
        <v>640054085</v>
      </c>
      <c r="H1783" s="54">
        <v>488580358</v>
      </c>
      <c r="I1783" s="55">
        <f t="shared" si="81"/>
        <v>3146506903</v>
      </c>
      <c r="J1783" s="54">
        <v>0</v>
      </c>
      <c r="K1783" s="56">
        <f t="shared" ref="K1783:K1817" si="82">SUM(I1783:J1783)</f>
        <v>3146506903</v>
      </c>
      <c r="L1783" s="37">
        <v>0</v>
      </c>
      <c r="O1783" s="38" t="str">
        <f>IF([1]totrevprm!O1784="","",[1]totrevprm!O1784)</f>
        <v/>
      </c>
    </row>
    <row r="1784" spans="1:26">
      <c r="A1784" s="50" t="s">
        <v>75</v>
      </c>
      <c r="B1784" s="51" t="s">
        <v>819</v>
      </c>
      <c r="C1784" s="52" t="s">
        <v>743</v>
      </c>
      <c r="D1784" s="53">
        <v>1990</v>
      </c>
      <c r="E1784" s="54">
        <v>894491367</v>
      </c>
      <c r="F1784" s="54">
        <v>1237761805.3199999</v>
      </c>
      <c r="G1784" s="54">
        <v>698740449</v>
      </c>
      <c r="H1784" s="54">
        <v>521619599</v>
      </c>
      <c r="I1784" s="55">
        <f t="shared" si="81"/>
        <v>3352613220.3199997</v>
      </c>
      <c r="J1784" s="54">
        <v>0</v>
      </c>
      <c r="K1784" s="56">
        <f t="shared" si="82"/>
        <v>3352613220.3199997</v>
      </c>
      <c r="L1784" s="37">
        <v>0</v>
      </c>
      <c r="O1784" s="38" t="str">
        <f>IF([1]totrevprm!O1785="","",[1]totrevprm!O1785)</f>
        <v/>
      </c>
    </row>
    <row r="1785" spans="1:26">
      <c r="A1785" s="50" t="s">
        <v>75</v>
      </c>
      <c r="B1785" s="51" t="s">
        <v>819</v>
      </c>
      <c r="C1785" s="52" t="s">
        <v>731</v>
      </c>
      <c r="D1785" s="53">
        <v>1991</v>
      </c>
      <c r="E1785" s="54">
        <v>942705118</v>
      </c>
      <c r="F1785" s="54">
        <v>1153819584</v>
      </c>
      <c r="G1785" s="54">
        <v>779175455</v>
      </c>
      <c r="H1785" s="54">
        <v>668575581</v>
      </c>
      <c r="I1785" s="55">
        <f t="shared" si="81"/>
        <v>3544275738</v>
      </c>
      <c r="J1785" s="54">
        <v>0</v>
      </c>
      <c r="K1785" s="56">
        <f t="shared" si="82"/>
        <v>3544275738</v>
      </c>
      <c r="L1785" s="37">
        <v>0</v>
      </c>
      <c r="O1785" s="38" t="str">
        <f>IF([1]totrevprm!O1786="","",[1]totrevprm!O1786)</f>
        <v/>
      </c>
    </row>
    <row r="1786" spans="1:26">
      <c r="A1786" s="50" t="s">
        <v>75</v>
      </c>
      <c r="B1786" s="51" t="s">
        <v>819</v>
      </c>
      <c r="C1786" s="52" t="s">
        <v>731</v>
      </c>
      <c r="D1786" s="53">
        <v>1992</v>
      </c>
      <c r="E1786" s="54">
        <v>978983875</v>
      </c>
      <c r="F1786" s="54">
        <v>1242921039.6400001</v>
      </c>
      <c r="G1786" s="54">
        <v>794668027</v>
      </c>
      <c r="H1786" s="54">
        <v>622392323</v>
      </c>
      <c r="I1786" s="55">
        <f t="shared" si="81"/>
        <v>3638965264.6400003</v>
      </c>
      <c r="J1786" s="54">
        <v>0</v>
      </c>
      <c r="K1786" s="56">
        <f t="shared" si="82"/>
        <v>3638965264.6400003</v>
      </c>
      <c r="L1786" s="37">
        <v>0</v>
      </c>
      <c r="O1786" s="38" t="str">
        <f>IF([1]totrevprm!O1787="","",[1]totrevprm!O1787)</f>
        <v/>
      </c>
    </row>
    <row r="1787" spans="1:26">
      <c r="A1787" s="50" t="s">
        <v>75</v>
      </c>
      <c r="B1787" s="51" t="s">
        <v>819</v>
      </c>
      <c r="C1787" s="52" t="s">
        <v>731</v>
      </c>
      <c r="D1787" s="53">
        <v>1993</v>
      </c>
      <c r="E1787" s="54">
        <v>1043427820</v>
      </c>
      <c r="F1787" s="54">
        <v>1103729433</v>
      </c>
      <c r="G1787" s="54">
        <v>858202022</v>
      </c>
      <c r="H1787" s="54">
        <v>691524499</v>
      </c>
      <c r="I1787" s="55">
        <f t="shared" si="81"/>
        <v>3696883774</v>
      </c>
      <c r="J1787" s="54">
        <v>0</v>
      </c>
      <c r="K1787" s="56">
        <f t="shared" si="82"/>
        <v>3696883774</v>
      </c>
      <c r="L1787" s="37">
        <v>0</v>
      </c>
      <c r="O1787" s="38" t="str">
        <f>IF([1]totrevprm!O1788="","",[1]totrevprm!O1788)</f>
        <v/>
      </c>
    </row>
    <row r="1788" spans="1:26">
      <c r="A1788" s="50" t="s">
        <v>75</v>
      </c>
      <c r="B1788" s="51" t="s">
        <v>819</v>
      </c>
      <c r="C1788" s="52" t="s">
        <v>731</v>
      </c>
      <c r="D1788" s="53">
        <v>1994</v>
      </c>
      <c r="E1788" s="54">
        <v>1124669859</v>
      </c>
      <c r="F1788" s="54">
        <v>1422941443</v>
      </c>
      <c r="G1788" s="54">
        <v>902566719</v>
      </c>
      <c r="H1788" s="54">
        <v>459774576</v>
      </c>
      <c r="I1788" s="55">
        <f t="shared" si="81"/>
        <v>3909952597</v>
      </c>
      <c r="J1788" s="54">
        <v>0</v>
      </c>
      <c r="K1788" s="56">
        <f t="shared" si="82"/>
        <v>3909952597</v>
      </c>
      <c r="L1788" s="37">
        <v>0</v>
      </c>
      <c r="O1788" s="38" t="str">
        <f>IF([1]totrevprm!O1789="","",[1]totrevprm!O1789)</f>
        <v/>
      </c>
    </row>
    <row r="1789" spans="1:26">
      <c r="A1789" s="50" t="s">
        <v>75</v>
      </c>
      <c r="B1789" s="51" t="s">
        <v>819</v>
      </c>
      <c r="C1789" s="52" t="s">
        <v>731</v>
      </c>
      <c r="D1789" s="53">
        <v>1995</v>
      </c>
      <c r="E1789" s="54">
        <v>1162485889</v>
      </c>
      <c r="F1789" s="54">
        <v>1463600440</v>
      </c>
      <c r="G1789" s="54">
        <v>864885764</v>
      </c>
      <c r="H1789" s="54">
        <v>493225941</v>
      </c>
      <c r="I1789" s="55">
        <f t="shared" si="81"/>
        <v>3984198034</v>
      </c>
      <c r="J1789" s="54">
        <v>0</v>
      </c>
      <c r="K1789" s="56">
        <f t="shared" si="82"/>
        <v>3984198034</v>
      </c>
      <c r="L1789" s="37">
        <v>0</v>
      </c>
      <c r="O1789" s="38" t="str">
        <f>IF([1]totrevprm!O1790="","",[1]totrevprm!O1790)</f>
        <v/>
      </c>
    </row>
    <row r="1790" spans="1:26">
      <c r="A1790" s="50" t="s">
        <v>75</v>
      </c>
      <c r="B1790" s="51" t="s">
        <v>819</v>
      </c>
      <c r="C1790" s="52" t="s">
        <v>731</v>
      </c>
      <c r="D1790" s="53">
        <v>1996</v>
      </c>
      <c r="E1790" s="54">
        <v>1236711432</v>
      </c>
      <c r="F1790" s="54">
        <v>1266424365</v>
      </c>
      <c r="G1790" s="54">
        <v>905247281</v>
      </c>
      <c r="H1790" s="54">
        <v>369674707</v>
      </c>
      <c r="I1790" s="55">
        <f t="shared" si="81"/>
        <v>3778057785</v>
      </c>
      <c r="J1790" s="54">
        <v>0</v>
      </c>
      <c r="K1790" s="56">
        <f t="shared" si="82"/>
        <v>3778057785</v>
      </c>
      <c r="L1790" s="37">
        <v>0</v>
      </c>
      <c r="O1790" s="38" t="str">
        <f>IF([1]totrevprm!O1791="","",[1]totrevprm!O1791)</f>
        <v/>
      </c>
    </row>
    <row r="1791" spans="1:26">
      <c r="A1791" s="50" t="s">
        <v>75</v>
      </c>
      <c r="B1791" s="51" t="s">
        <v>819</v>
      </c>
      <c r="C1791" s="52" t="s">
        <v>731</v>
      </c>
      <c r="D1791" s="53">
        <v>1997</v>
      </c>
      <c r="E1791" s="54">
        <v>1242837207</v>
      </c>
      <c r="F1791" s="54">
        <v>1251259432</v>
      </c>
      <c r="G1791" s="54">
        <v>909853333</v>
      </c>
      <c r="H1791" s="54">
        <v>605162364</v>
      </c>
      <c r="I1791" s="55">
        <f t="shared" si="81"/>
        <v>4009112336</v>
      </c>
      <c r="J1791" s="54">
        <v>0</v>
      </c>
      <c r="K1791" s="56">
        <f t="shared" si="82"/>
        <v>4009112336</v>
      </c>
      <c r="L1791" s="37">
        <v>0</v>
      </c>
      <c r="O1791" s="38" t="str">
        <f>IF([1]totrevprm!O1792="","",[1]totrevprm!O1792)</f>
        <v/>
      </c>
    </row>
    <row r="1792" spans="1:26">
      <c r="A1792" s="50" t="s">
        <v>75</v>
      </c>
      <c r="B1792" s="51" t="s">
        <v>819</v>
      </c>
      <c r="C1792" s="52" t="s">
        <v>731</v>
      </c>
      <c r="D1792" s="53">
        <v>1998</v>
      </c>
      <c r="E1792" s="54">
        <v>1232207831</v>
      </c>
      <c r="F1792" s="54">
        <v>1363392378</v>
      </c>
      <c r="G1792" s="54">
        <v>958797014</v>
      </c>
      <c r="H1792" s="54">
        <v>527811650</v>
      </c>
      <c r="I1792" s="55">
        <f t="shared" si="81"/>
        <v>4082208873</v>
      </c>
      <c r="J1792" s="54">
        <v>0</v>
      </c>
      <c r="K1792" s="56">
        <f t="shared" si="82"/>
        <v>4082208873</v>
      </c>
      <c r="L1792" s="37">
        <v>0</v>
      </c>
      <c r="O1792" s="38" t="str">
        <f>IF([1]totrevprm!O1793="","",[1]totrevprm!O1793)</f>
        <v/>
      </c>
    </row>
    <row r="1793" spans="1:26">
      <c r="A1793" s="50" t="s">
        <v>75</v>
      </c>
      <c r="B1793" s="51" t="s">
        <v>819</v>
      </c>
      <c r="C1793" s="52" t="s">
        <v>731</v>
      </c>
      <c r="D1793" s="53">
        <v>1999</v>
      </c>
      <c r="E1793" s="54">
        <v>1271654835</v>
      </c>
      <c r="F1793" s="54">
        <v>2316038643</v>
      </c>
      <c r="G1793" s="54">
        <v>1100946533</v>
      </c>
      <c r="H1793" s="54">
        <v>455794281</v>
      </c>
      <c r="I1793" s="55">
        <f t="shared" si="81"/>
        <v>5144434292</v>
      </c>
      <c r="J1793" s="54">
        <v>0</v>
      </c>
      <c r="K1793" s="56">
        <f t="shared" si="82"/>
        <v>5144434292</v>
      </c>
      <c r="L1793" s="37">
        <v>0</v>
      </c>
      <c r="O1793" s="38" t="str">
        <f>IF([1]totrevprm!O1794="","",[1]totrevprm!O1794)</f>
        <v/>
      </c>
    </row>
    <row r="1794" spans="1:26">
      <c r="A1794" s="50" t="s">
        <v>75</v>
      </c>
      <c r="B1794" s="51" t="s">
        <v>819</v>
      </c>
      <c r="C1794" s="52" t="s">
        <v>731</v>
      </c>
      <c r="D1794" s="53">
        <v>2000</v>
      </c>
      <c r="E1794" s="54">
        <v>1399369958</v>
      </c>
      <c r="F1794" s="54">
        <v>1872146199</v>
      </c>
      <c r="G1794" s="54">
        <v>1106871192</v>
      </c>
      <c r="H1794" s="54">
        <v>395949555</v>
      </c>
      <c r="I1794" s="55">
        <f t="shared" si="81"/>
        <v>4774336904</v>
      </c>
      <c r="J1794" s="54">
        <v>0</v>
      </c>
      <c r="K1794" s="56">
        <f t="shared" si="82"/>
        <v>4774336904</v>
      </c>
      <c r="L1794" s="37">
        <v>0</v>
      </c>
      <c r="O1794" s="38" t="str">
        <f>IF([1]totrevprm!O1795="","",[1]totrevprm!O1795)</f>
        <v/>
      </c>
      <c r="V1794" s="38" t="s">
        <v>819</v>
      </c>
      <c r="W1794" s="58">
        <v>1601760</v>
      </c>
      <c r="X1794" s="58">
        <v>273603802</v>
      </c>
      <c r="Y1794" s="58">
        <v>26903854</v>
      </c>
      <c r="Z1794" s="58">
        <v>0</v>
      </c>
    </row>
    <row r="1795" spans="1:26">
      <c r="A1795" s="50" t="s">
        <v>75</v>
      </c>
      <c r="B1795" s="51" t="s">
        <v>819</v>
      </c>
      <c r="C1795" s="52" t="s">
        <v>816</v>
      </c>
      <c r="D1795" s="53">
        <v>2001</v>
      </c>
      <c r="E1795" s="54">
        <v>1371867485</v>
      </c>
      <c r="F1795" s="87">
        <v>2318848681</v>
      </c>
      <c r="G1795" s="54">
        <v>1215145558</v>
      </c>
      <c r="H1795" s="54">
        <v>246709902</v>
      </c>
      <c r="I1795" s="55">
        <f t="shared" si="81"/>
        <v>5152571626</v>
      </c>
      <c r="J1795" s="54">
        <v>0</v>
      </c>
      <c r="K1795" s="56">
        <f t="shared" si="82"/>
        <v>5152571626</v>
      </c>
      <c r="L1795" s="35">
        <v>23723945</v>
      </c>
      <c r="M1795" s="67" t="s">
        <v>735</v>
      </c>
      <c r="N1795" t="s">
        <v>708</v>
      </c>
      <c r="O1795" s="38" t="str">
        <f>IF([1]totrevprm!O1796="","",[1]totrevprm!O1796)</f>
        <v/>
      </c>
      <c r="V1795" s="38"/>
      <c r="W1795" s="58"/>
      <c r="X1795" s="58"/>
      <c r="Y1795" s="58"/>
      <c r="Z1795" s="58"/>
    </row>
    <row r="1796" spans="1:26">
      <c r="A1796" s="50" t="s">
        <v>75</v>
      </c>
      <c r="B1796" s="51" t="s">
        <v>819</v>
      </c>
      <c r="C1796" s="52" t="s">
        <v>731</v>
      </c>
      <c r="D1796" s="53">
        <v>2002</v>
      </c>
      <c r="E1796" s="54">
        <v>1527129090</v>
      </c>
      <c r="F1796" s="54">
        <v>3062591423</v>
      </c>
      <c r="G1796" s="54">
        <v>1289837101</v>
      </c>
      <c r="H1796" s="54">
        <v>134508901</v>
      </c>
      <c r="I1796" s="55">
        <f t="shared" si="81"/>
        <v>6014066515</v>
      </c>
      <c r="J1796" s="54">
        <v>0</v>
      </c>
      <c r="K1796" s="56">
        <f t="shared" si="82"/>
        <v>6014066515</v>
      </c>
      <c r="L1796" s="35">
        <v>30730343</v>
      </c>
      <c r="M1796" s="67" t="s">
        <v>735</v>
      </c>
      <c r="N1796" t="s">
        <v>708</v>
      </c>
      <c r="O1796" s="38" t="str">
        <f>IF([1]totrevprm!O1797="","",[1]totrevprm!O1797)</f>
        <v/>
      </c>
      <c r="V1796" s="38"/>
      <c r="W1796" s="58"/>
      <c r="X1796" s="58"/>
      <c r="Y1796" s="58"/>
      <c r="Z1796" s="58"/>
    </row>
    <row r="1797" spans="1:26">
      <c r="A1797" s="50" t="s">
        <v>75</v>
      </c>
      <c r="B1797" s="51" t="s">
        <v>819</v>
      </c>
      <c r="C1797" s="52" t="s">
        <v>731</v>
      </c>
      <c r="D1797" s="53">
        <v>2003</v>
      </c>
      <c r="E1797" s="59">
        <v>1539818330</v>
      </c>
      <c r="F1797" s="59">
        <v>2657266249</v>
      </c>
      <c r="G1797" s="59">
        <v>1474547040</v>
      </c>
      <c r="H1797" s="59">
        <v>107950133</v>
      </c>
      <c r="I1797" s="55">
        <f t="shared" si="81"/>
        <v>5779581752</v>
      </c>
      <c r="J1797" s="54">
        <v>0</v>
      </c>
      <c r="K1797" s="56">
        <f t="shared" si="82"/>
        <v>5779581752</v>
      </c>
      <c r="L1797" s="37">
        <v>30046356</v>
      </c>
      <c r="M1797" s="67" t="s">
        <v>735</v>
      </c>
      <c r="N1797" t="s">
        <v>708</v>
      </c>
      <c r="O1797" s="38" t="str">
        <f>IF([1]totrevprm!O1798="","",[1]totrevprm!O1798)</f>
        <v/>
      </c>
      <c r="V1797" s="38"/>
      <c r="W1797" s="58"/>
      <c r="X1797" s="58"/>
      <c r="Y1797" s="58"/>
      <c r="Z1797" s="58"/>
    </row>
    <row r="1798" spans="1:26">
      <c r="A1798" s="50" t="s">
        <v>75</v>
      </c>
      <c r="B1798" s="51" t="s">
        <v>819</v>
      </c>
      <c r="C1798" s="52" t="s">
        <v>731</v>
      </c>
      <c r="D1798" s="53">
        <v>2004</v>
      </c>
      <c r="E1798" s="59">
        <v>1543364705</v>
      </c>
      <c r="F1798" s="59">
        <v>2441411809</v>
      </c>
      <c r="G1798" s="59">
        <v>1636749017</v>
      </c>
      <c r="H1798" s="59">
        <v>86959788</v>
      </c>
      <c r="I1798" s="55">
        <f t="shared" si="81"/>
        <v>5708485319</v>
      </c>
      <c r="J1798" s="54">
        <v>0</v>
      </c>
      <c r="K1798" s="56">
        <f t="shared" si="82"/>
        <v>5708485319</v>
      </c>
      <c r="L1798" s="37">
        <v>199140577</v>
      </c>
      <c r="M1798" s="67" t="s">
        <v>735</v>
      </c>
      <c r="N1798" t="s">
        <v>708</v>
      </c>
      <c r="O1798" s="38" t="str">
        <f>IF([1]totrevprm!O1799="","",[1]totrevprm!O1799)</f>
        <v/>
      </c>
      <c r="V1798" s="38"/>
      <c r="W1798" s="58"/>
      <c r="X1798" s="58"/>
      <c r="Y1798" s="58"/>
      <c r="Z1798" s="58"/>
    </row>
    <row r="1799" spans="1:26">
      <c r="A1799" s="50" t="s">
        <v>75</v>
      </c>
      <c r="B1799" s="51" t="s">
        <v>819</v>
      </c>
      <c r="C1799" s="52"/>
      <c r="D1799" s="53">
        <v>2005</v>
      </c>
      <c r="E1799" s="59">
        <v>1658829760</v>
      </c>
      <c r="F1799" s="59">
        <v>1799373465</v>
      </c>
      <c r="G1799" s="59">
        <v>1796449633</v>
      </c>
      <c r="H1799" s="59">
        <v>113316782</v>
      </c>
      <c r="I1799" s="55">
        <f t="shared" si="81"/>
        <v>5367969640</v>
      </c>
      <c r="J1799" s="54">
        <v>0</v>
      </c>
      <c r="K1799" s="56">
        <f t="shared" si="82"/>
        <v>5367969640</v>
      </c>
      <c r="L1799" s="37">
        <v>13305202</v>
      </c>
      <c r="M1799" s="67" t="s">
        <v>735</v>
      </c>
      <c r="N1799" t="s">
        <v>708</v>
      </c>
      <c r="O1799" s="38" t="str">
        <f>IF([1]totrevprm!O1800="","",[1]totrevprm!O1800)</f>
        <v/>
      </c>
      <c r="V1799" s="38"/>
      <c r="W1799" s="58"/>
      <c r="X1799" s="58"/>
      <c r="Y1799" s="58"/>
      <c r="Z1799" s="58"/>
    </row>
    <row r="1800" spans="1:26">
      <c r="A1800" s="50" t="s">
        <v>75</v>
      </c>
      <c r="B1800" s="51" t="s">
        <v>819</v>
      </c>
      <c r="C1800" s="52"/>
      <c r="D1800" s="53">
        <v>2006</v>
      </c>
      <c r="E1800" s="37">
        <v>1674325987</v>
      </c>
      <c r="F1800" s="37">
        <v>1929963560</v>
      </c>
      <c r="G1800" s="37">
        <v>2094078881</v>
      </c>
      <c r="H1800" s="37">
        <v>70571900</v>
      </c>
      <c r="I1800" s="55">
        <f t="shared" si="81"/>
        <v>5768940328</v>
      </c>
      <c r="J1800" s="54">
        <v>0</v>
      </c>
      <c r="K1800" s="56">
        <f t="shared" si="82"/>
        <v>5768940328</v>
      </c>
      <c r="L1800" s="37">
        <v>51596854</v>
      </c>
      <c r="M1800" s="67" t="s">
        <v>735</v>
      </c>
      <c r="N1800" t="s">
        <v>708</v>
      </c>
      <c r="O1800" s="38" t="str">
        <f>IF([1]totrevprm!O1801="","",[1]totrevprm!O1801)</f>
        <v/>
      </c>
      <c r="V1800" s="38"/>
      <c r="W1800" s="58"/>
      <c r="X1800" s="58"/>
      <c r="Y1800" s="58"/>
      <c r="Z1800" s="58"/>
    </row>
    <row r="1801" spans="1:26">
      <c r="A1801" s="50" t="s">
        <v>75</v>
      </c>
      <c r="B1801" s="51" t="s">
        <v>819</v>
      </c>
      <c r="C1801" s="52"/>
      <c r="D1801" s="53">
        <v>2007</v>
      </c>
      <c r="E1801" s="37">
        <v>1692386178</v>
      </c>
      <c r="F1801" s="37">
        <v>2266111280</v>
      </c>
      <c r="G1801" s="37">
        <v>2433202435</v>
      </c>
      <c r="H1801" s="37">
        <v>95548221</v>
      </c>
      <c r="I1801" s="55">
        <f t="shared" si="81"/>
        <v>6487248114</v>
      </c>
      <c r="J1801" s="54">
        <v>0</v>
      </c>
      <c r="K1801" s="56">
        <f t="shared" si="82"/>
        <v>6487248114</v>
      </c>
      <c r="L1801" s="37">
        <v>109611907</v>
      </c>
      <c r="M1801" s="67" t="s">
        <v>735</v>
      </c>
      <c r="N1801" t="s">
        <v>708</v>
      </c>
      <c r="O1801" s="38" t="str">
        <f>IF([1]totrevprm!O1802="","",[1]totrevprm!O1802)</f>
        <v/>
      </c>
      <c r="T1801" s="68"/>
      <c r="V1801" s="38"/>
      <c r="W1801" s="58"/>
      <c r="X1801" s="58"/>
      <c r="Y1801" s="58"/>
      <c r="Z1801" s="58"/>
    </row>
    <row r="1802" spans="1:26">
      <c r="A1802" s="50" t="s">
        <v>75</v>
      </c>
      <c r="B1802" s="51" t="s">
        <v>819</v>
      </c>
      <c r="C1802" s="52"/>
      <c r="D1802" s="53">
        <v>2008</v>
      </c>
      <c r="E1802" s="37">
        <v>1731890072</v>
      </c>
      <c r="F1802" s="37">
        <v>2950403754</v>
      </c>
      <c r="G1802" s="37">
        <v>2668272497</v>
      </c>
      <c r="H1802" s="37">
        <v>79422446</v>
      </c>
      <c r="I1802" s="55">
        <f t="shared" si="81"/>
        <v>7429988769</v>
      </c>
      <c r="J1802" s="54">
        <v>0</v>
      </c>
      <c r="K1802" s="56">
        <f t="shared" si="82"/>
        <v>7429988769</v>
      </c>
      <c r="L1802" s="37">
        <v>54436032</v>
      </c>
      <c r="M1802" s="67" t="s">
        <v>735</v>
      </c>
      <c r="N1802" t="s">
        <v>708</v>
      </c>
      <c r="O1802" s="38" t="str">
        <f>IF([1]totrevprm!O1803="","",[1]totrevprm!O1803)</f>
        <v/>
      </c>
      <c r="T1802" s="68"/>
      <c r="V1802" s="38"/>
      <c r="W1802" s="58"/>
      <c r="X1802" s="58"/>
      <c r="Y1802" s="58"/>
      <c r="Z1802" s="58"/>
    </row>
    <row r="1803" spans="1:26">
      <c r="A1803" s="50" t="s">
        <v>75</v>
      </c>
      <c r="B1803" s="51" t="s">
        <v>819</v>
      </c>
      <c r="C1803" s="52"/>
      <c r="D1803" s="53">
        <v>2009</v>
      </c>
      <c r="E1803" s="37">
        <v>1864454247</v>
      </c>
      <c r="F1803" s="37">
        <v>2978714074</v>
      </c>
      <c r="G1803" s="37">
        <v>2765847273</v>
      </c>
      <c r="H1803" s="37">
        <v>91135205</v>
      </c>
      <c r="I1803" s="55">
        <f t="shared" si="81"/>
        <v>7700150799</v>
      </c>
      <c r="J1803" s="54">
        <v>0</v>
      </c>
      <c r="K1803" s="56">
        <f t="shared" si="82"/>
        <v>7700150799</v>
      </c>
      <c r="L1803" s="37">
        <v>62422429</v>
      </c>
      <c r="M1803" s="67" t="s">
        <v>735</v>
      </c>
      <c r="N1803" t="s">
        <v>708</v>
      </c>
      <c r="O1803" s="38" t="str">
        <f>IF([1]totrevprm!O1804="","",[1]totrevprm!O1804)</f>
        <v/>
      </c>
      <c r="T1803" s="68"/>
      <c r="V1803" s="38"/>
      <c r="W1803" s="58"/>
      <c r="X1803" s="58"/>
      <c r="Y1803" s="58"/>
      <c r="Z1803" s="58"/>
    </row>
    <row r="1804" spans="1:26">
      <c r="A1804" s="50" t="s">
        <v>75</v>
      </c>
      <c r="B1804" s="51" t="s">
        <v>819</v>
      </c>
      <c r="C1804" s="52"/>
      <c r="D1804" s="53">
        <v>2010</v>
      </c>
      <c r="E1804" s="37">
        <v>1954403996</v>
      </c>
      <c r="F1804" s="37">
        <v>2823129275</v>
      </c>
      <c r="G1804" s="37">
        <v>2902109855</v>
      </c>
      <c r="H1804" s="37">
        <v>59491573</v>
      </c>
      <c r="I1804" s="55">
        <f t="shared" si="81"/>
        <v>7739134699</v>
      </c>
      <c r="J1804" s="54">
        <v>0</v>
      </c>
      <c r="K1804" s="56">
        <f t="shared" si="82"/>
        <v>7739134699</v>
      </c>
      <c r="L1804" s="37">
        <v>64086928</v>
      </c>
      <c r="M1804" s="67" t="s">
        <v>735</v>
      </c>
      <c r="N1804" t="s">
        <v>708</v>
      </c>
      <c r="O1804" s="38" t="str">
        <f>IF([1]totrevprm!O1805="","",[1]totrevprm!O1805)</f>
        <v/>
      </c>
      <c r="T1804" s="68"/>
      <c r="V1804" s="38"/>
      <c r="W1804" s="58"/>
      <c r="X1804" s="58"/>
      <c r="Y1804" s="58"/>
      <c r="Z1804" s="58"/>
    </row>
    <row r="1805" spans="1:26">
      <c r="A1805" s="50" t="s">
        <v>75</v>
      </c>
      <c r="B1805" s="51" t="s">
        <v>819</v>
      </c>
      <c r="C1805" s="52"/>
      <c r="D1805" s="53">
        <v>2011</v>
      </c>
      <c r="E1805" s="37">
        <v>2019440686</v>
      </c>
      <c r="F1805" s="37">
        <v>2628272514</v>
      </c>
      <c r="G1805" s="37">
        <v>3747407935</v>
      </c>
      <c r="H1805" s="37">
        <v>135034467</v>
      </c>
      <c r="I1805" s="55">
        <f t="shared" si="81"/>
        <v>8530155602</v>
      </c>
      <c r="J1805" s="54">
        <v>0</v>
      </c>
      <c r="K1805" s="56">
        <f t="shared" si="82"/>
        <v>8530155602</v>
      </c>
      <c r="L1805" s="37">
        <v>43211320</v>
      </c>
      <c r="M1805" s="67" t="s">
        <v>735</v>
      </c>
      <c r="N1805" t="s">
        <v>708</v>
      </c>
      <c r="O1805" s="38" t="str">
        <f>IF([1]totrevprm!O1806="","",[1]totrevprm!O1806)</f>
        <v/>
      </c>
      <c r="T1805" s="68"/>
      <c r="V1805" s="38"/>
      <c r="W1805" s="58"/>
      <c r="X1805" s="58"/>
      <c r="Y1805" s="58"/>
      <c r="Z1805" s="58"/>
    </row>
    <row r="1806" spans="1:26">
      <c r="A1806" s="50" t="s">
        <v>75</v>
      </c>
      <c r="B1806" s="51" t="s">
        <v>819</v>
      </c>
      <c r="C1806" s="52"/>
      <c r="D1806" s="53">
        <v>2012</v>
      </c>
      <c r="E1806" s="37">
        <v>2220767201</v>
      </c>
      <c r="F1806" s="37">
        <v>2613119780</v>
      </c>
      <c r="G1806" s="37">
        <v>2688872525</v>
      </c>
      <c r="H1806" s="37">
        <v>68544498</v>
      </c>
      <c r="I1806" s="55">
        <f t="shared" si="81"/>
        <v>7591304004</v>
      </c>
      <c r="J1806" s="54">
        <v>0</v>
      </c>
      <c r="K1806" s="56">
        <f t="shared" si="82"/>
        <v>7591304004</v>
      </c>
      <c r="L1806" s="37">
        <v>60246443</v>
      </c>
      <c r="M1806" s="67" t="s">
        <v>735</v>
      </c>
      <c r="N1806" t="s">
        <v>708</v>
      </c>
      <c r="O1806" s="38" t="str">
        <f>IF([1]totrevprm!O1807="","",[1]totrevprm!O1807)</f>
        <v/>
      </c>
      <c r="T1806" s="68"/>
      <c r="V1806" s="38"/>
      <c r="W1806" s="58"/>
      <c r="X1806" s="58"/>
      <c r="Y1806" s="58"/>
      <c r="Z1806" s="58"/>
    </row>
    <row r="1807" spans="1:26">
      <c r="A1807" s="50" t="s">
        <v>75</v>
      </c>
      <c r="B1807" s="51" t="s">
        <v>819</v>
      </c>
      <c r="C1807" s="52"/>
      <c r="D1807" s="53">
        <v>2013</v>
      </c>
      <c r="E1807" s="37">
        <v>2266307486</v>
      </c>
      <c r="F1807" s="37">
        <v>2646323064</v>
      </c>
      <c r="G1807" s="37">
        <v>2922487381</v>
      </c>
      <c r="H1807" s="37">
        <v>108203293</v>
      </c>
      <c r="I1807" s="55">
        <f t="shared" si="81"/>
        <v>7943321224</v>
      </c>
      <c r="J1807" s="54">
        <v>0</v>
      </c>
      <c r="K1807" s="56">
        <f t="shared" si="82"/>
        <v>7943321224</v>
      </c>
      <c r="L1807" s="37">
        <v>57026441</v>
      </c>
      <c r="M1807" s="67" t="s">
        <v>735</v>
      </c>
      <c r="N1807" t="s">
        <v>708</v>
      </c>
      <c r="O1807" s="38" t="str">
        <f>IF([1]totrevprm!O1808="","",[1]totrevprm!O1808)</f>
        <v/>
      </c>
      <c r="T1807" s="68"/>
      <c r="V1807" s="38"/>
      <c r="W1807" s="58"/>
      <c r="X1807" s="58"/>
      <c r="Y1807" s="58"/>
      <c r="Z1807" s="58"/>
    </row>
    <row r="1808" spans="1:26">
      <c r="A1808" s="50" t="s">
        <v>75</v>
      </c>
      <c r="B1808" s="51" t="s">
        <v>819</v>
      </c>
      <c r="C1808" s="52"/>
      <c r="D1808" s="53">
        <v>2014</v>
      </c>
      <c r="E1808" s="37">
        <v>2280689379</v>
      </c>
      <c r="F1808" s="37">
        <v>3012984185</v>
      </c>
      <c r="G1808" s="37">
        <v>3067648111</v>
      </c>
      <c r="H1808" s="37">
        <v>97981020</v>
      </c>
      <c r="I1808" s="55">
        <f t="shared" si="81"/>
        <v>8459302695</v>
      </c>
      <c r="J1808" s="54">
        <v>0</v>
      </c>
      <c r="K1808" s="56">
        <f t="shared" si="82"/>
        <v>8459302695</v>
      </c>
      <c r="L1808" s="37">
        <v>181265388</v>
      </c>
      <c r="M1808" s="67" t="s">
        <v>735</v>
      </c>
      <c r="N1808" t="s">
        <v>708</v>
      </c>
      <c r="O1808" s="38" t="str">
        <f>IF([1]totrevprm!O1809="","",[1]totrevprm!O1809)</f>
        <v/>
      </c>
      <c r="T1808" s="68"/>
      <c r="V1808" s="38"/>
      <c r="W1808" s="58"/>
      <c r="X1808" s="58"/>
      <c r="Y1808" s="58"/>
      <c r="Z1808" s="58"/>
    </row>
    <row r="1809" spans="1:26">
      <c r="A1809" s="50" t="s">
        <v>75</v>
      </c>
      <c r="B1809" s="51" t="s">
        <v>819</v>
      </c>
      <c r="C1809" s="52"/>
      <c r="D1809" s="53">
        <v>2015</v>
      </c>
      <c r="E1809" s="37">
        <v>2363664860</v>
      </c>
      <c r="F1809" s="37">
        <v>3304830007</v>
      </c>
      <c r="G1809" s="37">
        <v>3534528722</v>
      </c>
      <c r="H1809" s="37">
        <v>156309311</v>
      </c>
      <c r="I1809" s="55">
        <f t="shared" si="81"/>
        <v>9359332900</v>
      </c>
      <c r="J1809" s="54">
        <v>0</v>
      </c>
      <c r="K1809" s="56">
        <f t="shared" si="82"/>
        <v>9359332900</v>
      </c>
      <c r="L1809" s="37">
        <v>156891266</v>
      </c>
      <c r="M1809" s="67" t="s">
        <v>735</v>
      </c>
      <c r="N1809" t="s">
        <v>708</v>
      </c>
      <c r="O1809" s="38" t="str">
        <f>IF([1]totrevprm!O1810="","",[1]totrevprm!O1810)</f>
        <v/>
      </c>
      <c r="P1809" s="35">
        <v>504610191.88878012</v>
      </c>
      <c r="Q1809" s="35">
        <v>283963075.50940299</v>
      </c>
      <c r="T1809" s="68"/>
      <c r="V1809" s="38"/>
      <c r="W1809" s="58"/>
      <c r="X1809" s="58"/>
      <c r="Y1809" s="58"/>
      <c r="Z1809" s="58"/>
    </row>
    <row r="1810" spans="1:26">
      <c r="A1810" s="50" t="s">
        <v>75</v>
      </c>
      <c r="B1810" s="51" t="s">
        <v>819</v>
      </c>
      <c r="C1810" s="52"/>
      <c r="D1810" s="53">
        <v>2016</v>
      </c>
      <c r="E1810" s="37">
        <v>2521207207</v>
      </c>
      <c r="F1810" s="37">
        <v>3574971552</v>
      </c>
      <c r="G1810" s="37">
        <v>3109214306</v>
      </c>
      <c r="H1810" s="37">
        <v>157124370</v>
      </c>
      <c r="I1810" s="55">
        <f t="shared" si="81"/>
        <v>9362517435</v>
      </c>
      <c r="J1810" s="54">
        <v>0</v>
      </c>
      <c r="K1810" s="56">
        <f t="shared" si="82"/>
        <v>9362517435</v>
      </c>
      <c r="L1810" s="37">
        <v>266478545</v>
      </c>
      <c r="M1810" s="67" t="s">
        <v>735</v>
      </c>
      <c r="N1810" t="s">
        <v>708</v>
      </c>
      <c r="O1810" s="38" t="str">
        <f>IF([1]totrevprm!O1811="","",[1]totrevprm!O1811)</f>
        <v/>
      </c>
      <c r="P1810" s="35">
        <v>549308668.61050797</v>
      </c>
      <c r="Q1810" s="35">
        <v>285049847.03977442</v>
      </c>
      <c r="T1810" s="68"/>
      <c r="V1810" s="38"/>
      <c r="W1810" s="58"/>
      <c r="X1810" s="58"/>
      <c r="Y1810" s="58"/>
      <c r="Z1810" s="58"/>
    </row>
    <row r="1811" spans="1:26">
      <c r="A1811" s="50" t="s">
        <v>75</v>
      </c>
      <c r="B1811" s="51" t="s">
        <v>819</v>
      </c>
      <c r="C1811" s="52"/>
      <c r="D1811" s="53">
        <v>2017</v>
      </c>
      <c r="E1811" s="37">
        <v>2560571203</v>
      </c>
      <c r="F1811" s="37">
        <v>3696175706</v>
      </c>
      <c r="G1811" s="37">
        <v>2574635733</v>
      </c>
      <c r="H1811" s="37">
        <v>191655840</v>
      </c>
      <c r="I1811" s="55">
        <f t="shared" si="81"/>
        <v>9023038482</v>
      </c>
      <c r="J1811" s="54">
        <v>0</v>
      </c>
      <c r="K1811" s="56">
        <f t="shared" si="82"/>
        <v>9023038482</v>
      </c>
      <c r="L1811" s="60">
        <v>205307690</v>
      </c>
      <c r="M1811" s="67" t="s">
        <v>735</v>
      </c>
      <c r="N1811" t="s">
        <v>708</v>
      </c>
      <c r="O1811" s="38" t="str">
        <f>IF([1]totrevprm!O1812="","",[1]totrevprm!O1812)</f>
        <v/>
      </c>
      <c r="P1811" s="35">
        <v>584417046.46457076</v>
      </c>
      <c r="Q1811" s="35">
        <v>279412275.01692915</v>
      </c>
      <c r="T1811" s="68"/>
      <c r="V1811" s="38"/>
      <c r="W1811" s="58"/>
      <c r="X1811" s="58"/>
      <c r="Y1811" s="58"/>
      <c r="Z1811" s="58"/>
    </row>
    <row r="1812" spans="1:26">
      <c r="A1812" s="50" t="s">
        <v>75</v>
      </c>
      <c r="B1812" s="51" t="s">
        <v>819</v>
      </c>
      <c r="C1812" s="52"/>
      <c r="D1812" s="53">
        <v>2018</v>
      </c>
      <c r="E1812" s="37">
        <v>2646136359</v>
      </c>
      <c r="F1812" s="37">
        <v>4163485045</v>
      </c>
      <c r="G1812" s="37">
        <v>2820521067.29</v>
      </c>
      <c r="H1812" s="37">
        <v>144011203</v>
      </c>
      <c r="I1812" s="55">
        <f t="shared" si="81"/>
        <v>9774153674.2900009</v>
      </c>
      <c r="J1812" s="54">
        <v>0</v>
      </c>
      <c r="K1812" s="56">
        <f t="shared" si="82"/>
        <v>9774153674.2900009</v>
      </c>
      <c r="L1812" s="60">
        <v>111461799</v>
      </c>
      <c r="M1812" s="67" t="s">
        <v>735</v>
      </c>
      <c r="N1812" t="s">
        <v>708</v>
      </c>
      <c r="O1812" s="38" t="str">
        <f>IF([1]totrevprm!O1813="","",[1]totrevprm!O1813)</f>
        <v/>
      </c>
      <c r="P1812" s="35">
        <v>612636233.8142662</v>
      </c>
      <c r="Q1812" s="35">
        <v>263367086</v>
      </c>
      <c r="T1812" s="68"/>
      <c r="V1812" s="38"/>
      <c r="W1812" s="58"/>
      <c r="X1812" s="58"/>
      <c r="Y1812" s="58"/>
      <c r="Z1812" s="58"/>
    </row>
    <row r="1813" spans="1:26">
      <c r="A1813" s="50" t="s">
        <v>75</v>
      </c>
      <c r="B1813" s="51" t="s">
        <v>819</v>
      </c>
      <c r="C1813" s="52"/>
      <c r="D1813" s="53">
        <v>2019</v>
      </c>
      <c r="E1813" s="37">
        <v>2760717548</v>
      </c>
      <c r="F1813" s="37">
        <v>4681629869</v>
      </c>
      <c r="G1813" s="37">
        <v>2925472238.5100002</v>
      </c>
      <c r="H1813" s="37">
        <v>142414388</v>
      </c>
      <c r="I1813" s="55">
        <f t="shared" si="81"/>
        <v>10510234043.51</v>
      </c>
      <c r="J1813" s="54">
        <v>0</v>
      </c>
      <c r="K1813" s="56">
        <f t="shared" si="82"/>
        <v>10510234043.51</v>
      </c>
      <c r="L1813" s="60">
        <v>113437641</v>
      </c>
      <c r="M1813" s="67" t="s">
        <v>735</v>
      </c>
      <c r="N1813" t="s">
        <v>708</v>
      </c>
      <c r="O1813" s="38" t="str">
        <f>IF([1]totrevprm!O1814="","",[1]totrevprm!O1814)</f>
        <v/>
      </c>
      <c r="P1813" s="35">
        <v>640244487.8362968</v>
      </c>
      <c r="Q1813" s="35">
        <v>272816868.79989111</v>
      </c>
      <c r="T1813" s="68"/>
      <c r="V1813" s="38"/>
      <c r="W1813" s="58"/>
      <c r="X1813" s="58"/>
      <c r="Y1813" s="58"/>
      <c r="Z1813" s="58"/>
    </row>
    <row r="1814" spans="1:26">
      <c r="A1814" s="50" t="s">
        <v>75</v>
      </c>
      <c r="B1814" s="51" t="s">
        <v>819</v>
      </c>
      <c r="C1814" s="52"/>
      <c r="D1814" s="53">
        <v>2020</v>
      </c>
      <c r="E1814" s="37">
        <v>2828570311</v>
      </c>
      <c r="F1814" s="37">
        <v>4551921834</v>
      </c>
      <c r="G1814" s="37">
        <v>2610716661</v>
      </c>
      <c r="H1814" s="37">
        <v>191024688</v>
      </c>
      <c r="I1814" s="55">
        <f t="shared" si="81"/>
        <v>10182233494</v>
      </c>
      <c r="J1814" s="54">
        <v>0</v>
      </c>
      <c r="K1814" s="56">
        <f t="shared" si="82"/>
        <v>10182233494</v>
      </c>
      <c r="L1814" s="60">
        <v>166310230</v>
      </c>
      <c r="M1814" s="67" t="s">
        <v>735</v>
      </c>
      <c r="N1814" t="s">
        <v>708</v>
      </c>
      <c r="O1814" s="38" t="str">
        <f>IF([1]totrevprm!O1815="","",[1]totrevprm!O1815)</f>
        <v/>
      </c>
      <c r="P1814" s="35">
        <v>646878150</v>
      </c>
      <c r="Q1814" s="35">
        <v>266586149</v>
      </c>
      <c r="T1814" s="68"/>
      <c r="V1814" s="38"/>
      <c r="W1814" s="58"/>
      <c r="X1814" s="58"/>
      <c r="Y1814" s="58"/>
      <c r="Z1814" s="58"/>
    </row>
    <row r="1815" spans="1:26">
      <c r="A1815" s="50" t="s">
        <v>75</v>
      </c>
      <c r="B1815" s="51" t="s">
        <v>819</v>
      </c>
      <c r="C1815" s="52"/>
      <c r="D1815" s="53">
        <v>2021</v>
      </c>
      <c r="E1815" s="37">
        <v>3228981610</v>
      </c>
      <c r="F1815" s="37">
        <v>5047390874</v>
      </c>
      <c r="G1815" s="37">
        <v>2703622188</v>
      </c>
      <c r="H1815" s="37">
        <v>95140771</v>
      </c>
      <c r="I1815" s="55">
        <f t="shared" si="81"/>
        <v>11075135443</v>
      </c>
      <c r="J1815" s="54">
        <v>0</v>
      </c>
      <c r="K1815" s="56">
        <f t="shared" si="82"/>
        <v>11075135443</v>
      </c>
      <c r="L1815" s="54">
        <v>0</v>
      </c>
      <c r="M1815" s="67"/>
      <c r="N1815" t="s">
        <v>708</v>
      </c>
      <c r="O1815" s="38"/>
      <c r="P1815" s="35">
        <v>677524573.15999997</v>
      </c>
      <c r="Q1815" s="35">
        <v>313424950</v>
      </c>
      <c r="T1815" s="68"/>
      <c r="V1815" s="38"/>
      <c r="W1815" s="58"/>
      <c r="X1815" s="58"/>
      <c r="Y1815" s="58"/>
      <c r="Z1815" s="58"/>
    </row>
    <row r="1816" spans="1:26">
      <c r="A1816" s="50" t="s">
        <v>75</v>
      </c>
      <c r="B1816" s="51" t="s">
        <v>819</v>
      </c>
      <c r="C1816" s="52"/>
      <c r="D1816" s="53">
        <v>2022</v>
      </c>
      <c r="E1816" s="37">
        <v>3373833334</v>
      </c>
      <c r="F1816" s="37">
        <v>5367284999</v>
      </c>
      <c r="G1816" s="37">
        <v>8714152236</v>
      </c>
      <c r="H1816" s="37">
        <v>123495626</v>
      </c>
      <c r="I1816" s="55">
        <f t="shared" si="81"/>
        <v>17578766195</v>
      </c>
      <c r="J1816" s="54">
        <v>0</v>
      </c>
      <c r="K1816" s="56">
        <f t="shared" si="82"/>
        <v>17578766195</v>
      </c>
      <c r="L1816" s="54">
        <v>0</v>
      </c>
      <c r="M1816" s="67" t="s">
        <v>739</v>
      </c>
      <c r="O1816" s="38" t="str">
        <f>IF([1]totrevprm!O1819="","",[1]totrevprm!O1819)</f>
        <v/>
      </c>
      <c r="P1816" s="60">
        <v>776813661</v>
      </c>
      <c r="Q1816" s="60">
        <v>346672613</v>
      </c>
    </row>
    <row r="1817" spans="1:26">
      <c r="A1817" s="50" t="s">
        <v>75</v>
      </c>
      <c r="B1817" s="51" t="s">
        <v>819</v>
      </c>
      <c r="C1817" s="52"/>
      <c r="D1817" s="53">
        <v>2023</v>
      </c>
      <c r="E1817" s="37">
        <v>3426624568</v>
      </c>
      <c r="F1817" s="37">
        <v>6727200846.309</v>
      </c>
      <c r="G1817" s="37">
        <v>11650004898.58</v>
      </c>
      <c r="H1817" s="37">
        <v>174112398</v>
      </c>
      <c r="I1817" s="55">
        <f t="shared" si="81"/>
        <v>21977942710.889</v>
      </c>
      <c r="J1817" s="54">
        <v>0</v>
      </c>
      <c r="K1817" s="56">
        <f t="shared" si="82"/>
        <v>21977942710.889</v>
      </c>
      <c r="L1817" s="37">
        <v>0</v>
      </c>
      <c r="M1817" s="67" t="s">
        <v>739</v>
      </c>
      <c r="O1817" s="38"/>
      <c r="P1817" s="60">
        <v>799679722.91999996</v>
      </c>
      <c r="Q1817" s="60">
        <v>344295121</v>
      </c>
    </row>
    <row r="1818" spans="1:26">
      <c r="A1818" s="50"/>
      <c r="B1818" s="52"/>
      <c r="C1818" s="52"/>
      <c r="E1818" s="54"/>
      <c r="F1818" s="54"/>
      <c r="G1818" s="54"/>
      <c r="H1818" s="54"/>
      <c r="I1818" s="55"/>
      <c r="K1818" s="65"/>
      <c r="L1818" s="37"/>
      <c r="O1818" s="38"/>
    </row>
    <row r="1819" spans="1:26">
      <c r="A1819" s="50" t="s">
        <v>76</v>
      </c>
      <c r="B1819" s="51" t="s">
        <v>492</v>
      </c>
      <c r="C1819" s="52" t="s">
        <v>730</v>
      </c>
      <c r="D1819" s="53">
        <v>1988</v>
      </c>
      <c r="E1819" s="54">
        <v>319827097</v>
      </c>
      <c r="F1819" s="54">
        <v>211836963</v>
      </c>
      <c r="G1819" s="54">
        <v>350969222</v>
      </c>
      <c r="H1819" s="54">
        <v>0</v>
      </c>
      <c r="I1819" s="55">
        <f t="shared" si="81"/>
        <v>882633282</v>
      </c>
      <c r="J1819" s="54">
        <v>-1921864</v>
      </c>
      <c r="K1819" s="56">
        <f>SUM(I1819:J1819)</f>
        <v>880711418</v>
      </c>
      <c r="L1819" s="37">
        <v>0</v>
      </c>
      <c r="O1819" s="38" t="str">
        <f>IF([1]totrevprm!O1820="","",[1]totrevprm!O1820)</f>
        <v/>
      </c>
    </row>
    <row r="1820" spans="1:26">
      <c r="A1820" s="50" t="s">
        <v>76</v>
      </c>
      <c r="B1820" s="51" t="s">
        <v>492</v>
      </c>
      <c r="C1820" s="52" t="s">
        <v>731</v>
      </c>
      <c r="D1820" s="53">
        <v>1989</v>
      </c>
      <c r="E1820" s="54">
        <v>321654307</v>
      </c>
      <c r="F1820" s="54">
        <v>219131663</v>
      </c>
      <c r="G1820" s="54">
        <v>371883149</v>
      </c>
      <c r="H1820" s="54">
        <v>0</v>
      </c>
      <c r="I1820" s="55">
        <f t="shared" si="81"/>
        <v>912669119</v>
      </c>
      <c r="J1820" s="54">
        <v>-7088402</v>
      </c>
      <c r="K1820" s="56">
        <f t="shared" ref="K1820:K1854" si="83">SUM(I1820:J1820)</f>
        <v>905580717</v>
      </c>
      <c r="L1820" s="37">
        <v>0</v>
      </c>
      <c r="O1820" s="38" t="str">
        <f>IF([1]totrevprm!O1821="","",[1]totrevprm!O1821)</f>
        <v/>
      </c>
    </row>
    <row r="1821" spans="1:26">
      <c r="A1821" s="50" t="s">
        <v>76</v>
      </c>
      <c r="B1821" s="51" t="s">
        <v>492</v>
      </c>
      <c r="C1821" s="52" t="s">
        <v>731</v>
      </c>
      <c r="D1821" s="53">
        <v>1990</v>
      </c>
      <c r="E1821" s="54">
        <v>325388423</v>
      </c>
      <c r="F1821" s="54">
        <v>219521543.72</v>
      </c>
      <c r="G1821" s="54">
        <v>456136849</v>
      </c>
      <c r="H1821" s="54">
        <v>0</v>
      </c>
      <c r="I1821" s="55">
        <f t="shared" si="81"/>
        <v>1001046815.72</v>
      </c>
      <c r="J1821" s="54">
        <v>-1673081</v>
      </c>
      <c r="K1821" s="56">
        <f t="shared" si="83"/>
        <v>999373734.72000003</v>
      </c>
      <c r="L1821" s="37">
        <v>0</v>
      </c>
      <c r="O1821" s="38" t="str">
        <f>IF([1]totrevprm!O1822="","",[1]totrevprm!O1822)</f>
        <v/>
      </c>
    </row>
    <row r="1822" spans="1:26">
      <c r="A1822" s="50" t="s">
        <v>76</v>
      </c>
      <c r="B1822" s="51" t="s">
        <v>492</v>
      </c>
      <c r="C1822" s="52" t="s">
        <v>731</v>
      </c>
      <c r="D1822" s="53">
        <v>1991</v>
      </c>
      <c r="E1822" s="54">
        <v>368245037</v>
      </c>
      <c r="F1822" s="54">
        <v>210735750</v>
      </c>
      <c r="G1822" s="54">
        <v>502025018</v>
      </c>
      <c r="H1822" s="54">
        <v>0</v>
      </c>
      <c r="I1822" s="55">
        <f t="shared" si="81"/>
        <v>1081005805</v>
      </c>
      <c r="J1822" s="54">
        <v>-101727</v>
      </c>
      <c r="K1822" s="56">
        <f t="shared" si="83"/>
        <v>1080904078</v>
      </c>
      <c r="L1822" s="37">
        <v>0</v>
      </c>
      <c r="O1822" s="38" t="str">
        <f>IF([1]totrevprm!O1823="","",[1]totrevprm!O1823)</f>
        <v/>
      </c>
    </row>
    <row r="1823" spans="1:26">
      <c r="A1823" s="50" t="s">
        <v>76</v>
      </c>
      <c r="B1823" s="51" t="s">
        <v>492</v>
      </c>
      <c r="C1823" s="52" t="s">
        <v>731</v>
      </c>
      <c r="D1823" s="53">
        <v>1992</v>
      </c>
      <c r="E1823" s="54">
        <v>376679927</v>
      </c>
      <c r="F1823" s="54">
        <v>242273021.44</v>
      </c>
      <c r="G1823" s="54">
        <v>512768938</v>
      </c>
      <c r="H1823" s="54">
        <v>0</v>
      </c>
      <c r="I1823" s="55">
        <f t="shared" ref="I1823:I1886" si="84">SUM(E1823:H1823)</f>
        <v>1131721886.4400001</v>
      </c>
      <c r="J1823" s="54">
        <v>-303989</v>
      </c>
      <c r="K1823" s="56">
        <f t="shared" si="83"/>
        <v>1131417897.4400001</v>
      </c>
      <c r="L1823" s="37">
        <v>0</v>
      </c>
      <c r="O1823" s="38" t="str">
        <f>IF([1]totrevprm!O1824="","",[1]totrevprm!O1824)</f>
        <v/>
      </c>
    </row>
    <row r="1824" spans="1:26">
      <c r="A1824" s="50" t="s">
        <v>76</v>
      </c>
      <c r="B1824" s="51" t="s">
        <v>492</v>
      </c>
      <c r="C1824" s="52" t="s">
        <v>752</v>
      </c>
      <c r="D1824" s="53">
        <v>1993</v>
      </c>
      <c r="E1824" s="54">
        <v>385572008</v>
      </c>
      <c r="F1824" s="54">
        <v>213513375</v>
      </c>
      <c r="G1824" s="54">
        <v>532791316</v>
      </c>
      <c r="H1824" s="54">
        <v>37437552</v>
      </c>
      <c r="I1824" s="55">
        <f t="shared" si="84"/>
        <v>1169314251</v>
      </c>
      <c r="J1824" s="54">
        <v>0</v>
      </c>
      <c r="K1824" s="56">
        <f t="shared" si="83"/>
        <v>1169314251</v>
      </c>
      <c r="L1824" s="37">
        <v>0</v>
      </c>
      <c r="O1824" s="38" t="str">
        <f>IF([1]totrevprm!O1825="","",[1]totrevprm!O1825)</f>
        <v/>
      </c>
    </row>
    <row r="1825" spans="1:26">
      <c r="A1825" s="50" t="s">
        <v>76</v>
      </c>
      <c r="B1825" s="51" t="s">
        <v>492</v>
      </c>
      <c r="C1825" s="52" t="s">
        <v>753</v>
      </c>
      <c r="D1825" s="53">
        <v>1994</v>
      </c>
      <c r="E1825" s="54">
        <v>401468979</v>
      </c>
      <c r="F1825" s="54">
        <v>296839571</v>
      </c>
      <c r="G1825" s="54">
        <v>536393798</v>
      </c>
      <c r="H1825" s="54">
        <v>7407963</v>
      </c>
      <c r="I1825" s="55">
        <f t="shared" si="84"/>
        <v>1242110311</v>
      </c>
      <c r="J1825" s="54">
        <v>0</v>
      </c>
      <c r="K1825" s="56">
        <f t="shared" si="83"/>
        <v>1242110311</v>
      </c>
      <c r="L1825" s="37">
        <v>0</v>
      </c>
      <c r="O1825" s="38" t="str">
        <f>IF([1]totrevprm!O1826="","",[1]totrevprm!O1826)</f>
        <v/>
      </c>
    </row>
    <row r="1826" spans="1:26">
      <c r="A1826" s="50" t="s">
        <v>76</v>
      </c>
      <c r="B1826" s="51" t="s">
        <v>492</v>
      </c>
      <c r="C1826" s="52" t="s">
        <v>731</v>
      </c>
      <c r="D1826" s="53">
        <v>1995</v>
      </c>
      <c r="E1826" s="54">
        <v>432912350</v>
      </c>
      <c r="F1826" s="54">
        <v>336766379</v>
      </c>
      <c r="G1826" s="54">
        <v>534013201</v>
      </c>
      <c r="H1826" s="54">
        <v>47207038</v>
      </c>
      <c r="I1826" s="55">
        <f t="shared" si="84"/>
        <v>1350898968</v>
      </c>
      <c r="J1826" s="54">
        <v>0</v>
      </c>
      <c r="K1826" s="56">
        <f t="shared" si="83"/>
        <v>1350898968</v>
      </c>
      <c r="L1826" s="37">
        <v>0</v>
      </c>
      <c r="O1826" s="38" t="str">
        <f>IF([1]totrevprm!O1827="","",[1]totrevprm!O1827)</f>
        <v/>
      </c>
    </row>
    <row r="1827" spans="1:26">
      <c r="A1827" s="50" t="s">
        <v>76</v>
      </c>
      <c r="B1827" s="51" t="s">
        <v>492</v>
      </c>
      <c r="C1827" s="52" t="s">
        <v>731</v>
      </c>
      <c r="D1827" s="53">
        <v>1996</v>
      </c>
      <c r="E1827" s="54">
        <v>406121463</v>
      </c>
      <c r="F1827" s="54">
        <v>268629892</v>
      </c>
      <c r="G1827" s="54">
        <v>565547539</v>
      </c>
      <c r="H1827" s="54">
        <v>24256408</v>
      </c>
      <c r="I1827" s="55">
        <f t="shared" si="84"/>
        <v>1264555302</v>
      </c>
      <c r="J1827" s="54">
        <v>0</v>
      </c>
      <c r="K1827" s="56">
        <f t="shared" si="83"/>
        <v>1264555302</v>
      </c>
      <c r="L1827" s="37">
        <v>0</v>
      </c>
      <c r="O1827" s="38" t="str">
        <f>IF([1]totrevprm!O1828="","",[1]totrevprm!O1828)</f>
        <v/>
      </c>
    </row>
    <row r="1828" spans="1:26">
      <c r="A1828" s="50" t="s">
        <v>76</v>
      </c>
      <c r="B1828" s="51" t="s">
        <v>492</v>
      </c>
      <c r="C1828" s="52" t="s">
        <v>731</v>
      </c>
      <c r="D1828" s="53">
        <v>1997</v>
      </c>
      <c r="E1828" s="54">
        <v>450394807</v>
      </c>
      <c r="F1828" s="54">
        <v>247316630</v>
      </c>
      <c r="G1828" s="54">
        <v>574590966</v>
      </c>
      <c r="H1828" s="54">
        <v>24959051</v>
      </c>
      <c r="I1828" s="55">
        <f t="shared" si="84"/>
        <v>1297261454</v>
      </c>
      <c r="J1828" s="54">
        <v>0</v>
      </c>
      <c r="K1828" s="56">
        <f t="shared" si="83"/>
        <v>1297261454</v>
      </c>
      <c r="L1828" s="37">
        <v>0</v>
      </c>
      <c r="O1828" s="38" t="str">
        <f>IF([1]totrevprm!O1829="","",[1]totrevprm!O1829)</f>
        <v/>
      </c>
    </row>
    <row r="1829" spans="1:26">
      <c r="A1829" s="50" t="s">
        <v>76</v>
      </c>
      <c r="B1829" s="51" t="s">
        <v>492</v>
      </c>
      <c r="C1829" s="52" t="s">
        <v>731</v>
      </c>
      <c r="D1829" s="53">
        <v>1998</v>
      </c>
      <c r="E1829" s="54">
        <v>425880377</v>
      </c>
      <c r="F1829" s="54">
        <v>234904435</v>
      </c>
      <c r="G1829" s="54">
        <v>598353464</v>
      </c>
      <c r="H1829" s="54">
        <v>39620560</v>
      </c>
      <c r="I1829" s="55">
        <f t="shared" si="84"/>
        <v>1298758836</v>
      </c>
      <c r="J1829" s="54">
        <v>0</v>
      </c>
      <c r="K1829" s="56">
        <f t="shared" si="83"/>
        <v>1298758836</v>
      </c>
      <c r="L1829" s="37">
        <v>0</v>
      </c>
      <c r="O1829" s="38" t="str">
        <f>IF([1]totrevprm!O1830="","",[1]totrevprm!O1830)</f>
        <v/>
      </c>
    </row>
    <row r="1830" spans="1:26">
      <c r="A1830" s="50" t="s">
        <v>76</v>
      </c>
      <c r="B1830" s="51" t="s">
        <v>492</v>
      </c>
      <c r="C1830" s="52" t="s">
        <v>731</v>
      </c>
      <c r="D1830" s="53">
        <v>1999</v>
      </c>
      <c r="E1830" s="54">
        <v>439607030</v>
      </c>
      <c r="F1830" s="54">
        <v>358157424</v>
      </c>
      <c r="G1830" s="54">
        <v>632570244</v>
      </c>
      <c r="H1830" s="54">
        <v>24780900</v>
      </c>
      <c r="I1830" s="55">
        <f t="shared" si="84"/>
        <v>1455115598</v>
      </c>
      <c r="J1830" s="54">
        <v>0</v>
      </c>
      <c r="K1830" s="56">
        <f t="shared" si="83"/>
        <v>1455115598</v>
      </c>
      <c r="L1830" s="37">
        <v>0</v>
      </c>
      <c r="O1830" s="38" t="str">
        <f>IF([1]totrevprm!O1831="","",[1]totrevprm!O1831)</f>
        <v/>
      </c>
    </row>
    <row r="1831" spans="1:26">
      <c r="A1831" s="50" t="s">
        <v>76</v>
      </c>
      <c r="B1831" s="51" t="s">
        <v>492</v>
      </c>
      <c r="C1831" s="52" t="s">
        <v>731</v>
      </c>
      <c r="D1831" s="53">
        <v>2000</v>
      </c>
      <c r="E1831" s="54">
        <v>421738324</v>
      </c>
      <c r="F1831" s="54">
        <v>465418152</v>
      </c>
      <c r="G1831" s="54">
        <v>769156991</v>
      </c>
      <c r="H1831" s="54">
        <v>48703323</v>
      </c>
      <c r="I1831" s="55">
        <f t="shared" si="84"/>
        <v>1705016790</v>
      </c>
      <c r="J1831" s="54">
        <v>0</v>
      </c>
      <c r="K1831" s="56">
        <f t="shared" si="83"/>
        <v>1705016790</v>
      </c>
      <c r="L1831" s="37">
        <v>0</v>
      </c>
      <c r="O1831" s="38" t="str">
        <f>IF([1]totrevprm!O1832="","",[1]totrevprm!O1832)</f>
        <v/>
      </c>
      <c r="V1831" s="38" t="s">
        <v>492</v>
      </c>
      <c r="W1831" s="58">
        <v>99317</v>
      </c>
      <c r="X1831" s="58">
        <v>1214020</v>
      </c>
      <c r="Y1831" s="58">
        <v>4738838</v>
      </c>
      <c r="Z1831" s="58">
        <v>0</v>
      </c>
    </row>
    <row r="1832" spans="1:26">
      <c r="A1832" s="50" t="s">
        <v>76</v>
      </c>
      <c r="B1832" s="51" t="s">
        <v>492</v>
      </c>
      <c r="C1832" s="52" t="s">
        <v>731</v>
      </c>
      <c r="D1832" s="53">
        <v>2001</v>
      </c>
      <c r="E1832" s="54">
        <v>443160277</v>
      </c>
      <c r="F1832" s="54">
        <v>551473481</v>
      </c>
      <c r="G1832" s="54">
        <v>715831125</v>
      </c>
      <c r="H1832" s="54">
        <v>37221022</v>
      </c>
      <c r="I1832" s="55">
        <f t="shared" si="84"/>
        <v>1747685905</v>
      </c>
      <c r="J1832" s="54">
        <v>0</v>
      </c>
      <c r="K1832" s="56">
        <f t="shared" si="83"/>
        <v>1747685905</v>
      </c>
      <c r="L1832" s="37">
        <v>0</v>
      </c>
      <c r="O1832" s="38" t="str">
        <f>IF([1]totrevprm!O1833="","",[1]totrevprm!O1833)</f>
        <v/>
      </c>
      <c r="V1832" s="38"/>
      <c r="W1832" s="58"/>
      <c r="X1832" s="58"/>
      <c r="Y1832" s="58"/>
      <c r="Z1832" s="58"/>
    </row>
    <row r="1833" spans="1:26">
      <c r="A1833" s="50" t="s">
        <v>76</v>
      </c>
      <c r="B1833" s="51" t="s">
        <v>492</v>
      </c>
      <c r="C1833" s="52" t="s">
        <v>731</v>
      </c>
      <c r="D1833" s="53">
        <v>2002</v>
      </c>
      <c r="E1833" s="54">
        <v>457602656</v>
      </c>
      <c r="F1833" s="54">
        <v>736784338</v>
      </c>
      <c r="G1833" s="54">
        <v>747998515</v>
      </c>
      <c r="H1833" s="54">
        <v>50596014</v>
      </c>
      <c r="I1833" s="55">
        <f t="shared" si="84"/>
        <v>1992981523</v>
      </c>
      <c r="J1833" s="54">
        <v>0</v>
      </c>
      <c r="K1833" s="56">
        <f t="shared" si="83"/>
        <v>1992981523</v>
      </c>
      <c r="L1833" s="37">
        <v>0</v>
      </c>
      <c r="O1833" s="38" t="str">
        <f>IF([1]totrevprm!O1834="","",[1]totrevprm!O1834)</f>
        <v/>
      </c>
      <c r="V1833" s="38"/>
      <c r="W1833" s="58"/>
      <c r="X1833" s="58"/>
      <c r="Y1833" s="58"/>
      <c r="Z1833" s="58"/>
    </row>
    <row r="1834" spans="1:26">
      <c r="A1834" s="50" t="s">
        <v>76</v>
      </c>
      <c r="B1834" s="51" t="s">
        <v>492</v>
      </c>
      <c r="C1834" s="52" t="s">
        <v>731</v>
      </c>
      <c r="D1834" s="53">
        <v>2003</v>
      </c>
      <c r="E1834" s="59">
        <v>525934077</v>
      </c>
      <c r="F1834" s="59">
        <v>674311246</v>
      </c>
      <c r="G1834" s="59">
        <v>807594236</v>
      </c>
      <c r="H1834" s="59">
        <v>46897551</v>
      </c>
      <c r="I1834" s="55">
        <f t="shared" si="84"/>
        <v>2054737110</v>
      </c>
      <c r="J1834" s="54">
        <v>0</v>
      </c>
      <c r="K1834" s="56">
        <f t="shared" si="83"/>
        <v>2054737110</v>
      </c>
      <c r="L1834" s="37">
        <v>0</v>
      </c>
      <c r="O1834" s="38" t="str">
        <f>IF([1]totrevprm!O1835="","",[1]totrevprm!O1835)</f>
        <v/>
      </c>
      <c r="V1834" s="38"/>
      <c r="W1834" s="58"/>
      <c r="X1834" s="58"/>
      <c r="Y1834" s="58"/>
      <c r="Z1834" s="58"/>
    </row>
    <row r="1835" spans="1:26">
      <c r="A1835" s="50" t="s">
        <v>76</v>
      </c>
      <c r="B1835" s="51" t="s">
        <v>492</v>
      </c>
      <c r="C1835" s="52" t="s">
        <v>731</v>
      </c>
      <c r="D1835" s="53">
        <v>2004</v>
      </c>
      <c r="E1835" s="59">
        <v>476263138</v>
      </c>
      <c r="F1835" s="59">
        <v>666732372</v>
      </c>
      <c r="G1835" s="59">
        <v>892259815</v>
      </c>
      <c r="H1835" s="59">
        <v>45922666</v>
      </c>
      <c r="I1835" s="55">
        <f t="shared" si="84"/>
        <v>2081177991</v>
      </c>
      <c r="J1835" s="54">
        <v>0</v>
      </c>
      <c r="K1835" s="56">
        <f t="shared" si="83"/>
        <v>2081177991</v>
      </c>
      <c r="L1835" s="37">
        <v>0</v>
      </c>
      <c r="O1835" s="38" t="str">
        <f>IF([1]totrevprm!O1836="","",[1]totrevprm!O1836)</f>
        <v/>
      </c>
      <c r="V1835" s="38"/>
      <c r="W1835" s="58"/>
      <c r="X1835" s="58"/>
      <c r="Y1835" s="58"/>
      <c r="Z1835" s="58"/>
    </row>
    <row r="1836" spans="1:26">
      <c r="A1836" s="50" t="s">
        <v>76</v>
      </c>
      <c r="B1836" s="51" t="s">
        <v>492</v>
      </c>
      <c r="C1836" s="52"/>
      <c r="D1836" s="53">
        <v>2005</v>
      </c>
      <c r="E1836" s="59">
        <v>470023326</v>
      </c>
      <c r="F1836" s="59">
        <v>647375811</v>
      </c>
      <c r="G1836" s="59">
        <v>923470263.58999896</v>
      </c>
      <c r="H1836" s="59">
        <v>21479212</v>
      </c>
      <c r="I1836" s="55">
        <f t="shared" si="84"/>
        <v>2062348612.589999</v>
      </c>
      <c r="J1836" s="54">
        <v>0</v>
      </c>
      <c r="K1836" s="56">
        <f t="shared" si="83"/>
        <v>2062348612.589999</v>
      </c>
      <c r="L1836" s="37">
        <v>0</v>
      </c>
      <c r="O1836" s="38" t="str">
        <f>IF([1]totrevprm!O1837="","",[1]totrevprm!O1837)</f>
        <v/>
      </c>
      <c r="V1836" s="38"/>
      <c r="W1836" s="58"/>
      <c r="X1836" s="58"/>
      <c r="Y1836" s="58"/>
      <c r="Z1836" s="58"/>
    </row>
    <row r="1837" spans="1:26">
      <c r="A1837" s="50" t="s">
        <v>76</v>
      </c>
      <c r="B1837" s="51" t="s">
        <v>492</v>
      </c>
      <c r="C1837" s="52"/>
      <c r="D1837" s="53">
        <v>2006</v>
      </c>
      <c r="E1837" s="37">
        <v>479336054</v>
      </c>
      <c r="F1837" s="37">
        <v>678944503</v>
      </c>
      <c r="G1837" s="37">
        <v>1087344005</v>
      </c>
      <c r="H1837" s="37">
        <v>24705628</v>
      </c>
      <c r="I1837" s="55">
        <f t="shared" si="84"/>
        <v>2270330190</v>
      </c>
      <c r="J1837" s="54">
        <v>0</v>
      </c>
      <c r="K1837" s="56">
        <f t="shared" si="83"/>
        <v>2270330190</v>
      </c>
      <c r="L1837" s="37">
        <v>0</v>
      </c>
      <c r="O1837" s="38" t="str">
        <f>IF([1]totrevprm!O1838="","",[1]totrevprm!O1838)</f>
        <v/>
      </c>
      <c r="V1837" s="38"/>
      <c r="W1837" s="58"/>
      <c r="X1837" s="58"/>
      <c r="Y1837" s="58"/>
      <c r="Z1837" s="58"/>
    </row>
    <row r="1838" spans="1:26">
      <c r="A1838" s="50" t="s">
        <v>76</v>
      </c>
      <c r="B1838" s="51" t="s">
        <v>492</v>
      </c>
      <c r="C1838" s="52"/>
      <c r="D1838" s="53">
        <v>2007</v>
      </c>
      <c r="E1838" s="37">
        <v>520140818</v>
      </c>
      <c r="F1838" s="37">
        <v>701143273</v>
      </c>
      <c r="G1838" s="37">
        <v>1559329552</v>
      </c>
      <c r="H1838" s="37">
        <v>57378516</v>
      </c>
      <c r="I1838" s="55">
        <f t="shared" si="84"/>
        <v>2837992159</v>
      </c>
      <c r="J1838" s="54">
        <v>0</v>
      </c>
      <c r="K1838" s="56">
        <f t="shared" si="83"/>
        <v>2837992159</v>
      </c>
      <c r="L1838" s="37">
        <v>0</v>
      </c>
      <c r="O1838" s="38" t="str">
        <f>IF([1]totrevprm!O1839="","",[1]totrevprm!O1839)</f>
        <v/>
      </c>
      <c r="V1838" s="38"/>
      <c r="W1838" s="58"/>
      <c r="X1838" s="58"/>
      <c r="Y1838" s="58"/>
      <c r="Z1838" s="58"/>
    </row>
    <row r="1839" spans="1:26">
      <c r="A1839" s="50" t="s">
        <v>76</v>
      </c>
      <c r="B1839" s="51" t="s">
        <v>492</v>
      </c>
      <c r="C1839" s="52"/>
      <c r="D1839" s="53">
        <v>2008</v>
      </c>
      <c r="E1839" s="37">
        <v>548503131</v>
      </c>
      <c r="F1839" s="37">
        <v>960924016</v>
      </c>
      <c r="G1839" s="37">
        <v>1846642203</v>
      </c>
      <c r="H1839" s="37">
        <v>19611140</v>
      </c>
      <c r="I1839" s="55">
        <f t="shared" si="84"/>
        <v>3375680490</v>
      </c>
      <c r="J1839" s="54">
        <v>0</v>
      </c>
      <c r="K1839" s="56">
        <f t="shared" si="83"/>
        <v>3375680490</v>
      </c>
      <c r="L1839" s="37">
        <v>0</v>
      </c>
      <c r="O1839" s="38" t="str">
        <f>IF([1]totrevprm!O1840="","",[1]totrevprm!O1840)</f>
        <v/>
      </c>
      <c r="V1839" s="38"/>
      <c r="W1839" s="58"/>
      <c r="X1839" s="58"/>
      <c r="Y1839" s="58"/>
      <c r="Z1839" s="58"/>
    </row>
    <row r="1840" spans="1:26">
      <c r="A1840" s="50" t="s">
        <v>76</v>
      </c>
      <c r="B1840" s="51" t="s">
        <v>492</v>
      </c>
      <c r="C1840" s="52"/>
      <c r="D1840" s="53">
        <v>2009</v>
      </c>
      <c r="E1840" s="37">
        <v>581361665</v>
      </c>
      <c r="F1840" s="37">
        <v>940916116</v>
      </c>
      <c r="G1840" s="37">
        <v>2023840771</v>
      </c>
      <c r="H1840" s="37">
        <v>23047060</v>
      </c>
      <c r="I1840" s="55">
        <f t="shared" si="84"/>
        <v>3569165612</v>
      </c>
      <c r="J1840" s="54">
        <v>0</v>
      </c>
      <c r="K1840" s="56">
        <f t="shared" si="83"/>
        <v>3569165612</v>
      </c>
      <c r="L1840" s="37">
        <v>0</v>
      </c>
      <c r="O1840" s="38" t="str">
        <f>IF([1]totrevprm!O1841="","",[1]totrevprm!O1841)</f>
        <v/>
      </c>
      <c r="V1840" s="38"/>
      <c r="W1840" s="58"/>
      <c r="X1840" s="58"/>
      <c r="Y1840" s="58"/>
      <c r="Z1840" s="58"/>
    </row>
    <row r="1841" spans="1:26">
      <c r="A1841" s="50" t="s">
        <v>76</v>
      </c>
      <c r="B1841" s="51" t="s">
        <v>492</v>
      </c>
      <c r="C1841" s="52"/>
      <c r="D1841" s="53">
        <v>2010</v>
      </c>
      <c r="E1841" s="37">
        <v>606575632</v>
      </c>
      <c r="F1841" s="37">
        <v>792995584</v>
      </c>
      <c r="G1841" s="37">
        <v>1602643704</v>
      </c>
      <c r="H1841" s="37">
        <v>15715445</v>
      </c>
      <c r="I1841" s="55">
        <f t="shared" si="84"/>
        <v>3017930365</v>
      </c>
      <c r="J1841" s="54">
        <v>0</v>
      </c>
      <c r="K1841" s="56">
        <f t="shared" si="83"/>
        <v>3017930365</v>
      </c>
      <c r="L1841" s="37">
        <v>0</v>
      </c>
      <c r="O1841" s="38" t="str">
        <f>IF([1]totrevprm!O1842="","",[1]totrevprm!O1842)</f>
        <v/>
      </c>
      <c r="V1841" s="38"/>
      <c r="W1841" s="58"/>
      <c r="X1841" s="58"/>
      <c r="Y1841" s="58"/>
      <c r="Z1841" s="58"/>
    </row>
    <row r="1842" spans="1:26">
      <c r="A1842" s="50" t="s">
        <v>76</v>
      </c>
      <c r="B1842" s="51" t="s">
        <v>492</v>
      </c>
      <c r="C1842" s="52"/>
      <c r="D1842" s="53">
        <v>2011</v>
      </c>
      <c r="E1842" s="37">
        <v>628744324</v>
      </c>
      <c r="F1842" s="37">
        <v>824314782</v>
      </c>
      <c r="G1842" s="37">
        <v>1254826753</v>
      </c>
      <c r="H1842" s="37">
        <v>24984765</v>
      </c>
      <c r="I1842" s="55">
        <f t="shared" si="84"/>
        <v>2732870624</v>
      </c>
      <c r="J1842" s="54">
        <v>0</v>
      </c>
      <c r="K1842" s="56">
        <f t="shared" si="83"/>
        <v>2732870624</v>
      </c>
      <c r="L1842" s="37">
        <v>3632716</v>
      </c>
      <c r="M1842" s="67" t="s">
        <v>735</v>
      </c>
      <c r="N1842" t="s">
        <v>708</v>
      </c>
      <c r="O1842" s="38" t="str">
        <f>IF([1]totrevprm!O1843="","",[1]totrevprm!O1843)</f>
        <v/>
      </c>
      <c r="T1842" s="68"/>
      <c r="V1842" s="38"/>
      <c r="W1842" s="58"/>
      <c r="X1842" s="58"/>
      <c r="Y1842" s="58"/>
      <c r="Z1842" s="58"/>
    </row>
    <row r="1843" spans="1:26">
      <c r="A1843" s="50" t="s">
        <v>76</v>
      </c>
      <c r="B1843" s="51" t="s">
        <v>492</v>
      </c>
      <c r="C1843" s="52"/>
      <c r="D1843" s="53">
        <v>2012</v>
      </c>
      <c r="E1843" s="37">
        <v>626118704</v>
      </c>
      <c r="F1843" s="37">
        <v>898080117</v>
      </c>
      <c r="G1843" s="37">
        <v>1393808305</v>
      </c>
      <c r="H1843" s="37">
        <v>33949473</v>
      </c>
      <c r="I1843" s="55">
        <f t="shared" si="84"/>
        <v>2951956599</v>
      </c>
      <c r="J1843" s="54">
        <v>0</v>
      </c>
      <c r="K1843" s="56">
        <f t="shared" si="83"/>
        <v>2951956599</v>
      </c>
      <c r="L1843" s="37">
        <v>2750453</v>
      </c>
      <c r="M1843" s="67" t="s">
        <v>735</v>
      </c>
      <c r="N1843" t="s">
        <v>708</v>
      </c>
      <c r="O1843" s="38" t="str">
        <f>IF([1]totrevprm!O1844="","",[1]totrevprm!O1844)</f>
        <v/>
      </c>
      <c r="T1843" s="68"/>
      <c r="V1843" s="38"/>
      <c r="W1843" s="58"/>
      <c r="X1843" s="58"/>
      <c r="Y1843" s="58"/>
      <c r="Z1843" s="58"/>
    </row>
    <row r="1844" spans="1:26">
      <c r="A1844" s="50" t="s">
        <v>76</v>
      </c>
      <c r="B1844" s="51" t="s">
        <v>492</v>
      </c>
      <c r="C1844" s="52"/>
      <c r="D1844" s="53">
        <v>2013</v>
      </c>
      <c r="E1844" s="37">
        <v>632457585</v>
      </c>
      <c r="F1844" s="37">
        <v>751590817</v>
      </c>
      <c r="G1844" s="37">
        <v>1266820246</v>
      </c>
      <c r="H1844" s="37">
        <v>59664335</v>
      </c>
      <c r="I1844" s="55">
        <f t="shared" si="84"/>
        <v>2710532983</v>
      </c>
      <c r="J1844" s="54">
        <v>0</v>
      </c>
      <c r="K1844" s="56">
        <f t="shared" si="83"/>
        <v>2710532983</v>
      </c>
      <c r="L1844" s="37">
        <v>2913488</v>
      </c>
      <c r="M1844" s="67" t="s">
        <v>735</v>
      </c>
      <c r="N1844" t="s">
        <v>708</v>
      </c>
      <c r="O1844" s="38" t="str">
        <f>IF([1]totrevprm!O1845="","",[1]totrevprm!O1845)</f>
        <v/>
      </c>
      <c r="T1844" s="68"/>
      <c r="V1844" s="38"/>
      <c r="W1844" s="58"/>
      <c r="X1844" s="58"/>
      <c r="Y1844" s="58"/>
      <c r="Z1844" s="58"/>
    </row>
    <row r="1845" spans="1:26">
      <c r="A1845" s="50" t="s">
        <v>76</v>
      </c>
      <c r="B1845" s="51" t="s">
        <v>492</v>
      </c>
      <c r="C1845" s="52"/>
      <c r="D1845" s="53">
        <v>2014</v>
      </c>
      <c r="E1845" s="37">
        <v>621385857</v>
      </c>
      <c r="F1845" s="37">
        <v>871970824</v>
      </c>
      <c r="G1845" s="37">
        <v>1321618288</v>
      </c>
      <c r="H1845" s="37">
        <v>27821019</v>
      </c>
      <c r="I1845" s="55">
        <f t="shared" si="84"/>
        <v>2842795988</v>
      </c>
      <c r="J1845" s="54">
        <v>0</v>
      </c>
      <c r="K1845" s="56">
        <f t="shared" si="83"/>
        <v>2842795988</v>
      </c>
      <c r="L1845" s="37">
        <v>39812615</v>
      </c>
      <c r="M1845" s="67" t="s">
        <v>735</v>
      </c>
      <c r="N1845" t="s">
        <v>708</v>
      </c>
      <c r="O1845" s="38" t="str">
        <f>IF([1]totrevprm!O1846="","",[1]totrevprm!O1846)</f>
        <v/>
      </c>
      <c r="T1845" s="68"/>
      <c r="V1845" s="38"/>
      <c r="W1845" s="58"/>
      <c r="X1845" s="58"/>
      <c r="Y1845" s="58"/>
      <c r="Z1845" s="58"/>
    </row>
    <row r="1846" spans="1:26">
      <c r="A1846" s="50" t="s">
        <v>76</v>
      </c>
      <c r="B1846" s="51" t="s">
        <v>492</v>
      </c>
      <c r="C1846" s="52"/>
      <c r="D1846" s="53">
        <v>2015</v>
      </c>
      <c r="E1846" s="37">
        <v>647884105</v>
      </c>
      <c r="F1846" s="37">
        <v>928364711</v>
      </c>
      <c r="G1846" s="37">
        <v>1358830261</v>
      </c>
      <c r="H1846" s="37">
        <v>26525285</v>
      </c>
      <c r="I1846" s="55">
        <f t="shared" si="84"/>
        <v>2961604362</v>
      </c>
      <c r="J1846" s="54">
        <v>0</v>
      </c>
      <c r="K1846" s="56">
        <f t="shared" si="83"/>
        <v>2961604362</v>
      </c>
      <c r="L1846" s="37">
        <v>22554247</v>
      </c>
      <c r="M1846" s="67" t="s">
        <v>735</v>
      </c>
      <c r="N1846" t="s">
        <v>708</v>
      </c>
      <c r="O1846" s="38" t="str">
        <f>IF([1]totrevprm!O1847="","",[1]totrevprm!O1847)</f>
        <v/>
      </c>
      <c r="P1846" s="35">
        <v>97914528.703905463</v>
      </c>
      <c r="Q1846" s="35">
        <v>32501611.84</v>
      </c>
      <c r="T1846" s="68"/>
      <c r="V1846" s="38"/>
      <c r="W1846" s="58"/>
      <c r="X1846" s="58"/>
      <c r="Y1846" s="58"/>
      <c r="Z1846" s="58"/>
    </row>
    <row r="1847" spans="1:26">
      <c r="A1847" s="50" t="s">
        <v>76</v>
      </c>
      <c r="B1847" s="51" t="s">
        <v>492</v>
      </c>
      <c r="C1847" s="52"/>
      <c r="D1847" s="53">
        <v>2016</v>
      </c>
      <c r="E1847" s="37">
        <v>620869620</v>
      </c>
      <c r="F1847" s="37">
        <v>1145015602</v>
      </c>
      <c r="G1847" s="37">
        <v>1437658314</v>
      </c>
      <c r="H1847" s="37">
        <v>34588604</v>
      </c>
      <c r="I1847" s="55">
        <f t="shared" si="84"/>
        <v>3238132140</v>
      </c>
      <c r="J1847" s="54">
        <v>0</v>
      </c>
      <c r="K1847" s="56">
        <f t="shared" si="83"/>
        <v>3238132140</v>
      </c>
      <c r="L1847" s="37">
        <v>14624609</v>
      </c>
      <c r="M1847" s="67" t="s">
        <v>735</v>
      </c>
      <c r="N1847" t="s">
        <v>708</v>
      </c>
      <c r="O1847" s="38" t="str">
        <f>IF([1]totrevprm!O1848="","",[1]totrevprm!O1848)</f>
        <v/>
      </c>
      <c r="P1847" s="35">
        <v>101435792.43769172</v>
      </c>
      <c r="Q1847" s="35">
        <v>33014967.620000001</v>
      </c>
      <c r="T1847" s="68"/>
      <c r="V1847" s="38"/>
      <c r="W1847" s="58"/>
      <c r="X1847" s="58"/>
      <c r="Y1847" s="58"/>
      <c r="Z1847" s="58"/>
    </row>
    <row r="1848" spans="1:26">
      <c r="A1848" s="50" t="s">
        <v>76</v>
      </c>
      <c r="B1848" s="51" t="s">
        <v>492</v>
      </c>
      <c r="C1848" s="52"/>
      <c r="D1848" s="53">
        <v>2017</v>
      </c>
      <c r="E1848" s="37">
        <v>652582690</v>
      </c>
      <c r="F1848" s="37">
        <v>917032089</v>
      </c>
      <c r="G1848" s="37">
        <v>1457337254</v>
      </c>
      <c r="H1848" s="37">
        <v>7490369</v>
      </c>
      <c r="I1848" s="55">
        <f t="shared" si="84"/>
        <v>3034442402</v>
      </c>
      <c r="J1848" s="54">
        <v>0</v>
      </c>
      <c r="K1848" s="56">
        <f t="shared" si="83"/>
        <v>3034442402</v>
      </c>
      <c r="L1848" s="60">
        <v>7713882</v>
      </c>
      <c r="M1848" s="67" t="s">
        <v>735</v>
      </c>
      <c r="N1848" t="s">
        <v>708</v>
      </c>
      <c r="O1848" s="38" t="str">
        <f>IF([1]totrevprm!O1849="","",[1]totrevprm!O1849)</f>
        <v/>
      </c>
      <c r="P1848" s="35">
        <v>107323390.53435762</v>
      </c>
      <c r="Q1848" s="35">
        <v>32111611.039999999</v>
      </c>
      <c r="T1848" s="68"/>
      <c r="V1848" s="38"/>
      <c r="W1848" s="58"/>
      <c r="X1848" s="58"/>
      <c r="Y1848" s="58"/>
      <c r="Z1848" s="58"/>
    </row>
    <row r="1849" spans="1:26">
      <c r="A1849" s="50" t="s">
        <v>76</v>
      </c>
      <c r="B1849" s="51" t="s">
        <v>492</v>
      </c>
      <c r="C1849" s="52"/>
      <c r="D1849" s="53">
        <v>2018</v>
      </c>
      <c r="E1849" s="37">
        <v>655563565</v>
      </c>
      <c r="F1849" s="37">
        <v>1052164060</v>
      </c>
      <c r="G1849" s="37">
        <v>1623204148.28</v>
      </c>
      <c r="H1849" s="37">
        <v>12205993</v>
      </c>
      <c r="I1849" s="55">
        <f t="shared" si="84"/>
        <v>3343137766.2799997</v>
      </c>
      <c r="J1849" s="54">
        <v>0</v>
      </c>
      <c r="K1849" s="56">
        <f t="shared" si="83"/>
        <v>3343137766.2799997</v>
      </c>
      <c r="L1849" s="60">
        <v>11501863</v>
      </c>
      <c r="M1849" s="69" t="s">
        <v>736</v>
      </c>
      <c r="N1849" t="s">
        <v>708</v>
      </c>
      <c r="O1849" s="38" t="str">
        <f>IF([1]totrevprm!O1850="","",[1]totrevprm!O1850)</f>
        <v>Yes</v>
      </c>
      <c r="P1849" s="35">
        <v>110144238.55631076</v>
      </c>
      <c r="Q1849" s="35">
        <v>31164008.79596274</v>
      </c>
      <c r="R1849" s="36"/>
      <c r="T1849" s="68"/>
      <c r="V1849" s="38"/>
      <c r="W1849" s="58"/>
      <c r="X1849" s="58"/>
      <c r="Y1849" s="58"/>
      <c r="Z1849" s="58"/>
    </row>
    <row r="1850" spans="1:26">
      <c r="A1850" s="50" t="s">
        <v>76</v>
      </c>
      <c r="B1850" s="51" t="s">
        <v>492</v>
      </c>
      <c r="C1850" s="52"/>
      <c r="D1850" s="53">
        <v>2019</v>
      </c>
      <c r="E1850" s="37">
        <v>660901675</v>
      </c>
      <c r="F1850" s="37">
        <v>1075409692</v>
      </c>
      <c r="G1850" s="37">
        <v>1636226769.4137001</v>
      </c>
      <c r="H1850" s="37">
        <v>24046746</v>
      </c>
      <c r="I1850" s="55">
        <f t="shared" si="84"/>
        <v>3396584882.4137001</v>
      </c>
      <c r="J1850" s="54">
        <v>0</v>
      </c>
      <c r="K1850" s="56">
        <f t="shared" si="83"/>
        <v>3396584882.4137001</v>
      </c>
      <c r="L1850" s="60">
        <v>11622861</v>
      </c>
      <c r="M1850" s="69" t="s">
        <v>738</v>
      </c>
      <c r="N1850" t="s">
        <v>708</v>
      </c>
      <c r="O1850" s="38" t="str">
        <f>IF([1]totrevprm!O1851="","",[1]totrevprm!O1851)</f>
        <v/>
      </c>
      <c r="P1850" s="35">
        <v>108425205.06159765</v>
      </c>
      <c r="Q1850" s="35">
        <v>28936419.280000001</v>
      </c>
      <c r="R1850" s="36"/>
      <c r="T1850" s="68"/>
      <c r="V1850" s="38"/>
      <c r="W1850" s="58"/>
      <c r="X1850" s="58"/>
      <c r="Y1850" s="58"/>
      <c r="Z1850" s="58"/>
    </row>
    <row r="1851" spans="1:26">
      <c r="A1851" s="50" t="s">
        <v>76</v>
      </c>
      <c r="B1851" s="51" t="s">
        <v>492</v>
      </c>
      <c r="C1851" s="52"/>
      <c r="D1851" s="53">
        <v>2020</v>
      </c>
      <c r="E1851" s="37">
        <v>666454550</v>
      </c>
      <c r="F1851" s="37">
        <v>1091644294</v>
      </c>
      <c r="G1851" s="37">
        <v>1641809453</v>
      </c>
      <c r="H1851" s="37">
        <v>34578815</v>
      </c>
      <c r="I1851" s="55">
        <f t="shared" si="84"/>
        <v>3434487112</v>
      </c>
      <c r="J1851" s="54">
        <v>0</v>
      </c>
      <c r="K1851" s="56">
        <f t="shared" si="83"/>
        <v>3434487112</v>
      </c>
      <c r="L1851" s="60">
        <v>20394331</v>
      </c>
      <c r="M1851" s="69" t="s">
        <v>738</v>
      </c>
      <c r="N1851" t="s">
        <v>708</v>
      </c>
      <c r="O1851" s="38" t="str">
        <f>IF([1]totrevprm!O1852="","",[1]totrevprm!O1852)</f>
        <v/>
      </c>
      <c r="P1851" s="35">
        <v>108499181</v>
      </c>
      <c r="Q1851" s="35">
        <v>28287954</v>
      </c>
      <c r="R1851" s="36"/>
      <c r="T1851" s="68"/>
      <c r="V1851" s="38"/>
      <c r="W1851" s="58"/>
      <c r="X1851" s="58"/>
      <c r="Y1851" s="58"/>
      <c r="Z1851" s="58"/>
    </row>
    <row r="1852" spans="1:26">
      <c r="A1852" s="50" t="s">
        <v>76</v>
      </c>
      <c r="B1852" s="51" t="s">
        <v>492</v>
      </c>
      <c r="C1852" s="52"/>
      <c r="D1852" s="53">
        <v>2021</v>
      </c>
      <c r="E1852" s="37">
        <v>728334287</v>
      </c>
      <c r="F1852" s="37">
        <v>1173668958</v>
      </c>
      <c r="G1852" s="37">
        <v>1603862547.77</v>
      </c>
      <c r="H1852" s="37">
        <v>21123367</v>
      </c>
      <c r="I1852" s="55">
        <f t="shared" si="84"/>
        <v>3526989159.77</v>
      </c>
      <c r="J1852" s="54">
        <v>0</v>
      </c>
      <c r="K1852" s="56">
        <f t="shared" si="83"/>
        <v>3526989159.77</v>
      </c>
      <c r="L1852" s="54">
        <v>0</v>
      </c>
      <c r="M1852" s="69" t="s">
        <v>739</v>
      </c>
      <c r="N1852" t="s">
        <v>708</v>
      </c>
      <c r="O1852" s="38"/>
      <c r="P1852" s="35">
        <v>104254723.47</v>
      </c>
      <c r="Q1852" s="35">
        <v>28859551</v>
      </c>
      <c r="R1852" s="36"/>
      <c r="T1852" s="68"/>
      <c r="V1852" s="38"/>
      <c r="W1852" s="58"/>
      <c r="X1852" s="58"/>
      <c r="Y1852" s="58"/>
      <c r="Z1852" s="58"/>
    </row>
    <row r="1853" spans="1:26">
      <c r="A1853" s="50" t="s">
        <v>76</v>
      </c>
      <c r="B1853" s="51" t="s">
        <v>492</v>
      </c>
      <c r="C1853" s="52"/>
      <c r="D1853" s="53">
        <v>2022</v>
      </c>
      <c r="E1853" s="37">
        <v>712335863</v>
      </c>
      <c r="F1853" s="37">
        <v>1511886658</v>
      </c>
      <c r="G1853" s="37">
        <v>1747666912</v>
      </c>
      <c r="H1853" s="37">
        <v>18229791</v>
      </c>
      <c r="I1853" s="55">
        <f t="shared" si="84"/>
        <v>3990119224</v>
      </c>
      <c r="J1853" s="54">
        <v>0</v>
      </c>
      <c r="K1853" s="56">
        <f t="shared" si="83"/>
        <v>3990119224</v>
      </c>
      <c r="L1853" s="54">
        <v>0</v>
      </c>
      <c r="M1853" s="69" t="s">
        <v>739</v>
      </c>
      <c r="N1853" t="s">
        <v>708</v>
      </c>
      <c r="O1853" s="38" t="str">
        <f>IF([1]totrevprm!O1856="","",[1]totrevprm!O1856)</f>
        <v/>
      </c>
      <c r="P1853" s="60">
        <v>134563514</v>
      </c>
      <c r="Q1853" s="60">
        <v>28741807</v>
      </c>
    </row>
    <row r="1854" spans="1:26">
      <c r="A1854" s="50" t="s">
        <v>76</v>
      </c>
      <c r="B1854" s="51" t="s">
        <v>492</v>
      </c>
      <c r="C1854" s="52"/>
      <c r="D1854" s="53">
        <v>2023</v>
      </c>
      <c r="E1854" s="37">
        <v>717130233</v>
      </c>
      <c r="F1854" s="37">
        <v>1929921155.5896001</v>
      </c>
      <c r="G1854" s="37">
        <v>1894622934.7207</v>
      </c>
      <c r="H1854" s="37">
        <v>16774530</v>
      </c>
      <c r="I1854" s="55">
        <f t="shared" si="84"/>
        <v>4558448853.3102999</v>
      </c>
      <c r="J1854" s="54">
        <v>0</v>
      </c>
      <c r="K1854" s="56">
        <f t="shared" si="83"/>
        <v>4558448853.3102999</v>
      </c>
      <c r="L1854" s="37">
        <v>0</v>
      </c>
      <c r="M1854" s="69" t="s">
        <v>739</v>
      </c>
      <c r="O1854" s="38"/>
      <c r="P1854" s="60">
        <v>126355622.01000001</v>
      </c>
      <c r="Q1854" s="60">
        <v>27887374</v>
      </c>
    </row>
    <row r="1855" spans="1:26">
      <c r="A1855" s="50"/>
      <c r="B1855" s="52"/>
      <c r="C1855" s="52"/>
      <c r="E1855" s="54"/>
      <c r="F1855" s="54"/>
      <c r="G1855" s="54"/>
      <c r="H1855" s="54"/>
      <c r="I1855" s="55"/>
      <c r="K1855" s="65"/>
      <c r="L1855" s="54"/>
      <c r="O1855" s="38"/>
    </row>
    <row r="1856" spans="1:26">
      <c r="A1856" s="50" t="s">
        <v>77</v>
      </c>
      <c r="B1856" s="51" t="s">
        <v>257</v>
      </c>
      <c r="C1856" s="52" t="s">
        <v>730</v>
      </c>
      <c r="D1856" s="53">
        <v>1988</v>
      </c>
      <c r="E1856" s="54">
        <v>983454251</v>
      </c>
      <c r="F1856" s="54">
        <v>1187279276</v>
      </c>
      <c r="G1856" s="54">
        <v>1120812622</v>
      </c>
      <c r="H1856" s="54">
        <v>0</v>
      </c>
      <c r="I1856" s="55">
        <f t="shared" si="84"/>
        <v>3291546149</v>
      </c>
      <c r="J1856" s="54">
        <v>-1942631</v>
      </c>
      <c r="K1856" s="56">
        <f>SUM(I1856:J1856)</f>
        <v>3289603518</v>
      </c>
      <c r="L1856" s="37">
        <v>0</v>
      </c>
      <c r="O1856" s="38" t="str">
        <f>IF([1]totrevprm!O1857="","",[1]totrevprm!O1857)</f>
        <v/>
      </c>
    </row>
    <row r="1857" spans="1:26">
      <c r="A1857" s="50" t="s">
        <v>77</v>
      </c>
      <c r="B1857" s="51" t="s">
        <v>257</v>
      </c>
      <c r="C1857" s="52" t="s">
        <v>731</v>
      </c>
      <c r="D1857" s="53">
        <v>1989</v>
      </c>
      <c r="E1857" s="54">
        <v>939877756</v>
      </c>
      <c r="F1857" s="54">
        <v>1340779418</v>
      </c>
      <c r="G1857" s="54">
        <v>1246550050</v>
      </c>
      <c r="H1857" s="54">
        <v>0</v>
      </c>
      <c r="I1857" s="55">
        <f t="shared" si="84"/>
        <v>3527207224</v>
      </c>
      <c r="J1857" s="54">
        <v>-3855177</v>
      </c>
      <c r="K1857" s="56">
        <f t="shared" ref="K1857:K1886" si="85">SUM(I1857:J1857)</f>
        <v>3523352047</v>
      </c>
      <c r="L1857" s="37">
        <v>0</v>
      </c>
      <c r="O1857" s="38" t="str">
        <f>IF([1]totrevprm!O1858="","",[1]totrevprm!O1858)</f>
        <v/>
      </c>
    </row>
    <row r="1858" spans="1:26">
      <c r="A1858" s="50" t="s">
        <v>77</v>
      </c>
      <c r="B1858" s="51" t="s">
        <v>257</v>
      </c>
      <c r="C1858" s="52" t="s">
        <v>731</v>
      </c>
      <c r="D1858" s="53">
        <v>1990</v>
      </c>
      <c r="E1858" s="54">
        <v>982868253</v>
      </c>
      <c r="F1858" s="54">
        <v>1455954371.1600001</v>
      </c>
      <c r="G1858" s="54">
        <v>1381928234</v>
      </c>
      <c r="H1858" s="54">
        <v>0</v>
      </c>
      <c r="I1858" s="55">
        <f t="shared" si="84"/>
        <v>3820750858.1599998</v>
      </c>
      <c r="J1858" s="54">
        <v>-4112214</v>
      </c>
      <c r="K1858" s="56">
        <f t="shared" si="85"/>
        <v>3816638644.1599998</v>
      </c>
      <c r="L1858" s="37">
        <v>0</v>
      </c>
      <c r="O1858" s="38" t="str">
        <f>IF([1]totrevprm!O1859="","",[1]totrevprm!O1859)</f>
        <v/>
      </c>
    </row>
    <row r="1859" spans="1:26">
      <c r="A1859" s="50" t="s">
        <v>77</v>
      </c>
      <c r="B1859" s="51" t="s">
        <v>257</v>
      </c>
      <c r="C1859" s="52" t="s">
        <v>731</v>
      </c>
      <c r="D1859" s="53">
        <v>1991</v>
      </c>
      <c r="E1859" s="54">
        <v>1076399245</v>
      </c>
      <c r="F1859" s="54">
        <v>1357274758</v>
      </c>
      <c r="G1859" s="54">
        <v>1469942227</v>
      </c>
      <c r="H1859" s="54">
        <v>0</v>
      </c>
      <c r="I1859" s="55">
        <f t="shared" si="84"/>
        <v>3903616230</v>
      </c>
      <c r="J1859" s="54">
        <v>-731513</v>
      </c>
      <c r="K1859" s="56">
        <f t="shared" si="85"/>
        <v>3902884717</v>
      </c>
      <c r="L1859" s="37">
        <v>0</v>
      </c>
      <c r="O1859" s="38" t="str">
        <f>IF([1]totrevprm!O1860="","",[1]totrevprm!O1860)</f>
        <v/>
      </c>
    </row>
    <row r="1860" spans="1:26">
      <c r="A1860" s="50" t="s">
        <v>77</v>
      </c>
      <c r="B1860" s="51" t="s">
        <v>257</v>
      </c>
      <c r="C1860" s="52" t="s">
        <v>731</v>
      </c>
      <c r="D1860" s="53">
        <v>1992</v>
      </c>
      <c r="E1860" s="54">
        <v>1135747271</v>
      </c>
      <c r="F1860" s="54">
        <v>1301215746.5599999</v>
      </c>
      <c r="G1860" s="54">
        <v>1571640097</v>
      </c>
      <c r="H1860" s="54">
        <v>0</v>
      </c>
      <c r="I1860" s="55">
        <f t="shared" si="84"/>
        <v>4008603114.5599999</v>
      </c>
      <c r="J1860" s="54">
        <v>-157027</v>
      </c>
      <c r="K1860" s="56">
        <f t="shared" si="85"/>
        <v>4008446087.5599999</v>
      </c>
      <c r="L1860" s="37">
        <v>0</v>
      </c>
      <c r="O1860" s="38" t="str">
        <f>IF([1]totrevprm!O1861="","",[1]totrevprm!O1861)</f>
        <v/>
      </c>
    </row>
    <row r="1861" spans="1:26">
      <c r="A1861" s="50" t="s">
        <v>77</v>
      </c>
      <c r="B1861" s="51" t="s">
        <v>257</v>
      </c>
      <c r="C1861" s="52" t="s">
        <v>731</v>
      </c>
      <c r="D1861" s="53">
        <v>1993</v>
      </c>
      <c r="E1861" s="54">
        <v>1202592049</v>
      </c>
      <c r="F1861" s="54">
        <v>1112059894</v>
      </c>
      <c r="G1861" s="54">
        <v>1686502690</v>
      </c>
      <c r="H1861" s="54">
        <v>0</v>
      </c>
      <c r="I1861" s="55">
        <f t="shared" si="84"/>
        <v>4001154633</v>
      </c>
      <c r="J1861" s="54">
        <v>-1673382</v>
      </c>
      <c r="K1861" s="56">
        <f t="shared" si="85"/>
        <v>3999481251</v>
      </c>
      <c r="L1861" s="37">
        <v>0</v>
      </c>
      <c r="O1861" s="38" t="str">
        <f>IF([1]totrevprm!O1862="","",[1]totrevprm!O1862)</f>
        <v/>
      </c>
    </row>
    <row r="1862" spans="1:26">
      <c r="A1862" s="50" t="s">
        <v>77</v>
      </c>
      <c r="B1862" s="51" t="s">
        <v>257</v>
      </c>
      <c r="C1862" s="52" t="s">
        <v>731</v>
      </c>
      <c r="D1862" s="53">
        <v>1994</v>
      </c>
      <c r="E1862" s="54">
        <v>1268795868</v>
      </c>
      <c r="F1862" s="54">
        <v>1319815450</v>
      </c>
      <c r="G1862" s="54">
        <v>1745011167</v>
      </c>
      <c r="H1862" s="54">
        <v>0</v>
      </c>
      <c r="I1862" s="55">
        <f t="shared" si="84"/>
        <v>4333622485</v>
      </c>
      <c r="J1862" s="54">
        <v>-5148867</v>
      </c>
      <c r="K1862" s="56">
        <f t="shared" si="85"/>
        <v>4328473618</v>
      </c>
      <c r="L1862" s="37">
        <v>0</v>
      </c>
      <c r="O1862" s="38" t="str">
        <f>IF([1]totrevprm!O1863="","",[1]totrevprm!O1863)</f>
        <v/>
      </c>
    </row>
    <row r="1863" spans="1:26">
      <c r="A1863" s="50" t="s">
        <v>77</v>
      </c>
      <c r="B1863" s="51" t="s">
        <v>257</v>
      </c>
      <c r="C1863" s="52" t="s">
        <v>731</v>
      </c>
      <c r="D1863" s="53">
        <v>1995</v>
      </c>
      <c r="E1863" s="54">
        <v>1377155879</v>
      </c>
      <c r="F1863" s="54">
        <v>1530405980</v>
      </c>
      <c r="G1863" s="54">
        <v>1767044880</v>
      </c>
      <c r="H1863" s="54">
        <v>0</v>
      </c>
      <c r="I1863" s="55">
        <f t="shared" si="84"/>
        <v>4674606739</v>
      </c>
      <c r="J1863" s="54">
        <v>-2135112</v>
      </c>
      <c r="K1863" s="56">
        <f t="shared" si="85"/>
        <v>4672471627</v>
      </c>
      <c r="L1863" s="37">
        <v>0</v>
      </c>
      <c r="O1863" s="38" t="str">
        <f>IF([1]totrevprm!O1864="","",[1]totrevprm!O1864)</f>
        <v/>
      </c>
    </row>
    <row r="1864" spans="1:26">
      <c r="A1864" s="50" t="s">
        <v>77</v>
      </c>
      <c r="B1864" s="51" t="s">
        <v>257</v>
      </c>
      <c r="C1864" s="52" t="s">
        <v>731</v>
      </c>
      <c r="D1864" s="53">
        <v>1996</v>
      </c>
      <c r="E1864" s="54">
        <v>1388187363</v>
      </c>
      <c r="F1864" s="54">
        <v>1123817700</v>
      </c>
      <c r="G1864" s="54">
        <v>2117462093</v>
      </c>
      <c r="H1864" s="54">
        <v>0</v>
      </c>
      <c r="I1864" s="55">
        <f t="shared" si="84"/>
        <v>4629467156</v>
      </c>
      <c r="J1864" s="54">
        <v>-9</v>
      </c>
      <c r="K1864" s="56">
        <f t="shared" si="85"/>
        <v>4629467147</v>
      </c>
      <c r="L1864" s="37">
        <v>0</v>
      </c>
      <c r="O1864" s="38" t="str">
        <f>IF([1]totrevprm!O1865="","",[1]totrevprm!O1865)</f>
        <v/>
      </c>
    </row>
    <row r="1865" spans="1:26">
      <c r="A1865" s="50" t="s">
        <v>77</v>
      </c>
      <c r="B1865" s="51" t="s">
        <v>257</v>
      </c>
      <c r="C1865" s="52" t="s">
        <v>731</v>
      </c>
      <c r="D1865" s="53">
        <v>1997</v>
      </c>
      <c r="E1865" s="54">
        <v>1330673454</v>
      </c>
      <c r="F1865" s="54">
        <v>1296128142</v>
      </c>
      <c r="G1865" s="54">
        <v>1966606840</v>
      </c>
      <c r="H1865" s="54">
        <v>0</v>
      </c>
      <c r="I1865" s="55">
        <f t="shared" si="84"/>
        <v>4593408436</v>
      </c>
      <c r="J1865" s="54">
        <v>-1441995</v>
      </c>
      <c r="K1865" s="56">
        <f t="shared" si="85"/>
        <v>4591966441</v>
      </c>
      <c r="L1865" s="37">
        <v>0</v>
      </c>
      <c r="O1865" s="38" t="str">
        <f>IF([1]totrevprm!O1866="","",[1]totrevprm!O1866)</f>
        <v/>
      </c>
    </row>
    <row r="1866" spans="1:26">
      <c r="A1866" s="50" t="s">
        <v>77</v>
      </c>
      <c r="B1866" s="51" t="s">
        <v>257</v>
      </c>
      <c r="C1866" s="52" t="s">
        <v>731</v>
      </c>
      <c r="D1866" s="53">
        <v>1998</v>
      </c>
      <c r="E1866" s="54">
        <v>1666545855</v>
      </c>
      <c r="F1866" s="54">
        <v>1359800366</v>
      </c>
      <c r="G1866" s="54">
        <v>2701101642</v>
      </c>
      <c r="H1866" s="54">
        <v>0</v>
      </c>
      <c r="I1866" s="55">
        <f t="shared" si="84"/>
        <v>5727447863</v>
      </c>
      <c r="J1866" s="54">
        <v>-16</v>
      </c>
      <c r="K1866" s="56">
        <f t="shared" si="85"/>
        <v>5727447847</v>
      </c>
      <c r="L1866" s="37">
        <v>0</v>
      </c>
      <c r="O1866" s="38" t="str">
        <f>IF([1]totrevprm!O1867="","",[1]totrevprm!O1867)</f>
        <v/>
      </c>
    </row>
    <row r="1867" spans="1:26">
      <c r="A1867" s="50" t="s">
        <v>77</v>
      </c>
      <c r="B1867" s="51" t="s">
        <v>257</v>
      </c>
      <c r="C1867" s="52" t="s">
        <v>731</v>
      </c>
      <c r="D1867" s="53">
        <v>1999</v>
      </c>
      <c r="E1867" s="54">
        <v>1487871383</v>
      </c>
      <c r="F1867" s="54">
        <v>1571644120</v>
      </c>
      <c r="G1867" s="54">
        <v>2914712068</v>
      </c>
      <c r="H1867" s="54">
        <v>0</v>
      </c>
      <c r="I1867" s="55">
        <f t="shared" si="84"/>
        <v>5974227571</v>
      </c>
      <c r="J1867" s="54">
        <v>-9476</v>
      </c>
      <c r="K1867" s="56">
        <f t="shared" si="85"/>
        <v>5974218095</v>
      </c>
      <c r="L1867" s="37">
        <v>0</v>
      </c>
      <c r="O1867" s="38" t="str">
        <f>IF([1]totrevprm!O1868="","",[1]totrevprm!O1868)</f>
        <v/>
      </c>
    </row>
    <row r="1868" spans="1:26">
      <c r="A1868" s="50" t="s">
        <v>77</v>
      </c>
      <c r="B1868" s="51" t="s">
        <v>257</v>
      </c>
      <c r="C1868" s="52" t="s">
        <v>731</v>
      </c>
      <c r="D1868" s="53">
        <v>2000</v>
      </c>
      <c r="E1868" s="54">
        <v>1430064071</v>
      </c>
      <c r="F1868" s="54">
        <v>1770580874</v>
      </c>
      <c r="G1868" s="54">
        <v>3222048692</v>
      </c>
      <c r="H1868" s="54">
        <v>0</v>
      </c>
      <c r="I1868" s="55">
        <f t="shared" si="84"/>
        <v>6422693637</v>
      </c>
      <c r="J1868" s="54">
        <v>-4007509</v>
      </c>
      <c r="K1868" s="56">
        <f t="shared" si="85"/>
        <v>6418686128</v>
      </c>
      <c r="L1868" s="37">
        <v>0</v>
      </c>
      <c r="O1868" s="38" t="str">
        <f>IF([1]totrevprm!O1869="","",[1]totrevprm!O1869)</f>
        <v/>
      </c>
      <c r="V1868" s="38" t="s">
        <v>257</v>
      </c>
      <c r="W1868" s="58">
        <v>935815</v>
      </c>
      <c r="X1868" s="58">
        <v>5949091</v>
      </c>
      <c r="Y1868" s="58">
        <v>14622226</v>
      </c>
      <c r="Z1868" s="58">
        <v>0</v>
      </c>
    </row>
    <row r="1869" spans="1:26">
      <c r="A1869" s="50" t="s">
        <v>77</v>
      </c>
      <c r="B1869" s="51" t="s">
        <v>257</v>
      </c>
      <c r="C1869" s="52" t="s">
        <v>731</v>
      </c>
      <c r="D1869" s="53">
        <v>2001</v>
      </c>
      <c r="E1869" s="54">
        <v>1501528707</v>
      </c>
      <c r="F1869" s="54">
        <v>2279654961</v>
      </c>
      <c r="G1869" s="54">
        <v>3549289750</v>
      </c>
      <c r="H1869" s="54">
        <v>0</v>
      </c>
      <c r="I1869" s="55">
        <f t="shared" si="84"/>
        <v>7330473418</v>
      </c>
      <c r="J1869" s="54">
        <v>-1625270</v>
      </c>
      <c r="K1869" s="56">
        <f t="shared" si="85"/>
        <v>7328848148</v>
      </c>
      <c r="L1869" s="37">
        <v>0</v>
      </c>
      <c r="O1869" s="38" t="str">
        <f>IF([1]totrevprm!O1870="","",[1]totrevprm!O1870)</f>
        <v/>
      </c>
      <c r="V1869" s="38"/>
      <c r="W1869" s="58"/>
      <c r="X1869" s="58"/>
      <c r="Y1869" s="58"/>
      <c r="Z1869" s="58"/>
    </row>
    <row r="1870" spans="1:26">
      <c r="A1870" s="50" t="s">
        <v>77</v>
      </c>
      <c r="B1870" s="51" t="s">
        <v>257</v>
      </c>
      <c r="C1870" s="52" t="s">
        <v>731</v>
      </c>
      <c r="D1870" s="53">
        <v>2002</v>
      </c>
      <c r="E1870" s="54">
        <v>1444948195</v>
      </c>
      <c r="F1870" s="54">
        <v>3123055348</v>
      </c>
      <c r="G1870" s="54">
        <v>3713329481</v>
      </c>
      <c r="H1870" s="54">
        <v>0</v>
      </c>
      <c r="I1870" s="55">
        <f t="shared" si="84"/>
        <v>8281333024</v>
      </c>
      <c r="J1870" s="54">
        <v>-680333</v>
      </c>
      <c r="K1870" s="56">
        <f t="shared" si="85"/>
        <v>8280652691</v>
      </c>
      <c r="L1870" s="37">
        <v>0</v>
      </c>
      <c r="O1870" s="38" t="str">
        <f>IF([1]totrevprm!O1871="","",[1]totrevprm!O1871)</f>
        <v/>
      </c>
      <c r="V1870" s="38"/>
      <c r="W1870" s="58"/>
      <c r="X1870" s="58"/>
      <c r="Y1870" s="58"/>
      <c r="Z1870" s="58"/>
    </row>
    <row r="1871" spans="1:26">
      <c r="A1871" s="50" t="s">
        <v>77</v>
      </c>
      <c r="B1871" s="51" t="s">
        <v>257</v>
      </c>
      <c r="C1871" s="52" t="s">
        <v>731</v>
      </c>
      <c r="D1871" s="53">
        <v>2003</v>
      </c>
      <c r="E1871" s="59">
        <v>1655657032</v>
      </c>
      <c r="F1871" s="59">
        <v>2605889350</v>
      </c>
      <c r="G1871" s="59">
        <v>3932606069</v>
      </c>
      <c r="H1871" s="54">
        <v>0</v>
      </c>
      <c r="I1871" s="55">
        <f t="shared" si="84"/>
        <v>8194152451</v>
      </c>
      <c r="J1871" s="54">
        <v>-638</v>
      </c>
      <c r="K1871" s="56">
        <f t="shared" si="85"/>
        <v>8194151813</v>
      </c>
      <c r="L1871" s="37">
        <v>0</v>
      </c>
      <c r="O1871" s="38" t="str">
        <f>IF([1]totrevprm!O1872="","",[1]totrevprm!O1872)</f>
        <v/>
      </c>
      <c r="V1871" s="38"/>
      <c r="W1871" s="58"/>
      <c r="X1871" s="58"/>
      <c r="Y1871" s="58"/>
      <c r="Z1871" s="58"/>
    </row>
    <row r="1872" spans="1:26">
      <c r="A1872" s="50" t="s">
        <v>77</v>
      </c>
      <c r="B1872" s="51" t="s">
        <v>257</v>
      </c>
      <c r="C1872" s="52" t="s">
        <v>820</v>
      </c>
      <c r="D1872" s="53">
        <v>2004</v>
      </c>
      <c r="E1872" s="59">
        <v>1730265571</v>
      </c>
      <c r="F1872" s="59">
        <v>2325831748</v>
      </c>
      <c r="G1872" s="59">
        <v>4064383321</v>
      </c>
      <c r="H1872" s="54">
        <v>0</v>
      </c>
      <c r="I1872" s="55">
        <f t="shared" si="84"/>
        <v>8120480640</v>
      </c>
      <c r="J1872" s="54">
        <v>-8189917</v>
      </c>
      <c r="K1872" s="56">
        <f t="shared" si="85"/>
        <v>8112290723</v>
      </c>
      <c r="L1872" s="37">
        <v>0</v>
      </c>
      <c r="O1872" s="38" t="str">
        <f>IF([1]totrevprm!O1873="","",[1]totrevprm!O1873)</f>
        <v/>
      </c>
      <c r="V1872" s="38"/>
      <c r="W1872" s="58"/>
      <c r="X1872" s="58"/>
      <c r="Y1872" s="58"/>
      <c r="Z1872" s="58"/>
    </row>
    <row r="1873" spans="1:26">
      <c r="A1873" s="50" t="s">
        <v>77</v>
      </c>
      <c r="B1873" s="51" t="s">
        <v>257</v>
      </c>
      <c r="C1873" s="52"/>
      <c r="D1873" s="53">
        <v>2005</v>
      </c>
      <c r="E1873" s="59">
        <v>1765205723</v>
      </c>
      <c r="F1873" s="59">
        <v>1755752897</v>
      </c>
      <c r="G1873" s="59">
        <v>4591263222.8699903</v>
      </c>
      <c r="H1873" s="54">
        <v>0</v>
      </c>
      <c r="I1873" s="55">
        <f t="shared" si="84"/>
        <v>8112221842.8699903</v>
      </c>
      <c r="J1873" s="54">
        <v>-458474</v>
      </c>
      <c r="K1873" s="56">
        <f t="shared" si="85"/>
        <v>8111763368.8699903</v>
      </c>
      <c r="L1873" s="37">
        <v>0</v>
      </c>
      <c r="O1873" s="38" t="str">
        <f>IF([1]totrevprm!O1874="","",[1]totrevprm!O1874)</f>
        <v/>
      </c>
      <c r="V1873" s="38"/>
      <c r="W1873" s="58"/>
      <c r="X1873" s="58"/>
      <c r="Y1873" s="58"/>
      <c r="Z1873" s="58"/>
    </row>
    <row r="1874" spans="1:26">
      <c r="A1874" s="50" t="s">
        <v>77</v>
      </c>
      <c r="B1874" s="51" t="s">
        <v>257</v>
      </c>
      <c r="C1874" s="52"/>
      <c r="D1874" s="53">
        <v>2006</v>
      </c>
      <c r="E1874" s="37">
        <v>1861350986</v>
      </c>
      <c r="F1874" s="37">
        <v>2269001472</v>
      </c>
      <c r="G1874" s="37">
        <v>4529139294</v>
      </c>
      <c r="H1874" s="37">
        <v>0</v>
      </c>
      <c r="I1874" s="55">
        <f t="shared" si="84"/>
        <v>8659491752</v>
      </c>
      <c r="J1874" s="54">
        <v>-6030826</v>
      </c>
      <c r="K1874" s="56">
        <f t="shared" si="85"/>
        <v>8653460926</v>
      </c>
      <c r="L1874" s="37">
        <v>0</v>
      </c>
      <c r="O1874" s="38" t="str">
        <f>IF([1]totrevprm!O1875="","",[1]totrevprm!O1875)</f>
        <v/>
      </c>
      <c r="V1874" s="38"/>
      <c r="W1874" s="58"/>
      <c r="X1874" s="58"/>
      <c r="Y1874" s="58"/>
      <c r="Z1874" s="58"/>
    </row>
    <row r="1875" spans="1:26">
      <c r="A1875" s="50" t="s">
        <v>77</v>
      </c>
      <c r="B1875" s="51" t="s">
        <v>257</v>
      </c>
      <c r="C1875" s="52"/>
      <c r="D1875" s="53">
        <v>2007</v>
      </c>
      <c r="E1875" s="37">
        <v>1998754287</v>
      </c>
      <c r="F1875" s="37">
        <v>2440261232</v>
      </c>
      <c r="G1875" s="37">
        <v>5259106045</v>
      </c>
      <c r="H1875" s="37">
        <v>0</v>
      </c>
      <c r="I1875" s="55">
        <f t="shared" si="84"/>
        <v>9698121564</v>
      </c>
      <c r="J1875" s="54">
        <v>-789499</v>
      </c>
      <c r="K1875" s="56">
        <f t="shared" si="85"/>
        <v>9697332065</v>
      </c>
      <c r="L1875" s="37">
        <v>0</v>
      </c>
      <c r="O1875" s="38" t="str">
        <f>IF([1]totrevprm!O1876="","",[1]totrevprm!O1876)</f>
        <v/>
      </c>
      <c r="V1875" s="38"/>
      <c r="W1875" s="58"/>
      <c r="X1875" s="58"/>
      <c r="Y1875" s="58"/>
      <c r="Z1875" s="58"/>
    </row>
    <row r="1876" spans="1:26">
      <c r="A1876" s="50" t="s">
        <v>77</v>
      </c>
      <c r="B1876" s="51" t="s">
        <v>257</v>
      </c>
      <c r="C1876" s="52"/>
      <c r="D1876" s="53">
        <v>2008</v>
      </c>
      <c r="E1876" s="37">
        <v>1979623601</v>
      </c>
      <c r="F1876" s="37">
        <v>3356157996</v>
      </c>
      <c r="G1876" s="37">
        <v>5451118842</v>
      </c>
      <c r="H1876" s="37">
        <v>0</v>
      </c>
      <c r="I1876" s="55">
        <f t="shared" si="84"/>
        <v>10786900439</v>
      </c>
      <c r="J1876" s="54">
        <v>-627535</v>
      </c>
      <c r="K1876" s="56">
        <f t="shared" si="85"/>
        <v>10786272904</v>
      </c>
      <c r="L1876" s="37">
        <v>0</v>
      </c>
      <c r="O1876" s="38" t="str">
        <f>IF([1]totrevprm!O1877="","",[1]totrevprm!O1877)</f>
        <v/>
      </c>
      <c r="V1876" s="38"/>
      <c r="W1876" s="58"/>
      <c r="X1876" s="58"/>
      <c r="Y1876" s="58"/>
      <c r="Z1876" s="58"/>
    </row>
    <row r="1877" spans="1:26">
      <c r="A1877" s="50" t="s">
        <v>77</v>
      </c>
      <c r="B1877" s="51" t="s">
        <v>257</v>
      </c>
      <c r="C1877" s="52"/>
      <c r="D1877" s="53">
        <v>2009</v>
      </c>
      <c r="E1877" s="37">
        <v>2073784687</v>
      </c>
      <c r="F1877" s="37">
        <v>3182730359</v>
      </c>
      <c r="G1877" s="37">
        <v>5500132259</v>
      </c>
      <c r="H1877" s="37">
        <v>0</v>
      </c>
      <c r="I1877" s="55">
        <f t="shared" si="84"/>
        <v>10756647305</v>
      </c>
      <c r="J1877" s="54">
        <v>-17044</v>
      </c>
      <c r="K1877" s="56">
        <f t="shared" si="85"/>
        <v>10756630261</v>
      </c>
      <c r="L1877" s="37">
        <v>0</v>
      </c>
      <c r="O1877" s="38" t="str">
        <f>IF([1]totrevprm!O1878="","",[1]totrevprm!O1878)</f>
        <v/>
      </c>
      <c r="V1877" s="38"/>
      <c r="W1877" s="58"/>
      <c r="X1877" s="58"/>
      <c r="Y1877" s="58"/>
      <c r="Z1877" s="58"/>
    </row>
    <row r="1878" spans="1:26">
      <c r="A1878" s="50" t="s">
        <v>77</v>
      </c>
      <c r="B1878" s="51" t="s">
        <v>257</v>
      </c>
      <c r="C1878" s="52"/>
      <c r="D1878" s="53">
        <v>2010</v>
      </c>
      <c r="E1878" s="37">
        <v>2111985056</v>
      </c>
      <c r="F1878" s="37">
        <v>2753671184</v>
      </c>
      <c r="G1878" s="37">
        <v>5049423119</v>
      </c>
      <c r="H1878" s="37">
        <v>0</v>
      </c>
      <c r="I1878" s="55">
        <f t="shared" si="84"/>
        <v>9915079359</v>
      </c>
      <c r="J1878" s="54">
        <v>-218170</v>
      </c>
      <c r="K1878" s="56">
        <f t="shared" si="85"/>
        <v>9914861189</v>
      </c>
      <c r="L1878" s="37">
        <v>0</v>
      </c>
      <c r="O1878" s="38" t="str">
        <f>IF([1]totrevprm!O1879="","",[1]totrevprm!O1879)</f>
        <v/>
      </c>
      <c r="V1878" s="38"/>
      <c r="W1878" s="58"/>
      <c r="X1878" s="58"/>
      <c r="Y1878" s="58"/>
      <c r="Z1878" s="58"/>
    </row>
    <row r="1879" spans="1:26">
      <c r="A1879" s="50" t="s">
        <v>77</v>
      </c>
      <c r="B1879" s="51" t="s">
        <v>257</v>
      </c>
      <c r="C1879" s="52"/>
      <c r="D1879" s="53">
        <v>2011</v>
      </c>
      <c r="E1879" s="37">
        <v>2210764960</v>
      </c>
      <c r="F1879" s="37">
        <v>2693037933</v>
      </c>
      <c r="G1879" s="37">
        <v>4983060377</v>
      </c>
      <c r="H1879" s="37">
        <v>0</v>
      </c>
      <c r="I1879" s="55">
        <f t="shared" si="84"/>
        <v>9886863270</v>
      </c>
      <c r="J1879" s="54">
        <v>-4</v>
      </c>
      <c r="K1879" s="56">
        <f t="shared" si="85"/>
        <v>9886863266</v>
      </c>
      <c r="L1879" s="37">
        <v>0</v>
      </c>
      <c r="O1879" s="38" t="str">
        <f>IF([1]totrevprm!O1880="","",[1]totrevprm!O1880)</f>
        <v/>
      </c>
      <c r="V1879" s="38"/>
      <c r="W1879" s="58"/>
      <c r="X1879" s="58"/>
      <c r="Y1879" s="58"/>
      <c r="Z1879" s="58"/>
    </row>
    <row r="1880" spans="1:26">
      <c r="A1880" s="50" t="s">
        <v>77</v>
      </c>
      <c r="B1880" s="51" t="s">
        <v>257</v>
      </c>
      <c r="C1880" s="52"/>
      <c r="D1880" s="53">
        <v>2012</v>
      </c>
      <c r="E1880" s="37">
        <v>2277685879</v>
      </c>
      <c r="F1880" s="37">
        <v>3080368151</v>
      </c>
      <c r="G1880" s="37">
        <v>4784544073</v>
      </c>
      <c r="H1880" s="37">
        <v>0</v>
      </c>
      <c r="I1880" s="55">
        <f t="shared" si="84"/>
        <v>10142598103</v>
      </c>
      <c r="J1880" s="54">
        <v>-14238</v>
      </c>
      <c r="K1880" s="56">
        <f t="shared" si="85"/>
        <v>10142583865</v>
      </c>
      <c r="L1880" s="37">
        <v>0</v>
      </c>
      <c r="O1880" s="38" t="str">
        <f>IF([1]totrevprm!O1881="","",[1]totrevprm!O1881)</f>
        <v/>
      </c>
      <c r="V1880" s="38"/>
      <c r="W1880" s="58"/>
      <c r="X1880" s="58"/>
      <c r="Y1880" s="58"/>
      <c r="Z1880" s="58"/>
    </row>
    <row r="1881" spans="1:26">
      <c r="A1881" s="50" t="s">
        <v>77</v>
      </c>
      <c r="B1881" s="51" t="s">
        <v>257</v>
      </c>
      <c r="C1881" s="52"/>
      <c r="D1881" s="53">
        <v>2013</v>
      </c>
      <c r="E1881" s="37">
        <v>2351477080</v>
      </c>
      <c r="F1881" s="37">
        <v>2719503365</v>
      </c>
      <c r="G1881" s="37">
        <v>4311104753</v>
      </c>
      <c r="H1881" s="37">
        <v>0</v>
      </c>
      <c r="I1881" s="55">
        <f t="shared" si="84"/>
        <v>9382085198</v>
      </c>
      <c r="J1881" s="54">
        <v>-361450</v>
      </c>
      <c r="K1881" s="56">
        <f t="shared" si="85"/>
        <v>9381723748</v>
      </c>
      <c r="L1881" s="37">
        <v>0</v>
      </c>
      <c r="O1881" s="38" t="str">
        <f>IF([1]totrevprm!O1882="","",[1]totrevprm!O1882)</f>
        <v/>
      </c>
      <c r="V1881" s="38"/>
      <c r="W1881" s="58"/>
      <c r="X1881" s="58"/>
      <c r="Y1881" s="58"/>
      <c r="Z1881" s="58"/>
    </row>
    <row r="1882" spans="1:26">
      <c r="A1882" s="50" t="s">
        <v>77</v>
      </c>
      <c r="B1882" s="51" t="s">
        <v>257</v>
      </c>
      <c r="C1882" s="52"/>
      <c r="D1882" s="53">
        <v>2014</v>
      </c>
      <c r="E1882" s="37">
        <v>2314671468</v>
      </c>
      <c r="F1882" s="37">
        <v>2867068449</v>
      </c>
      <c r="G1882" s="37">
        <v>3175460935</v>
      </c>
      <c r="H1882" s="37">
        <v>0</v>
      </c>
      <c r="I1882" s="55">
        <f t="shared" si="84"/>
        <v>8357200852</v>
      </c>
      <c r="J1882" s="54">
        <v>-24227</v>
      </c>
      <c r="K1882" s="56">
        <f t="shared" si="85"/>
        <v>8357176625</v>
      </c>
      <c r="L1882" s="37">
        <v>0</v>
      </c>
      <c r="M1882" s="77" t="s">
        <v>821</v>
      </c>
      <c r="N1882" t="s">
        <v>708</v>
      </c>
      <c r="O1882" s="38" t="str">
        <f>IF([1]totrevprm!O1883="","",[1]totrevprm!O1883)</f>
        <v/>
      </c>
      <c r="R1882" s="72"/>
      <c r="S1882" s="36">
        <f>+[2]Sheet1!$I$30</f>
        <v>8035456219</v>
      </c>
      <c r="T1882" s="36" t="s">
        <v>717</v>
      </c>
      <c r="U1882" s="36">
        <f>+[2]Sheet1!$I$31</f>
        <v>21</v>
      </c>
      <c r="V1882" s="38"/>
      <c r="W1882" s="58"/>
      <c r="X1882" s="58"/>
      <c r="Y1882" s="60">
        <v>11210917154</v>
      </c>
      <c r="Z1882" s="58"/>
    </row>
    <row r="1883" spans="1:26">
      <c r="A1883" s="50" t="s">
        <v>77</v>
      </c>
      <c r="B1883" s="51" t="s">
        <v>257</v>
      </c>
      <c r="C1883" s="52"/>
      <c r="D1883" s="53">
        <v>2015</v>
      </c>
      <c r="E1883" s="37">
        <v>2348832828</v>
      </c>
      <c r="F1883" s="37">
        <v>3916091296</v>
      </c>
      <c r="G1883" s="37">
        <v>7730697467</v>
      </c>
      <c r="H1883" s="37">
        <v>0</v>
      </c>
      <c r="I1883" s="55">
        <f t="shared" si="84"/>
        <v>13995621591</v>
      </c>
      <c r="J1883" s="54">
        <v>-531345</v>
      </c>
      <c r="K1883" s="56">
        <f t="shared" si="85"/>
        <v>13995090246</v>
      </c>
      <c r="L1883" s="37">
        <v>0</v>
      </c>
      <c r="M1883" s="77" t="s">
        <v>821</v>
      </c>
      <c r="N1883" t="s">
        <v>708</v>
      </c>
      <c r="O1883" s="38" t="str">
        <f>IF([1]totrevprm!O1884="","",[1]totrevprm!O1884)</f>
        <v/>
      </c>
      <c r="P1883" s="35">
        <v>457219296.47098655</v>
      </c>
      <c r="Q1883" s="35">
        <v>246917617.08701494</v>
      </c>
      <c r="R1883" s="72"/>
      <c r="S1883" s="36">
        <f>+[2]Sheet1!$H$30</f>
        <v>6193604502</v>
      </c>
      <c r="T1883" s="36" t="s">
        <v>717</v>
      </c>
      <c r="U1883" s="36">
        <f>+[2]Sheet1!$H$31</f>
        <v>21</v>
      </c>
      <c r="V1883" s="38"/>
      <c r="W1883" s="58"/>
      <c r="X1883" s="58"/>
      <c r="Y1883" s="60">
        <v>13924301969</v>
      </c>
      <c r="Z1883" s="58"/>
    </row>
    <row r="1884" spans="1:26">
      <c r="A1884" s="50" t="s">
        <v>77</v>
      </c>
      <c r="B1884" s="51" t="s">
        <v>257</v>
      </c>
      <c r="C1884" s="52"/>
      <c r="D1884" s="53">
        <v>2016</v>
      </c>
      <c r="E1884" s="37">
        <v>2439177902</v>
      </c>
      <c r="F1884" s="37">
        <v>3577889735</v>
      </c>
      <c r="G1884" s="37">
        <v>5049548561</v>
      </c>
      <c r="H1884" s="37">
        <v>0</v>
      </c>
      <c r="I1884" s="55">
        <f t="shared" si="84"/>
        <v>11066616198</v>
      </c>
      <c r="J1884" s="54">
        <v>-1432</v>
      </c>
      <c r="K1884" s="56">
        <f t="shared" si="85"/>
        <v>11066614766</v>
      </c>
      <c r="L1884" s="37">
        <v>0</v>
      </c>
      <c r="M1884" s="77" t="s">
        <v>821</v>
      </c>
      <c r="N1884" t="s">
        <v>708</v>
      </c>
      <c r="O1884" s="38" t="str">
        <f>IF([1]totrevprm!O1885="","",[1]totrevprm!O1885)</f>
        <v/>
      </c>
      <c r="P1884" s="35">
        <v>476063852.03354275</v>
      </c>
      <c r="Q1884" s="35">
        <v>248053186.83646616</v>
      </c>
      <c r="R1884" s="72"/>
      <c r="S1884" s="36">
        <f>+[2]Sheet1!$G$30</f>
        <v>6429866118</v>
      </c>
      <c r="T1884" s="36" t="s">
        <v>717</v>
      </c>
      <c r="U1884" s="36">
        <f>+[2]Sheet1!$G$31</f>
        <v>21</v>
      </c>
      <c r="V1884" s="38"/>
      <c r="W1884" s="58"/>
      <c r="X1884" s="58"/>
      <c r="Y1884" s="60">
        <v>11479414679</v>
      </c>
      <c r="Z1884" s="58"/>
    </row>
    <row r="1885" spans="1:26">
      <c r="A1885" s="50" t="s">
        <v>77</v>
      </c>
      <c r="B1885" s="51" t="s">
        <v>257</v>
      </c>
      <c r="C1885" s="52"/>
      <c r="D1885" s="53">
        <v>2017</v>
      </c>
      <c r="E1885" s="37">
        <v>2536943637</v>
      </c>
      <c r="F1885" s="37">
        <v>3699829614</v>
      </c>
      <c r="G1885" s="37">
        <v>6688923429.6700001</v>
      </c>
      <c r="H1885" s="37">
        <v>0</v>
      </c>
      <c r="I1885" s="55">
        <f t="shared" si="84"/>
        <v>12925696680.67</v>
      </c>
      <c r="J1885" s="54">
        <v>-263857</v>
      </c>
      <c r="K1885" s="56">
        <f t="shared" si="85"/>
        <v>12925432823.67</v>
      </c>
      <c r="L1885" s="37">
        <v>0</v>
      </c>
      <c r="M1885" s="77" t="s">
        <v>821</v>
      </c>
      <c r="N1885" t="s">
        <v>708</v>
      </c>
      <c r="O1885" s="38" t="str">
        <f>IF([1]totrevprm!O1886="","",[1]totrevprm!O1886)</f>
        <v/>
      </c>
      <c r="P1885" s="35">
        <v>493732256.44660687</v>
      </c>
      <c r="Q1885" s="35">
        <v>221768546.31543308</v>
      </c>
      <c r="R1885" s="72"/>
      <c r="S1885" s="36">
        <f>+[2]Sheet1!$F$30</f>
        <v>5092566300</v>
      </c>
      <c r="T1885" s="36" t="s">
        <v>717</v>
      </c>
      <c r="U1885" s="36">
        <f>+[2]Sheet1!$G$31</f>
        <v>21</v>
      </c>
      <c r="V1885" s="38"/>
      <c r="W1885" s="58"/>
      <c r="X1885" s="58"/>
      <c r="Y1885" s="60">
        <v>11781489729.67</v>
      </c>
      <c r="Z1885" s="58"/>
    </row>
    <row r="1886" spans="1:26">
      <c r="A1886" s="50" t="s">
        <v>77</v>
      </c>
      <c r="B1886" s="51" t="s">
        <v>257</v>
      </c>
      <c r="C1886" s="52"/>
      <c r="D1886" s="53">
        <v>2018</v>
      </c>
      <c r="E1886" s="37">
        <v>2514449460</v>
      </c>
      <c r="F1886" s="37">
        <v>4140826136</v>
      </c>
      <c r="G1886" s="37">
        <v>5762298042</v>
      </c>
      <c r="H1886" s="37">
        <v>0</v>
      </c>
      <c r="I1886" s="55">
        <f t="shared" si="84"/>
        <v>12417573638</v>
      </c>
      <c r="J1886" s="54">
        <v>-298886</v>
      </c>
      <c r="K1886" s="56">
        <f t="shared" si="85"/>
        <v>12417274752</v>
      </c>
      <c r="L1886" s="37">
        <v>0</v>
      </c>
      <c r="M1886" s="77" t="s">
        <v>821</v>
      </c>
      <c r="N1886" t="s">
        <v>708</v>
      </c>
      <c r="O1886" s="38" t="str">
        <f>IF([1]totrevprm!O1887="","",[1]totrevprm!O1887)</f>
        <v/>
      </c>
      <c r="P1886" s="35">
        <v>505585717.37594825</v>
      </c>
      <c r="Q1886" s="35">
        <v>212327873</v>
      </c>
      <c r="R1886" s="72"/>
      <c r="S1886" s="36">
        <v>5327819523</v>
      </c>
      <c r="T1886" s="36" t="s">
        <v>717</v>
      </c>
      <c r="U1886" s="36">
        <v>26</v>
      </c>
      <c r="V1886" s="38"/>
      <c r="W1886" s="58"/>
      <c r="X1886" s="58"/>
      <c r="Y1886" s="60">
        <v>11090117565</v>
      </c>
      <c r="Z1886" s="58"/>
    </row>
    <row r="1887" spans="1:26">
      <c r="A1887" s="50" t="s">
        <v>77</v>
      </c>
      <c r="B1887" s="51" t="s">
        <v>257</v>
      </c>
      <c r="C1887" s="52"/>
      <c r="D1887" s="53">
        <v>2019</v>
      </c>
      <c r="E1887" s="37">
        <v>2710277413</v>
      </c>
      <c r="F1887" s="37">
        <v>4581105908</v>
      </c>
      <c r="G1887" s="37">
        <v>5862638762</v>
      </c>
      <c r="H1887" s="37">
        <v>0</v>
      </c>
      <c r="I1887" s="55">
        <f t="shared" ref="I1887:I1928" si="86">SUM(E1887:H1887)</f>
        <v>13154022083</v>
      </c>
      <c r="J1887" s="54">
        <v>-126602030</v>
      </c>
      <c r="K1887" s="56">
        <f t="shared" ref="K1887" si="87">SUM(I1887:J1887)</f>
        <v>13027420053</v>
      </c>
      <c r="L1887" s="37">
        <v>0</v>
      </c>
      <c r="M1887" s="77" t="s">
        <v>821</v>
      </c>
      <c r="N1887" t="s">
        <v>708</v>
      </c>
      <c r="O1887" s="38" t="str">
        <f>IF([1]totrevprm!O1888="","",[1]totrevprm!O1888)</f>
        <v/>
      </c>
      <c r="P1887" s="35">
        <v>535963907.18177867</v>
      </c>
      <c r="Q1887" s="35">
        <v>229218605.49343744</v>
      </c>
      <c r="R1887" s="72"/>
      <c r="S1887" s="36">
        <v>5225765014</v>
      </c>
      <c r="T1887" s="36" t="s">
        <v>717</v>
      </c>
      <c r="U1887" s="36">
        <v>28</v>
      </c>
      <c r="V1887" s="38"/>
      <c r="W1887" s="58"/>
      <c r="X1887" s="58"/>
      <c r="Y1887" s="37">
        <v>11088403776</v>
      </c>
      <c r="Z1887" s="58"/>
    </row>
    <row r="1888" spans="1:26">
      <c r="A1888" s="50" t="s">
        <v>77</v>
      </c>
      <c r="B1888" s="51" t="s">
        <v>257</v>
      </c>
      <c r="C1888" s="52"/>
      <c r="D1888" s="53">
        <v>2020</v>
      </c>
      <c r="E1888" s="37">
        <v>2626443638</v>
      </c>
      <c r="F1888" s="37">
        <v>5055839175</v>
      </c>
      <c r="G1888" s="37">
        <v>5751275409</v>
      </c>
      <c r="H1888" s="37">
        <v>0</v>
      </c>
      <c r="I1888" s="55">
        <f t="shared" si="86"/>
        <v>13433558222</v>
      </c>
      <c r="J1888" s="54">
        <v>-79</v>
      </c>
      <c r="K1888" s="56">
        <f t="shared" ref="K1888:K1891" si="88">SUM(I1888:J1888)</f>
        <v>13433558143</v>
      </c>
      <c r="L1888" s="37">
        <v>0</v>
      </c>
      <c r="M1888" s="77" t="s">
        <v>821</v>
      </c>
      <c r="N1888" t="s">
        <v>708</v>
      </c>
      <c r="O1888" s="38" t="str">
        <f>IF([1]totrevprm!O1889="","",[1]totrevprm!O1889)</f>
        <v/>
      </c>
      <c r="P1888" s="35">
        <v>545665919</v>
      </c>
      <c r="Q1888" s="35">
        <v>225012769</v>
      </c>
      <c r="R1888" s="72"/>
      <c r="S1888" s="36">
        <v>5504730994</v>
      </c>
      <c r="T1888" s="36" t="s">
        <v>717</v>
      </c>
      <c r="U1888" s="36">
        <v>29</v>
      </c>
      <c r="V1888" s="38"/>
      <c r="W1888" s="58"/>
      <c r="X1888" s="58"/>
      <c r="Y1888" s="37">
        <v>11256006403</v>
      </c>
      <c r="Z1888" s="58"/>
    </row>
    <row r="1889" spans="1:26">
      <c r="A1889" s="50" t="s">
        <v>77</v>
      </c>
      <c r="B1889" s="51" t="s">
        <v>257</v>
      </c>
      <c r="C1889" s="52"/>
      <c r="D1889" s="53">
        <v>2021</v>
      </c>
      <c r="E1889" s="37">
        <v>2803902340</v>
      </c>
      <c r="F1889" s="37">
        <v>4305149044</v>
      </c>
      <c r="G1889" s="37">
        <v>5666697517</v>
      </c>
      <c r="H1889" s="37">
        <v>0</v>
      </c>
      <c r="I1889" s="55">
        <f t="shared" si="86"/>
        <v>12775748901</v>
      </c>
      <c r="J1889" s="54">
        <v>-40234</v>
      </c>
      <c r="K1889" s="56">
        <f t="shared" si="88"/>
        <v>12775708667</v>
      </c>
      <c r="L1889" s="37">
        <v>0</v>
      </c>
      <c r="M1889" s="77" t="s">
        <v>821</v>
      </c>
      <c r="N1889" t="s">
        <v>708</v>
      </c>
      <c r="O1889" s="38"/>
      <c r="P1889" s="35">
        <v>525444118.96000004</v>
      </c>
      <c r="Q1889" s="35">
        <v>239985111</v>
      </c>
      <c r="R1889" s="72"/>
      <c r="S1889" s="36">
        <v>5546807392</v>
      </c>
      <c r="T1889" s="36" t="s">
        <v>717</v>
      </c>
      <c r="U1889" s="36">
        <v>28</v>
      </c>
      <c r="V1889" s="38"/>
      <c r="W1889" s="58"/>
      <c r="X1889" s="58"/>
      <c r="Y1889" s="37">
        <v>11213504909</v>
      </c>
      <c r="Z1889" s="58"/>
    </row>
    <row r="1890" spans="1:26">
      <c r="A1890" s="50" t="s">
        <v>77</v>
      </c>
      <c r="B1890" s="51" t="s">
        <v>257</v>
      </c>
      <c r="C1890" s="52"/>
      <c r="D1890" s="53">
        <v>2022</v>
      </c>
      <c r="E1890" s="37">
        <v>2833586454</v>
      </c>
      <c r="F1890" s="37">
        <v>5988742968</v>
      </c>
      <c r="G1890" s="37">
        <v>5863483418</v>
      </c>
      <c r="H1890" s="37">
        <v>0</v>
      </c>
      <c r="I1890" s="55">
        <f t="shared" si="86"/>
        <v>14685812840</v>
      </c>
      <c r="J1890" s="54">
        <v>-52628</v>
      </c>
      <c r="K1890" s="56">
        <f t="shared" si="88"/>
        <v>14685760212</v>
      </c>
      <c r="L1890" s="37">
        <v>0</v>
      </c>
      <c r="M1890" s="77" t="s">
        <v>821</v>
      </c>
      <c r="N1890" t="s">
        <v>708</v>
      </c>
      <c r="O1890" s="38" t="str">
        <f>IF([1]totrevprm!O1893="","",[1]totrevprm!O1893)</f>
        <v/>
      </c>
      <c r="P1890" s="60">
        <v>542891904</v>
      </c>
      <c r="Q1890" s="60">
        <v>236786474</v>
      </c>
      <c r="S1890" s="36">
        <v>5612769344</v>
      </c>
      <c r="T1890" s="36" t="s">
        <v>717</v>
      </c>
      <c r="U1890" s="36">
        <v>28</v>
      </c>
      <c r="Y1890" s="60">
        <v>11476252762</v>
      </c>
    </row>
    <row r="1891" spans="1:26">
      <c r="A1891" s="50" t="s">
        <v>77</v>
      </c>
      <c r="B1891" s="51" t="s">
        <v>257</v>
      </c>
      <c r="C1891" s="52"/>
      <c r="D1891" s="53">
        <v>2023</v>
      </c>
      <c r="E1891" s="37">
        <v>2785223184</v>
      </c>
      <c r="F1891" s="37">
        <v>7007345377.3227997</v>
      </c>
      <c r="G1891" s="37">
        <v>5769270783</v>
      </c>
      <c r="H1891" s="37">
        <v>0</v>
      </c>
      <c r="I1891" s="55">
        <f t="shared" si="86"/>
        <v>15561839344.3228</v>
      </c>
      <c r="J1891" s="60">
        <v>-73375</v>
      </c>
      <c r="K1891" s="56">
        <f t="shared" si="88"/>
        <v>15561765969.3228</v>
      </c>
      <c r="L1891" s="37">
        <v>0</v>
      </c>
      <c r="M1891" s="77" t="s">
        <v>821</v>
      </c>
      <c r="O1891" s="38"/>
      <c r="P1891" s="60">
        <v>599416031.25999999</v>
      </c>
      <c r="Q1891" s="60">
        <v>235276582</v>
      </c>
      <c r="S1891" s="36">
        <v>6064756705</v>
      </c>
      <c r="T1891" s="36" t="s">
        <v>717</v>
      </c>
      <c r="U1891" s="36">
        <v>26</v>
      </c>
      <c r="Y1891" s="60">
        <v>11834027488.3009</v>
      </c>
    </row>
    <row r="1892" spans="1:26">
      <c r="A1892" s="50"/>
      <c r="B1892" s="52"/>
      <c r="C1892" s="52"/>
      <c r="E1892" s="54"/>
      <c r="F1892" s="54"/>
      <c r="G1892" s="54"/>
      <c r="H1892" s="54"/>
      <c r="I1892" s="55"/>
      <c r="K1892" s="65"/>
      <c r="L1892" s="37"/>
      <c r="O1892" s="38"/>
    </row>
    <row r="1893" spans="1:26">
      <c r="A1893" s="50" t="s">
        <v>78</v>
      </c>
      <c r="B1893" s="51" t="s">
        <v>605</v>
      </c>
      <c r="C1893" s="52" t="s">
        <v>730</v>
      </c>
      <c r="D1893" s="53">
        <v>1988</v>
      </c>
      <c r="E1893" s="54">
        <v>97626321</v>
      </c>
      <c r="F1893" s="54">
        <v>94368976</v>
      </c>
      <c r="G1893" s="54">
        <v>85482029</v>
      </c>
      <c r="H1893" s="54">
        <v>0</v>
      </c>
      <c r="I1893" s="55">
        <f t="shared" si="86"/>
        <v>277477326</v>
      </c>
      <c r="J1893" s="54">
        <v>-716991</v>
      </c>
      <c r="K1893" s="56">
        <f>SUM(I1893:J1893)</f>
        <v>276760335</v>
      </c>
      <c r="L1893" s="37">
        <v>0</v>
      </c>
      <c r="O1893" s="38" t="str">
        <f>IF([1]totrevprm!O1894="","",[1]totrevprm!O1894)</f>
        <v/>
      </c>
    </row>
    <row r="1894" spans="1:26">
      <c r="A1894" s="50" t="s">
        <v>78</v>
      </c>
      <c r="B1894" s="51" t="s">
        <v>605</v>
      </c>
      <c r="C1894" s="52" t="s">
        <v>731</v>
      </c>
      <c r="D1894" s="53">
        <v>1989</v>
      </c>
      <c r="E1894" s="54">
        <v>90923902</v>
      </c>
      <c r="F1894" s="54">
        <v>84285866</v>
      </c>
      <c r="G1894" s="54">
        <v>90453608</v>
      </c>
      <c r="H1894" s="54">
        <v>0</v>
      </c>
      <c r="I1894" s="55">
        <f t="shared" si="86"/>
        <v>265663376</v>
      </c>
      <c r="J1894" s="54">
        <v>-353372</v>
      </c>
      <c r="K1894" s="56">
        <f t="shared" ref="K1894:K1928" si="89">SUM(I1894:J1894)</f>
        <v>265310004</v>
      </c>
      <c r="L1894" s="37">
        <v>0</v>
      </c>
      <c r="O1894" s="38" t="str">
        <f>IF([1]totrevprm!O1895="","",[1]totrevprm!O1895)</f>
        <v/>
      </c>
    </row>
    <row r="1895" spans="1:26">
      <c r="A1895" s="50" t="s">
        <v>78</v>
      </c>
      <c r="B1895" s="51" t="s">
        <v>605</v>
      </c>
      <c r="C1895" s="52" t="s">
        <v>731</v>
      </c>
      <c r="D1895" s="53">
        <v>1990</v>
      </c>
      <c r="E1895" s="54">
        <v>90058438</v>
      </c>
      <c r="F1895" s="54">
        <v>93698388.680000007</v>
      </c>
      <c r="G1895" s="54">
        <v>97798492</v>
      </c>
      <c r="H1895" s="54">
        <v>0</v>
      </c>
      <c r="I1895" s="55">
        <f t="shared" si="86"/>
        <v>281555318.68000001</v>
      </c>
      <c r="J1895" s="54">
        <v>-493843</v>
      </c>
      <c r="K1895" s="56">
        <f t="shared" si="89"/>
        <v>281061475.68000001</v>
      </c>
      <c r="L1895" s="37">
        <v>0</v>
      </c>
      <c r="O1895" s="38" t="str">
        <f>IF([1]totrevprm!O1896="","",[1]totrevprm!O1896)</f>
        <v/>
      </c>
    </row>
    <row r="1896" spans="1:26">
      <c r="A1896" s="50" t="s">
        <v>78</v>
      </c>
      <c r="B1896" s="51" t="s">
        <v>605</v>
      </c>
      <c r="C1896" s="52" t="s">
        <v>731</v>
      </c>
      <c r="D1896" s="53">
        <v>1991</v>
      </c>
      <c r="E1896" s="54">
        <v>96951799</v>
      </c>
      <c r="F1896" s="54">
        <v>81766219</v>
      </c>
      <c r="G1896" s="54">
        <v>99883708</v>
      </c>
      <c r="H1896" s="54">
        <v>0</v>
      </c>
      <c r="I1896" s="55">
        <f t="shared" si="86"/>
        <v>278601726</v>
      </c>
      <c r="J1896" s="54">
        <v>-396244</v>
      </c>
      <c r="K1896" s="56">
        <f t="shared" si="89"/>
        <v>278205482</v>
      </c>
      <c r="L1896" s="37">
        <v>0</v>
      </c>
      <c r="O1896" s="38" t="str">
        <f>IF([1]totrevprm!O1897="","",[1]totrevprm!O1897)</f>
        <v/>
      </c>
    </row>
    <row r="1897" spans="1:26">
      <c r="A1897" s="50" t="s">
        <v>78</v>
      </c>
      <c r="B1897" s="51" t="s">
        <v>605</v>
      </c>
      <c r="C1897" s="52" t="s">
        <v>731</v>
      </c>
      <c r="D1897" s="53">
        <v>1992</v>
      </c>
      <c r="E1897" s="54">
        <v>105896069</v>
      </c>
      <c r="F1897" s="54">
        <v>82392605.079999998</v>
      </c>
      <c r="G1897" s="54">
        <v>112094162</v>
      </c>
      <c r="H1897" s="54">
        <v>0</v>
      </c>
      <c r="I1897" s="55">
        <f t="shared" si="86"/>
        <v>300382836.07999998</v>
      </c>
      <c r="J1897" s="54">
        <v>-436018</v>
      </c>
      <c r="K1897" s="56">
        <f t="shared" si="89"/>
        <v>299946818.07999998</v>
      </c>
      <c r="L1897" s="37">
        <v>0</v>
      </c>
      <c r="O1897" s="38" t="str">
        <f>IF([1]totrevprm!O1898="","",[1]totrevprm!O1898)</f>
        <v/>
      </c>
    </row>
    <row r="1898" spans="1:26">
      <c r="A1898" s="50" t="s">
        <v>78</v>
      </c>
      <c r="B1898" s="51" t="s">
        <v>605</v>
      </c>
      <c r="C1898" s="52" t="s">
        <v>731</v>
      </c>
      <c r="D1898" s="53">
        <v>1993</v>
      </c>
      <c r="E1898" s="54">
        <v>110151591</v>
      </c>
      <c r="F1898" s="54">
        <v>66544761</v>
      </c>
      <c r="G1898" s="54">
        <v>123196590</v>
      </c>
      <c r="H1898" s="54">
        <v>0</v>
      </c>
      <c r="I1898" s="55">
        <f t="shared" si="86"/>
        <v>299892942</v>
      </c>
      <c r="J1898" s="54">
        <v>-98</v>
      </c>
      <c r="K1898" s="56">
        <f t="shared" si="89"/>
        <v>299892844</v>
      </c>
      <c r="L1898" s="37">
        <v>0</v>
      </c>
      <c r="O1898" s="38" t="str">
        <f>IF([1]totrevprm!O1899="","",[1]totrevprm!O1899)</f>
        <v/>
      </c>
    </row>
    <row r="1899" spans="1:26">
      <c r="A1899" s="50" t="s">
        <v>78</v>
      </c>
      <c r="B1899" s="51" t="s">
        <v>605</v>
      </c>
      <c r="C1899" s="52" t="s">
        <v>731</v>
      </c>
      <c r="D1899" s="53">
        <v>1994</v>
      </c>
      <c r="E1899" s="54">
        <v>120563305</v>
      </c>
      <c r="F1899" s="54">
        <v>82776199</v>
      </c>
      <c r="G1899" s="54">
        <v>127681818</v>
      </c>
      <c r="H1899" s="54">
        <v>0</v>
      </c>
      <c r="I1899" s="55">
        <f t="shared" si="86"/>
        <v>331021322</v>
      </c>
      <c r="J1899" s="54">
        <v>-13853</v>
      </c>
      <c r="K1899" s="56">
        <f t="shared" si="89"/>
        <v>331007469</v>
      </c>
      <c r="L1899" s="37">
        <v>0</v>
      </c>
      <c r="O1899" s="38" t="str">
        <f>IF([1]totrevprm!O1900="","",[1]totrevprm!O1900)</f>
        <v/>
      </c>
    </row>
    <row r="1900" spans="1:26">
      <c r="A1900" s="50" t="s">
        <v>78</v>
      </c>
      <c r="B1900" s="51" t="s">
        <v>605</v>
      </c>
      <c r="C1900" s="52" t="s">
        <v>731</v>
      </c>
      <c r="D1900" s="53">
        <v>1995</v>
      </c>
      <c r="E1900" s="54">
        <v>128258372</v>
      </c>
      <c r="F1900" s="54">
        <v>91755805</v>
      </c>
      <c r="G1900" s="54">
        <v>125844578</v>
      </c>
      <c r="H1900" s="54">
        <v>0</v>
      </c>
      <c r="I1900" s="55">
        <f t="shared" si="86"/>
        <v>345858755</v>
      </c>
      <c r="J1900" s="54">
        <v>-2555861</v>
      </c>
      <c r="K1900" s="56">
        <f t="shared" si="89"/>
        <v>343302894</v>
      </c>
      <c r="L1900" s="37">
        <v>0</v>
      </c>
      <c r="O1900" s="38" t="str">
        <f>IF([1]totrevprm!O1901="","",[1]totrevprm!O1901)</f>
        <v/>
      </c>
    </row>
    <row r="1901" spans="1:26">
      <c r="A1901" s="50" t="s">
        <v>78</v>
      </c>
      <c r="B1901" s="51" t="s">
        <v>605</v>
      </c>
      <c r="C1901" s="52" t="s">
        <v>731</v>
      </c>
      <c r="D1901" s="53">
        <v>1996</v>
      </c>
      <c r="E1901" s="54">
        <v>144853471</v>
      </c>
      <c r="F1901" s="54">
        <v>64293629</v>
      </c>
      <c r="G1901" s="54">
        <v>139762212</v>
      </c>
      <c r="H1901" s="54">
        <v>0</v>
      </c>
      <c r="I1901" s="55">
        <f t="shared" si="86"/>
        <v>348909312</v>
      </c>
      <c r="J1901" s="54">
        <v>-4</v>
      </c>
      <c r="K1901" s="56">
        <f t="shared" si="89"/>
        <v>348909308</v>
      </c>
      <c r="L1901" s="37">
        <v>0</v>
      </c>
      <c r="O1901" s="38" t="str">
        <f>IF([1]totrevprm!O1902="","",[1]totrevprm!O1902)</f>
        <v/>
      </c>
    </row>
    <row r="1902" spans="1:26">
      <c r="A1902" s="50" t="s">
        <v>78</v>
      </c>
      <c r="B1902" s="51" t="s">
        <v>605</v>
      </c>
      <c r="C1902" s="52" t="s">
        <v>731</v>
      </c>
      <c r="D1902" s="53">
        <v>1997</v>
      </c>
      <c r="E1902" s="54">
        <v>132336804</v>
      </c>
      <c r="F1902" s="54">
        <v>73610903</v>
      </c>
      <c r="G1902" s="54">
        <v>137395545</v>
      </c>
      <c r="H1902" s="54">
        <v>0</v>
      </c>
      <c r="I1902" s="55">
        <f t="shared" si="86"/>
        <v>343343252</v>
      </c>
      <c r="J1902" s="54">
        <v>-1755</v>
      </c>
      <c r="K1902" s="56">
        <f t="shared" si="89"/>
        <v>343341497</v>
      </c>
      <c r="L1902" s="37">
        <v>0</v>
      </c>
      <c r="O1902" s="38" t="str">
        <f>IF([1]totrevprm!O1903="","",[1]totrevprm!O1903)</f>
        <v/>
      </c>
    </row>
    <row r="1903" spans="1:26">
      <c r="A1903" s="50" t="s">
        <v>78</v>
      </c>
      <c r="B1903" s="51" t="s">
        <v>605</v>
      </c>
      <c r="C1903" s="52" t="s">
        <v>731</v>
      </c>
      <c r="D1903" s="53">
        <v>1998</v>
      </c>
      <c r="E1903" s="54">
        <v>133370742</v>
      </c>
      <c r="F1903" s="54">
        <v>65128698</v>
      </c>
      <c r="G1903" s="54">
        <v>147217331</v>
      </c>
      <c r="H1903" s="54">
        <v>0</v>
      </c>
      <c r="I1903" s="55">
        <f t="shared" si="86"/>
        <v>345716771</v>
      </c>
      <c r="J1903" s="54">
        <v>-234</v>
      </c>
      <c r="K1903" s="56">
        <f t="shared" si="89"/>
        <v>345716537</v>
      </c>
      <c r="L1903" s="37">
        <v>0</v>
      </c>
      <c r="O1903" s="38" t="str">
        <f>IF([1]totrevprm!O1904="","",[1]totrevprm!O1904)</f>
        <v/>
      </c>
    </row>
    <row r="1904" spans="1:26">
      <c r="A1904" s="50" t="s">
        <v>78</v>
      </c>
      <c r="B1904" s="51" t="s">
        <v>605</v>
      </c>
      <c r="C1904" s="52" t="s">
        <v>731</v>
      </c>
      <c r="D1904" s="53">
        <v>1999</v>
      </c>
      <c r="E1904" s="54">
        <v>132820331</v>
      </c>
      <c r="F1904" s="54">
        <v>84199803</v>
      </c>
      <c r="G1904" s="54">
        <v>164599319</v>
      </c>
      <c r="H1904" s="54">
        <v>0</v>
      </c>
      <c r="I1904" s="55">
        <f t="shared" si="86"/>
        <v>381619453</v>
      </c>
      <c r="J1904" s="54">
        <v>-100007</v>
      </c>
      <c r="K1904" s="56">
        <f t="shared" si="89"/>
        <v>381519446</v>
      </c>
      <c r="L1904" s="37">
        <v>0</v>
      </c>
      <c r="O1904" s="38" t="str">
        <f>IF([1]totrevprm!O1905="","",[1]totrevprm!O1905)</f>
        <v/>
      </c>
    </row>
    <row r="1905" spans="1:26">
      <c r="A1905" s="50" t="s">
        <v>78</v>
      </c>
      <c r="B1905" s="51" t="s">
        <v>605</v>
      </c>
      <c r="C1905" s="52" t="s">
        <v>731</v>
      </c>
      <c r="D1905" s="53">
        <v>2000</v>
      </c>
      <c r="E1905" s="54">
        <v>134954407</v>
      </c>
      <c r="F1905" s="54">
        <v>36964454</v>
      </c>
      <c r="G1905" s="54">
        <v>279127327</v>
      </c>
      <c r="H1905" s="54">
        <v>0</v>
      </c>
      <c r="I1905" s="55">
        <f t="shared" si="86"/>
        <v>451046188</v>
      </c>
      <c r="J1905" s="54">
        <v>-251526</v>
      </c>
      <c r="K1905" s="56">
        <f t="shared" si="89"/>
        <v>450794662</v>
      </c>
      <c r="L1905" s="37">
        <v>0</v>
      </c>
      <c r="O1905" s="38" t="str">
        <f>IF([1]totrevprm!O1906="","",[1]totrevprm!O1906)</f>
        <v/>
      </c>
      <c r="V1905" s="38" t="s">
        <v>605</v>
      </c>
      <c r="W1905" s="58">
        <v>163374</v>
      </c>
      <c r="X1905" s="58">
        <v>38682</v>
      </c>
      <c r="Y1905" s="58">
        <v>1689644</v>
      </c>
      <c r="Z1905" s="58">
        <v>0</v>
      </c>
    </row>
    <row r="1906" spans="1:26">
      <c r="A1906" s="50" t="s">
        <v>78</v>
      </c>
      <c r="B1906" s="51" t="s">
        <v>605</v>
      </c>
      <c r="C1906" s="52" t="s">
        <v>731</v>
      </c>
      <c r="D1906" s="53">
        <v>2001</v>
      </c>
      <c r="E1906" s="54">
        <v>140089330</v>
      </c>
      <c r="F1906" s="54">
        <v>119654633</v>
      </c>
      <c r="G1906" s="54">
        <v>307424423</v>
      </c>
      <c r="H1906" s="54">
        <v>0</v>
      </c>
      <c r="I1906" s="55">
        <f t="shared" si="86"/>
        <v>567168386</v>
      </c>
      <c r="J1906" s="54">
        <v>-81824</v>
      </c>
      <c r="K1906" s="56">
        <f t="shared" si="89"/>
        <v>567086562</v>
      </c>
      <c r="L1906" s="37">
        <v>0</v>
      </c>
      <c r="O1906" s="38" t="str">
        <f>IF([1]totrevprm!O1907="","",[1]totrevprm!O1907)</f>
        <v/>
      </c>
      <c r="V1906" s="38"/>
      <c r="W1906" s="58"/>
      <c r="X1906" s="58"/>
      <c r="Y1906" s="58"/>
      <c r="Z1906" s="58"/>
    </row>
    <row r="1907" spans="1:26">
      <c r="A1907" s="50" t="s">
        <v>78</v>
      </c>
      <c r="B1907" s="51" t="s">
        <v>605</v>
      </c>
      <c r="C1907" s="52" t="s">
        <v>731</v>
      </c>
      <c r="D1907" s="53">
        <v>2002</v>
      </c>
      <c r="E1907" s="54">
        <v>161370610</v>
      </c>
      <c r="F1907" s="54">
        <v>177390092</v>
      </c>
      <c r="G1907" s="54">
        <v>328364747</v>
      </c>
      <c r="H1907" s="54">
        <v>0</v>
      </c>
      <c r="I1907" s="55">
        <f t="shared" si="86"/>
        <v>667125449</v>
      </c>
      <c r="J1907" s="54">
        <v>-3</v>
      </c>
      <c r="K1907" s="56">
        <f t="shared" si="89"/>
        <v>667125446</v>
      </c>
      <c r="L1907" s="37">
        <v>0</v>
      </c>
      <c r="O1907" s="38" t="str">
        <f>IF([1]totrevprm!O1908="","",[1]totrevprm!O1908)</f>
        <v/>
      </c>
      <c r="V1907" s="38"/>
      <c r="W1907" s="58"/>
      <c r="X1907" s="58"/>
      <c r="Y1907" s="58"/>
      <c r="Z1907" s="58"/>
    </row>
    <row r="1908" spans="1:26">
      <c r="A1908" s="50" t="s">
        <v>78</v>
      </c>
      <c r="B1908" s="51" t="s">
        <v>605</v>
      </c>
      <c r="C1908" s="52" t="s">
        <v>731</v>
      </c>
      <c r="D1908" s="53">
        <v>2003</v>
      </c>
      <c r="E1908" s="59">
        <v>158450513</v>
      </c>
      <c r="F1908" s="59">
        <v>160053167</v>
      </c>
      <c r="G1908" s="59">
        <v>358083018</v>
      </c>
      <c r="H1908" s="54">
        <v>0</v>
      </c>
      <c r="I1908" s="55">
        <f t="shared" si="86"/>
        <v>676586698</v>
      </c>
      <c r="J1908" s="54">
        <v>-1</v>
      </c>
      <c r="K1908" s="56">
        <f t="shared" si="89"/>
        <v>676586697</v>
      </c>
      <c r="L1908" s="37">
        <v>0</v>
      </c>
      <c r="O1908" s="38" t="str">
        <f>IF([1]totrevprm!O1909="","",[1]totrevprm!O1909)</f>
        <v/>
      </c>
      <c r="V1908" s="38"/>
      <c r="W1908" s="58"/>
      <c r="X1908" s="58"/>
      <c r="Y1908" s="58"/>
      <c r="Z1908" s="58"/>
    </row>
    <row r="1909" spans="1:26">
      <c r="A1909" s="50" t="s">
        <v>78</v>
      </c>
      <c r="B1909" s="51" t="s">
        <v>605</v>
      </c>
      <c r="C1909" s="52" t="s">
        <v>731</v>
      </c>
      <c r="D1909" s="53">
        <v>2004</v>
      </c>
      <c r="E1909" s="59">
        <v>159012531</v>
      </c>
      <c r="F1909" s="59">
        <v>134792266</v>
      </c>
      <c r="G1909" s="59">
        <v>387015674</v>
      </c>
      <c r="H1909" s="54">
        <v>0</v>
      </c>
      <c r="I1909" s="55">
        <f t="shared" si="86"/>
        <v>680820471</v>
      </c>
      <c r="J1909" s="54">
        <v>-1163</v>
      </c>
      <c r="K1909" s="56">
        <f t="shared" si="89"/>
        <v>680819308</v>
      </c>
      <c r="L1909" s="37">
        <v>0</v>
      </c>
      <c r="O1909" s="38" t="str">
        <f>IF([1]totrevprm!O1910="","",[1]totrevprm!O1910)</f>
        <v/>
      </c>
      <c r="V1909" s="38"/>
      <c r="W1909" s="58"/>
      <c r="X1909" s="58"/>
      <c r="Y1909" s="58"/>
      <c r="Z1909" s="58"/>
    </row>
    <row r="1910" spans="1:26">
      <c r="A1910" s="50" t="s">
        <v>78</v>
      </c>
      <c r="B1910" s="51" t="s">
        <v>605</v>
      </c>
      <c r="C1910" s="52"/>
      <c r="D1910" s="53">
        <v>2005</v>
      </c>
      <c r="E1910" s="59">
        <v>167391676</v>
      </c>
      <c r="F1910" s="59">
        <v>145690563</v>
      </c>
      <c r="G1910" s="59">
        <v>427144070.98000002</v>
      </c>
      <c r="H1910" s="54">
        <v>0</v>
      </c>
      <c r="I1910" s="55">
        <f t="shared" si="86"/>
        <v>740226309.98000002</v>
      </c>
      <c r="J1910" s="54">
        <v>-275142</v>
      </c>
      <c r="K1910" s="56">
        <f t="shared" si="89"/>
        <v>739951167.98000002</v>
      </c>
      <c r="L1910" s="37">
        <v>0</v>
      </c>
      <c r="O1910" s="38" t="str">
        <f>IF([1]totrevprm!O1911="","",[1]totrevprm!O1911)</f>
        <v/>
      </c>
      <c r="V1910" s="38"/>
      <c r="W1910" s="58"/>
      <c r="X1910" s="58"/>
      <c r="Y1910" s="58"/>
      <c r="Z1910" s="58"/>
    </row>
    <row r="1911" spans="1:26">
      <c r="A1911" s="50" t="s">
        <v>78</v>
      </c>
      <c r="B1911" s="51" t="s">
        <v>605</v>
      </c>
      <c r="C1911" s="52"/>
      <c r="D1911" s="53">
        <v>2006</v>
      </c>
      <c r="E1911" s="37">
        <v>182910524</v>
      </c>
      <c r="F1911" s="37">
        <v>153648989</v>
      </c>
      <c r="G1911" s="37">
        <v>418980204</v>
      </c>
      <c r="H1911" s="37">
        <v>0</v>
      </c>
      <c r="I1911" s="55">
        <f t="shared" si="86"/>
        <v>755539717</v>
      </c>
      <c r="J1911" s="54">
        <v>-1554781</v>
      </c>
      <c r="K1911" s="56">
        <f t="shared" si="89"/>
        <v>753984936</v>
      </c>
      <c r="L1911" s="37">
        <v>0</v>
      </c>
      <c r="O1911" s="38" t="str">
        <f>IF([1]totrevprm!O1912="","",[1]totrevprm!O1912)</f>
        <v/>
      </c>
      <c r="V1911" s="38"/>
      <c r="W1911" s="58"/>
      <c r="X1911" s="58"/>
      <c r="Y1911" s="58"/>
      <c r="Z1911" s="58"/>
    </row>
    <row r="1912" spans="1:26">
      <c r="A1912" s="50" t="s">
        <v>78</v>
      </c>
      <c r="B1912" s="51" t="s">
        <v>605</v>
      </c>
      <c r="C1912" s="52"/>
      <c r="D1912" s="53">
        <v>2007</v>
      </c>
      <c r="E1912" s="37">
        <v>180717209</v>
      </c>
      <c r="F1912" s="37">
        <v>149039649</v>
      </c>
      <c r="G1912" s="37">
        <v>462168616</v>
      </c>
      <c r="H1912" s="37">
        <v>0</v>
      </c>
      <c r="I1912" s="55">
        <f t="shared" si="86"/>
        <v>791925474</v>
      </c>
      <c r="J1912" s="54">
        <v>-2293</v>
      </c>
      <c r="K1912" s="56">
        <f t="shared" si="89"/>
        <v>791923181</v>
      </c>
      <c r="L1912" s="37">
        <v>0</v>
      </c>
      <c r="O1912" s="38" t="str">
        <f>IF([1]totrevprm!O1913="","",[1]totrevprm!O1913)</f>
        <v/>
      </c>
      <c r="V1912" s="38"/>
      <c r="W1912" s="58"/>
      <c r="X1912" s="58"/>
      <c r="Y1912" s="58"/>
      <c r="Z1912" s="58"/>
    </row>
    <row r="1913" spans="1:26">
      <c r="A1913" s="50" t="s">
        <v>78</v>
      </c>
      <c r="B1913" s="51" t="s">
        <v>605</v>
      </c>
      <c r="C1913" s="52"/>
      <c r="D1913" s="53">
        <v>2008</v>
      </c>
      <c r="E1913" s="37">
        <v>191747893</v>
      </c>
      <c r="F1913" s="37">
        <v>224541275</v>
      </c>
      <c r="G1913" s="37">
        <v>499628794</v>
      </c>
      <c r="H1913" s="37">
        <v>0</v>
      </c>
      <c r="I1913" s="55">
        <f t="shared" si="86"/>
        <v>915917962</v>
      </c>
      <c r="J1913" s="54">
        <v>-2002</v>
      </c>
      <c r="K1913" s="56">
        <f t="shared" si="89"/>
        <v>915915960</v>
      </c>
      <c r="L1913" s="37">
        <v>0</v>
      </c>
      <c r="O1913" s="38" t="str">
        <f>IF([1]totrevprm!O1914="","",[1]totrevprm!O1914)</f>
        <v/>
      </c>
      <c r="V1913" s="38"/>
      <c r="W1913" s="58"/>
      <c r="X1913" s="58"/>
      <c r="Y1913" s="58"/>
      <c r="Z1913" s="58"/>
    </row>
    <row r="1914" spans="1:26">
      <c r="A1914" s="50" t="s">
        <v>78</v>
      </c>
      <c r="B1914" s="51" t="s">
        <v>605</v>
      </c>
      <c r="C1914" s="52"/>
      <c r="D1914" s="53">
        <v>2009</v>
      </c>
      <c r="E1914" s="37">
        <v>223997448</v>
      </c>
      <c r="F1914" s="37">
        <v>215799870</v>
      </c>
      <c r="G1914" s="37">
        <v>566909036</v>
      </c>
      <c r="H1914" s="37">
        <v>0</v>
      </c>
      <c r="I1914" s="55">
        <f t="shared" si="86"/>
        <v>1006706354</v>
      </c>
      <c r="J1914" s="54">
        <v>-2</v>
      </c>
      <c r="K1914" s="56">
        <f t="shared" si="89"/>
        <v>1006706352</v>
      </c>
      <c r="L1914" s="37">
        <v>0</v>
      </c>
      <c r="O1914" s="38" t="str">
        <f>IF([1]totrevprm!O1915="","",[1]totrevprm!O1915)</f>
        <v/>
      </c>
      <c r="V1914" s="38"/>
      <c r="W1914" s="58"/>
      <c r="X1914" s="58"/>
      <c r="Y1914" s="58"/>
      <c r="Z1914" s="58"/>
    </row>
    <row r="1915" spans="1:26">
      <c r="A1915" s="50" t="s">
        <v>78</v>
      </c>
      <c r="B1915" s="51" t="s">
        <v>605</v>
      </c>
      <c r="C1915" s="52"/>
      <c r="D1915" s="53">
        <v>2010</v>
      </c>
      <c r="E1915" s="37">
        <v>231475665</v>
      </c>
      <c r="F1915" s="37">
        <v>177900568</v>
      </c>
      <c r="G1915" s="37">
        <v>539615942</v>
      </c>
      <c r="H1915" s="37">
        <v>0</v>
      </c>
      <c r="I1915" s="55">
        <f t="shared" si="86"/>
        <v>948992175</v>
      </c>
      <c r="J1915" s="54">
        <v>-361</v>
      </c>
      <c r="K1915" s="56">
        <f t="shared" si="89"/>
        <v>948991814</v>
      </c>
      <c r="L1915" s="37">
        <v>0</v>
      </c>
      <c r="O1915" s="38" t="str">
        <f>IF([1]totrevprm!O1916="","",[1]totrevprm!O1916)</f>
        <v/>
      </c>
      <c r="V1915" s="38"/>
      <c r="W1915" s="58"/>
      <c r="X1915" s="58"/>
      <c r="Y1915" s="58"/>
      <c r="Z1915" s="58"/>
    </row>
    <row r="1916" spans="1:26">
      <c r="A1916" s="50" t="s">
        <v>78</v>
      </c>
      <c r="B1916" s="51" t="s">
        <v>605</v>
      </c>
      <c r="C1916" s="52"/>
      <c r="D1916" s="53">
        <v>2011</v>
      </c>
      <c r="E1916" s="37">
        <v>236765939</v>
      </c>
      <c r="F1916" s="37">
        <v>204037972</v>
      </c>
      <c r="G1916" s="37">
        <v>653704898</v>
      </c>
      <c r="H1916" s="37">
        <v>0</v>
      </c>
      <c r="I1916" s="55">
        <f t="shared" si="86"/>
        <v>1094508809</v>
      </c>
      <c r="J1916" s="54">
        <v>-8566</v>
      </c>
      <c r="K1916" s="56">
        <f t="shared" si="89"/>
        <v>1094500243</v>
      </c>
      <c r="L1916" s="37">
        <v>0</v>
      </c>
      <c r="O1916" s="38" t="str">
        <f>IF([1]totrevprm!O1917="","",[1]totrevprm!O1917)</f>
        <v/>
      </c>
      <c r="V1916" s="38"/>
      <c r="W1916" s="58"/>
      <c r="X1916" s="58"/>
      <c r="Y1916" s="58"/>
      <c r="Z1916" s="58"/>
    </row>
    <row r="1917" spans="1:26">
      <c r="A1917" s="50" t="s">
        <v>78</v>
      </c>
      <c r="B1917" s="51" t="s">
        <v>605</v>
      </c>
      <c r="C1917" s="52"/>
      <c r="D1917" s="53">
        <v>2012</v>
      </c>
      <c r="E1917" s="37">
        <v>263181234</v>
      </c>
      <c r="F1917" s="37">
        <v>217793921</v>
      </c>
      <c r="G1917" s="37">
        <v>581654370</v>
      </c>
      <c r="H1917" s="37">
        <v>0</v>
      </c>
      <c r="I1917" s="55">
        <f t="shared" si="86"/>
        <v>1062629525</v>
      </c>
      <c r="J1917" s="54">
        <v>-7871</v>
      </c>
      <c r="K1917" s="56">
        <f t="shared" si="89"/>
        <v>1062621654</v>
      </c>
      <c r="L1917" s="37">
        <v>0</v>
      </c>
      <c r="O1917" s="38" t="str">
        <f>IF([1]totrevprm!O1918="","",[1]totrevprm!O1918)</f>
        <v/>
      </c>
      <c r="V1917" s="38"/>
      <c r="W1917" s="58"/>
      <c r="X1917" s="58"/>
      <c r="Y1917" s="58"/>
      <c r="Z1917" s="58"/>
    </row>
    <row r="1918" spans="1:26">
      <c r="A1918" s="50" t="s">
        <v>78</v>
      </c>
      <c r="B1918" s="51" t="s">
        <v>605</v>
      </c>
      <c r="C1918" s="52"/>
      <c r="D1918" s="53">
        <v>2013</v>
      </c>
      <c r="E1918" s="37">
        <v>273349813</v>
      </c>
      <c r="F1918" s="37">
        <v>234916620</v>
      </c>
      <c r="G1918" s="37">
        <v>597008797</v>
      </c>
      <c r="H1918" s="37">
        <v>0</v>
      </c>
      <c r="I1918" s="55">
        <f t="shared" si="86"/>
        <v>1105275230</v>
      </c>
      <c r="J1918" s="54">
        <v>-4</v>
      </c>
      <c r="K1918" s="56">
        <f t="shared" si="89"/>
        <v>1105275226</v>
      </c>
      <c r="L1918" s="37">
        <v>0</v>
      </c>
      <c r="O1918" s="38" t="str">
        <f>IF([1]totrevprm!O1919="","",[1]totrevprm!O1919)</f>
        <v/>
      </c>
      <c r="V1918" s="38"/>
      <c r="W1918" s="58"/>
      <c r="X1918" s="58"/>
      <c r="Y1918" s="58"/>
      <c r="Z1918" s="58"/>
    </row>
    <row r="1919" spans="1:26">
      <c r="A1919" s="50" t="s">
        <v>78</v>
      </c>
      <c r="B1919" s="51" t="s">
        <v>605</v>
      </c>
      <c r="C1919" s="52"/>
      <c r="D1919" s="53">
        <v>2014</v>
      </c>
      <c r="E1919" s="37">
        <v>275521224</v>
      </c>
      <c r="F1919" s="37">
        <v>252162533</v>
      </c>
      <c r="G1919" s="37">
        <v>630904451.29999995</v>
      </c>
      <c r="H1919" s="37">
        <v>0</v>
      </c>
      <c r="I1919" s="55">
        <f t="shared" si="86"/>
        <v>1158588208.3</v>
      </c>
      <c r="J1919" s="54">
        <v>-2</v>
      </c>
      <c r="K1919" s="56">
        <f t="shared" si="89"/>
        <v>1158588206.3</v>
      </c>
      <c r="L1919" s="37">
        <v>0</v>
      </c>
      <c r="O1919" s="38" t="str">
        <f>IF([1]totrevprm!O1920="","",[1]totrevprm!O1920)</f>
        <v/>
      </c>
      <c r="V1919" s="38"/>
      <c r="W1919" s="58"/>
      <c r="X1919" s="58"/>
      <c r="Y1919" s="58"/>
      <c r="Z1919" s="58"/>
    </row>
    <row r="1920" spans="1:26">
      <c r="A1920" s="50" t="s">
        <v>78</v>
      </c>
      <c r="B1920" s="51" t="s">
        <v>605</v>
      </c>
      <c r="C1920" s="52"/>
      <c r="D1920" s="53">
        <v>2015</v>
      </c>
      <c r="E1920" s="37">
        <v>282207367</v>
      </c>
      <c r="F1920" s="37">
        <v>283440612</v>
      </c>
      <c r="G1920" s="37">
        <v>638288764.23099995</v>
      </c>
      <c r="H1920" s="37">
        <v>0</v>
      </c>
      <c r="I1920" s="55">
        <f t="shared" si="86"/>
        <v>1203936743.2309999</v>
      </c>
      <c r="J1920" s="54">
        <v>-76</v>
      </c>
      <c r="K1920" s="56">
        <f t="shared" si="89"/>
        <v>1203936667.2309999</v>
      </c>
      <c r="L1920" s="37">
        <v>0</v>
      </c>
      <c r="O1920" s="38" t="str">
        <f>IF([1]totrevprm!O1921="","",[1]totrevprm!O1921)</f>
        <v/>
      </c>
      <c r="P1920" s="35">
        <v>33330182.654319439</v>
      </c>
      <c r="Q1920" s="35">
        <v>19557901</v>
      </c>
      <c r="V1920" s="38"/>
      <c r="W1920" s="58"/>
      <c r="X1920" s="58"/>
      <c r="Y1920" s="58"/>
      <c r="Z1920" s="58"/>
    </row>
    <row r="1921" spans="1:26">
      <c r="A1921" s="50" t="s">
        <v>78</v>
      </c>
      <c r="B1921" s="51" t="s">
        <v>605</v>
      </c>
      <c r="C1921" s="52"/>
      <c r="D1921" s="53">
        <v>2016</v>
      </c>
      <c r="E1921" s="37">
        <v>271521207</v>
      </c>
      <c r="F1921" s="37">
        <v>331677202</v>
      </c>
      <c r="G1921" s="37">
        <v>651623704</v>
      </c>
      <c r="H1921" s="37">
        <v>0</v>
      </c>
      <c r="I1921" s="55">
        <f t="shared" si="86"/>
        <v>1254822113</v>
      </c>
      <c r="J1921" s="54">
        <v>-3</v>
      </c>
      <c r="K1921" s="56">
        <f t="shared" si="89"/>
        <v>1254822110</v>
      </c>
      <c r="L1921" s="37">
        <v>0</v>
      </c>
      <c r="O1921" s="38" t="str">
        <f>IF([1]totrevprm!O1922="","",[1]totrevprm!O1922)</f>
        <v/>
      </c>
      <c r="P1921" s="35">
        <v>35230767.417936556</v>
      </c>
      <c r="Q1921" s="35">
        <v>20344232.84</v>
      </c>
      <c r="V1921" s="38"/>
      <c r="W1921" s="58"/>
      <c r="X1921" s="58"/>
      <c r="Y1921" s="58"/>
      <c r="Z1921" s="58"/>
    </row>
    <row r="1922" spans="1:26">
      <c r="A1922" s="50" t="s">
        <v>78</v>
      </c>
      <c r="B1922" s="51" t="s">
        <v>605</v>
      </c>
      <c r="C1922" s="52"/>
      <c r="D1922" s="53">
        <v>2017</v>
      </c>
      <c r="E1922" s="37">
        <v>281742494</v>
      </c>
      <c r="F1922" s="37">
        <v>271110416</v>
      </c>
      <c r="G1922" s="37">
        <v>677450298.93000007</v>
      </c>
      <c r="H1922" s="37">
        <v>0</v>
      </c>
      <c r="I1922" s="55">
        <f t="shared" si="86"/>
        <v>1230303208.9300001</v>
      </c>
      <c r="J1922" s="54">
        <v>-1340</v>
      </c>
      <c r="K1922" s="56">
        <f t="shared" si="89"/>
        <v>1230301868.9300001</v>
      </c>
      <c r="L1922" s="37">
        <v>0</v>
      </c>
      <c r="O1922" s="38" t="str">
        <f>IF([1]totrevprm!O1923="","",[1]totrevprm!O1923)</f>
        <v/>
      </c>
      <c r="P1922" s="35">
        <v>33383612.334982764</v>
      </c>
      <c r="Q1922" s="35">
        <v>19036740.030000001</v>
      </c>
      <c r="V1922" s="38"/>
      <c r="W1922" s="58"/>
      <c r="X1922" s="58"/>
      <c r="Y1922" s="58"/>
      <c r="Z1922" s="58"/>
    </row>
    <row r="1923" spans="1:26">
      <c r="A1923" s="50" t="s">
        <v>78</v>
      </c>
      <c r="B1923" s="51" t="s">
        <v>605</v>
      </c>
      <c r="C1923" s="52"/>
      <c r="D1923" s="53">
        <v>2018</v>
      </c>
      <c r="E1923" s="37">
        <v>272882488</v>
      </c>
      <c r="F1923" s="37">
        <v>421435877</v>
      </c>
      <c r="G1923" s="37">
        <v>798791040.42000008</v>
      </c>
      <c r="H1923" s="37">
        <v>0</v>
      </c>
      <c r="I1923" s="55">
        <f t="shared" si="86"/>
        <v>1493109405.4200001</v>
      </c>
      <c r="J1923" s="54">
        <v>-4248335</v>
      </c>
      <c r="K1923" s="56">
        <f t="shared" si="89"/>
        <v>1488861070.4200001</v>
      </c>
      <c r="L1923" s="60">
        <v>0</v>
      </c>
      <c r="O1923" s="38" t="str">
        <f>IF([1]totrevprm!O1924="","",[1]totrevprm!O1924)</f>
        <v/>
      </c>
      <c r="P1923" s="35">
        <v>32360271.399999999</v>
      </c>
      <c r="Q1923" s="35">
        <v>19689447</v>
      </c>
      <c r="V1923" s="38"/>
      <c r="W1923" s="58"/>
      <c r="X1923" s="58"/>
      <c r="Y1923" s="58"/>
      <c r="Z1923" s="58"/>
    </row>
    <row r="1924" spans="1:26">
      <c r="A1924" s="50" t="s">
        <v>78</v>
      </c>
      <c r="B1924" s="51" t="s">
        <v>605</v>
      </c>
      <c r="C1924" s="52"/>
      <c r="D1924" s="53">
        <v>2019</v>
      </c>
      <c r="E1924" s="37">
        <v>375458402</v>
      </c>
      <c r="F1924" s="37">
        <v>316566250</v>
      </c>
      <c r="G1924" s="37">
        <v>794568555.39999998</v>
      </c>
      <c r="H1924" s="37">
        <v>0</v>
      </c>
      <c r="I1924" s="55">
        <f t="shared" si="86"/>
        <v>1486593207.4000001</v>
      </c>
      <c r="J1924" s="54">
        <v>-243912</v>
      </c>
      <c r="K1924" s="56">
        <f t="shared" si="89"/>
        <v>1486349295.4000001</v>
      </c>
      <c r="L1924" s="60">
        <v>0</v>
      </c>
      <c r="M1924" s="69" t="s">
        <v>771</v>
      </c>
      <c r="N1924" t="s">
        <v>708</v>
      </c>
      <c r="O1924" s="38" t="str">
        <f>IF([1]totrevprm!O1925="","",[1]totrevprm!O1925)</f>
        <v>Yes</v>
      </c>
      <c r="P1924" s="35">
        <v>30481115.819189314</v>
      </c>
      <c r="Q1924" s="35">
        <v>19670456.280000001</v>
      </c>
      <c r="V1924" s="38"/>
      <c r="W1924" s="58"/>
      <c r="X1924" s="58"/>
      <c r="Y1924" s="58"/>
      <c r="Z1924" s="58"/>
    </row>
    <row r="1925" spans="1:26">
      <c r="A1925" s="50" t="s">
        <v>78</v>
      </c>
      <c r="B1925" s="51" t="s">
        <v>605</v>
      </c>
      <c r="C1925" s="52"/>
      <c r="D1925" s="53">
        <v>2020</v>
      </c>
      <c r="E1925" s="37">
        <v>291049094</v>
      </c>
      <c r="F1925" s="37">
        <v>248114154</v>
      </c>
      <c r="G1925" s="37">
        <v>799168038</v>
      </c>
      <c r="H1925" s="37">
        <v>0</v>
      </c>
      <c r="I1925" s="55">
        <f t="shared" si="86"/>
        <v>1338331286</v>
      </c>
      <c r="J1925" s="54">
        <v>-5</v>
      </c>
      <c r="K1925" s="56">
        <f t="shared" si="89"/>
        <v>1338331281</v>
      </c>
      <c r="L1925" s="60">
        <v>0</v>
      </c>
      <c r="M1925" s="69" t="s">
        <v>739</v>
      </c>
      <c r="N1925" t="s">
        <v>708</v>
      </c>
      <c r="O1925" s="38" t="str">
        <f>IF([1]totrevprm!O1926="","",[1]totrevprm!O1926)</f>
        <v/>
      </c>
      <c r="P1925" s="35">
        <v>30544710</v>
      </c>
      <c r="Q1925" s="35">
        <v>18977193</v>
      </c>
      <c r="V1925" s="38"/>
      <c r="W1925" s="58"/>
      <c r="X1925" s="58"/>
      <c r="Y1925" s="58"/>
      <c r="Z1925" s="58"/>
    </row>
    <row r="1926" spans="1:26">
      <c r="A1926" s="50" t="s">
        <v>78</v>
      </c>
      <c r="B1926" s="51" t="s">
        <v>605</v>
      </c>
      <c r="C1926" s="52"/>
      <c r="D1926" s="53">
        <v>2021</v>
      </c>
      <c r="E1926" s="37">
        <v>313216443</v>
      </c>
      <c r="F1926" s="37">
        <v>328101016</v>
      </c>
      <c r="G1926" s="37">
        <v>833741977</v>
      </c>
      <c r="H1926" s="37">
        <v>0</v>
      </c>
      <c r="I1926" s="55">
        <f t="shared" si="86"/>
        <v>1475059436</v>
      </c>
      <c r="J1926" s="60">
        <v>-3</v>
      </c>
      <c r="K1926" s="56">
        <f t="shared" si="89"/>
        <v>1475059433</v>
      </c>
      <c r="L1926" s="60">
        <v>0</v>
      </c>
      <c r="M1926" s="69" t="s">
        <v>739</v>
      </c>
      <c r="N1926" t="s">
        <v>708</v>
      </c>
      <c r="O1926" s="38"/>
      <c r="P1926" s="35">
        <v>30708592.25</v>
      </c>
      <c r="Q1926" s="35">
        <v>19188102</v>
      </c>
      <c r="V1926" s="38"/>
      <c r="W1926" s="58"/>
      <c r="X1926" s="58"/>
      <c r="Y1926" s="58"/>
      <c r="Z1926" s="58"/>
    </row>
    <row r="1927" spans="1:26">
      <c r="A1927" s="50" t="s">
        <v>78</v>
      </c>
      <c r="B1927" s="51" t="s">
        <v>605</v>
      </c>
      <c r="C1927" s="52"/>
      <c r="D1927" s="53">
        <v>2022</v>
      </c>
      <c r="E1927" s="37">
        <v>344129719</v>
      </c>
      <c r="F1927" s="37">
        <v>500854155</v>
      </c>
      <c r="G1927" s="37">
        <v>912329339</v>
      </c>
      <c r="H1927" s="37">
        <v>0</v>
      </c>
      <c r="I1927" s="55">
        <f t="shared" si="86"/>
        <v>1757313213</v>
      </c>
      <c r="J1927" s="60">
        <v>-76825</v>
      </c>
      <c r="K1927" s="56">
        <f t="shared" si="89"/>
        <v>1757236388</v>
      </c>
      <c r="L1927" s="60">
        <v>0</v>
      </c>
      <c r="M1927" s="69" t="s">
        <v>739</v>
      </c>
      <c r="N1927" t="s">
        <v>708</v>
      </c>
      <c r="P1927" s="60">
        <v>32425970</v>
      </c>
      <c r="Q1927" s="60">
        <v>18839717</v>
      </c>
    </row>
    <row r="1928" spans="1:26">
      <c r="A1928" s="50" t="s">
        <v>78</v>
      </c>
      <c r="B1928" s="51" t="s">
        <v>605</v>
      </c>
      <c r="C1928" s="52"/>
      <c r="D1928" s="53">
        <v>2023</v>
      </c>
      <c r="E1928" s="37">
        <v>345875198</v>
      </c>
      <c r="F1928" s="37">
        <v>475541319.92500001</v>
      </c>
      <c r="G1928" s="37">
        <v>1009159751</v>
      </c>
      <c r="H1928" s="37">
        <v>0</v>
      </c>
      <c r="I1928" s="55">
        <f t="shared" si="86"/>
        <v>1830576268.925</v>
      </c>
      <c r="J1928" s="60">
        <v>-7</v>
      </c>
      <c r="K1928" s="56">
        <f t="shared" si="89"/>
        <v>1830576261.925</v>
      </c>
      <c r="L1928" s="37">
        <v>0</v>
      </c>
      <c r="M1928" s="69" t="s">
        <v>739</v>
      </c>
      <c r="P1928" s="66">
        <v>35194563.149999999</v>
      </c>
      <c r="Q1928" s="66">
        <v>18710365</v>
      </c>
    </row>
    <row r="1929" spans="1:26">
      <c r="A1929" s="50"/>
      <c r="B1929" s="52"/>
      <c r="C1929" s="52"/>
      <c r="E1929" s="54"/>
      <c r="F1929" s="54"/>
      <c r="G1929" s="54"/>
      <c r="H1929" s="54"/>
      <c r="I1929" s="37"/>
      <c r="K1929" s="65"/>
      <c r="L1929" s="37"/>
    </row>
    <row r="1930" spans="1:26">
      <c r="A1930" s="88" t="s">
        <v>822</v>
      </c>
      <c r="B1930" s="88" t="s">
        <v>822</v>
      </c>
      <c r="C1930" s="89"/>
      <c r="D1930" s="89">
        <v>1988</v>
      </c>
      <c r="E1930" s="54">
        <f>E6+E43+E80+E117+E154+E191+E228+E265+E302+E339+E376+E413+E450+E487+E524+E561+E598+E635+E672+E709+E746+E783+E820+E857+E894+E931+E968+E1005+E1042+E1079+E1116+E1153+E1190+E1227+E1264+E1301+E1338+E1375+E1412+E1449+E1486+E1523+E1560+E1597+E1634+E1671+E1708+E1745+E1782+E1819+E1856+E1893</f>
        <v>56388254348</v>
      </c>
      <c r="F1930" s="54">
        <f>F6+F43+F80+F117+F154+F191+F228+F265+F302+F339+F376+F413+F450+F487+F524+F561+F598+F635+F672+F709+F746+F783+F820+F857+F894+F931+F968+F1005+F1042+F1079+F1116+F1153+F1190+F1227+F1264+F1301+F1338+F1375+F1412+F1449+F1486+F1523+F1560+F1597+F1634+F1671+F1708+F1745+F1782+F1819+F1856+F1893</f>
        <v>47263267591</v>
      </c>
      <c r="G1930" s="54">
        <f>G6+G43+G80+G117+G154+G191+G228+G265+G302+G339+G376+G413+G450+G487+G524+G561+G598+G635+G672+G709+G746+G783+G820+G857+G894+G931+G968+G1005+G1042+G1079+G1116+G1153+G1190+G1227+G1264+G1301+G1338+G1375+G1412+G1449+G1486+G1523+G1560+G1597+G1634+G1671+G1708+G1745+G1782+G1819+G1856+G1893</f>
        <v>67909694904</v>
      </c>
      <c r="H1930" s="54">
        <f>H6+H43+H80+H117+H154+H191+H228+H265+H302+H339+H376+H413+H450+H487+H524+H561+H598+H635+H672+H709+H746+H783+H820+H857+H894+H931+H968+H1005+H1042+H1079+H1116+H1153+H1190+H1227+H1264+H1301+H1338+H1375+H1412+H1449+H1486+H1523+H1560+H1597+H1634+H1671+H1708+H1745+H1782+H1819+H1856+H1893</f>
        <v>13003786835</v>
      </c>
      <c r="I1930" s="55">
        <f>+I43+I6+I117+I80+I154+I191+I228+I265+I339+I376+I413+I561+I450+I487+I524+I598+I635+I672+I783+I746+I709+I820+I857+I931+I894+I968+I1227+I1264+I1005+I1079+I1116+I1153+I1042+I1190+I1301+I1338+I1375+I1412+I1449+I1486+I1523+I1560+I1597+I1634+I1671+I1745+I1708+I1782+I1856+I1819+I1893+I302</f>
        <v>184565003678</v>
      </c>
      <c r="J1930" s="54">
        <f>+J43+J6+J117+J80+J154+J191+J228+J265+J339+J376+J413+J561+J450+J487+J524+J598+J635+J672+J783+J746+J709+J820+J857+J931+J894+J968+J1227+J1264+J1005+J1079+J1116+J1153+J1042+J1190+J1301+J1338+J1375+J1412+J1449+J1486+J1523+J1560+J1597+J1634+J1671+J1745+J1708+J1782+J1856+J1819+J1893+J302</f>
        <v>-118478330</v>
      </c>
      <c r="K1930" s="56">
        <f>+K43+K6+K117+K80+K154+K191+K228+K265+K339+K376+K413+K561+K450+K487+K524+K598+K635+K672+K783+K746+K709+K820+K857+K931+K894+K968+K1227+K1264+K1005+K1079+K1116+K1153+K1042+K1190+K1301+K1338+K1375+K1412+K1449+K1486+K1523+K1560+K1597+K1634+K1671+K1745+K1708+K1782+K1856+K1819+K1893+K302</f>
        <v>184446525348</v>
      </c>
      <c r="L1930" s="37">
        <f>+L43+L6+L117+L80+L154+L191+L228+L265+L339+L376+L413+L561+L450+L487+L524+L598+L635+L672+L783+L746+L709+L820+L857+L931+L894+L968+L1227+L1264+L1005+L1079+L1116+L1153+L1042+L1190+L1301+L1338+L1375+L1412+L1449+L1486+L1523+L1560+L1597+L1634+L1671+L1745+L1708+L1782+L1856+L1819+L1893+L302</f>
        <v>65627302</v>
      </c>
      <c r="P1930" s="54">
        <f t="shared" ref="P1930:Q1945" si="90">P6+P43+P80+P117+P154+P191+P228+P265+P302+P339+P376+P413+P450+P487+P524+P561+P598+P635+P672+P709+P746+P783+P820+P857+P894+P931+P968+P1005+P1042+P1079+P1116+P1153+P1190+P1227+P1264+P1301+P1338+P1375+P1412+P1449+P1486+P1523+P1560+P1597+P1634+P1671+P1708+P1745+P1782+P1819+P1856+P1893</f>
        <v>0</v>
      </c>
      <c r="Q1930" s="54">
        <f t="shared" si="90"/>
        <v>0</v>
      </c>
      <c r="S1930" s="54">
        <f t="shared" ref="S1930:S1962" si="91">S6+S43+S80+S117+S154+S191+S228+S265+S302+S339+S376+S413+S450+S487+S524+S561+S598+S635+S672+S709+S746+S783+S820+S857+S894+S931+S968+S1005+S1042+S1079+S1116+S1153+S1190+S1227+S1264+S1301+S1338+S1375+S1412+S1449+S1486+S1523+S1560+S1597+S1634+S1671+S1708+S1745+S1782+S1819+S1856+S1893</f>
        <v>0</v>
      </c>
      <c r="W1930" s="37">
        <f>+W43+W6+W117+W80+W154+W191+W228+W265+W339+W376+W413+W561+W450+W487+W524+W598+W635+W672+W783+W746+W709+W820+W857+W931+W894+W968+W1227+W1264+W1005+W1079+W1116+W1153+W1042+W1190+W1301+W1338+W1375+W1412+W1449+W1486+W1523+W1560+W1597+W1634+W1671+W1745+W1708+W1782+W1856+W1819+W1893+W302</f>
        <v>0</v>
      </c>
      <c r="X1930" s="37">
        <f>+X43+X6+X117+X80+X154+X191+X228+X265+X339+X376+X413+X561+X450+X487+X524+X598+X635+X672+X783+X746+X709+X820+X857+X931+X894+X968+X1227+X1264+X1005+X1079+X1116+X1153+X1042+X1190+X1301+X1338+X1375+X1412+X1449+X1486+X1523+X1560+X1597+X1634+X1671+X1745+X1708+X1782+X1856+X1819+X1893+X302</f>
        <v>0</v>
      </c>
      <c r="Y1930" s="37">
        <f>+Y43+Y6+Y117+Y80+Y154+Y191+Y228+Y265+Y339+Y376+Y413+Y561+Y450+Y487+Y524+Y598+Y635+Y672+Y783+Y746+Y709+Y820+Y857+Y931+Y894+Y968+Y1227+Y1264+Y1005+Y1079+Y1116+Y1153+Y1042+Y1190+Y1301+Y1338+Y1375+Y1412+Y1449+Y1486+Y1523+Y1560+Y1597+Y1634+Y1671+Y1745+Y1708+Y1782+Y1856+Y1819+Y1893+Y302</f>
        <v>0</v>
      </c>
      <c r="Z1930" s="37">
        <f>+Z43+Z6+Z117+Z80+Z154+Z191+Z228+Z265+Z339+Z376+Z413+Z561+Z450+Z487+Z524+Z598+Z635+Z672+Z783+Z746+Z709+Z820+Z857+Z931+Z894+Z968+Z1227+Z1264+Z1005+Z1079+Z1116+Z1153+Z1042+Z1190+Z1301+Z1338+Z1375+Z1412+Z1449+Z1486+Z1523+Z1560+Z1597+Z1634+Z1671+Z1745+Z1708+Z1782+Z1856+Z1819+Z1893+Z302</f>
        <v>0</v>
      </c>
    </row>
    <row r="1931" spans="1:26">
      <c r="A1931" s="88" t="s">
        <v>822</v>
      </c>
      <c r="B1931" s="88" t="s">
        <v>822</v>
      </c>
      <c r="C1931" s="38"/>
      <c r="D1931" s="89">
        <v>1989</v>
      </c>
      <c r="E1931" s="54">
        <f t="shared" ref="E1931:H1946" si="92">E7+E44+E81+E118+E155+E192+E229+E266+E303+E340+E377+E414+E451+E488+E525+E562+E599+E636+E673+E710+E747+E784+E821+E858+E895+E932+E969+E1006+E1043+E1080+E1117+E1154+E1191+E1228+E1265+E1302+E1339+E1376+E1413+E1450+E1487+E1524+E1561+E1598+E1635+E1672+E1709+E1746+E1783+E1820+E1857+E1894</f>
        <v>55236476397</v>
      </c>
      <c r="F1931" s="54">
        <f t="shared" si="92"/>
        <v>51478466586</v>
      </c>
      <c r="G1931" s="54">
        <f t="shared" si="92"/>
        <v>72068971823</v>
      </c>
      <c r="H1931" s="54">
        <f t="shared" si="92"/>
        <v>13398723461</v>
      </c>
      <c r="I1931" s="55">
        <f t="shared" ref="I1931:L1946" si="93">+I44+I7+I118+I81+I155+I192+I229+I266+I340+I377+I414+I562+I451+I488+I525+I599+I636+I673+I784+I747+I710+I821+I858+I932+I895+I969+I1228+I1265+I1006+I1080+I1117+I1154+I1043+I1191+I1302+I1339+I1376+I1413+I1450+I1487+I1524+I1561+I1598+I1635+I1672+I1746+I1709+I1783+I1857+I1820+I1894+I303</f>
        <v>192182638267</v>
      </c>
      <c r="J1931" s="54">
        <f t="shared" si="93"/>
        <v>-189466925</v>
      </c>
      <c r="K1931" s="56">
        <f t="shared" si="93"/>
        <v>191993171342</v>
      </c>
      <c r="L1931" s="37">
        <f t="shared" si="93"/>
        <v>83207030</v>
      </c>
      <c r="P1931" s="54">
        <f t="shared" si="90"/>
        <v>0</v>
      </c>
      <c r="Q1931" s="54">
        <f t="shared" si="90"/>
        <v>0</v>
      </c>
      <c r="S1931" s="54">
        <f t="shared" si="91"/>
        <v>0</v>
      </c>
      <c r="W1931" s="37">
        <f t="shared" ref="W1931:Z1941" si="94">+W44+W7+W118+W81+W155+W192+W229+W266+W340+W377+W414+W562+W451+W488+W525+W599+W636+W673+W784+W747+W710+W821+W858+W932+W895+W969+W1228+W1265+W1006+W1080+W1117+W1154+W1043+W1191+W1302+W1339+W1376+W1413+W1450+W1487+W1524+W1561+W1598+W1635+W1672+W1746+W1709+W1783+W1857+W1820+W1894+W303</f>
        <v>0</v>
      </c>
      <c r="X1931" s="37">
        <f t="shared" si="94"/>
        <v>0</v>
      </c>
      <c r="Y1931" s="37">
        <f t="shared" si="94"/>
        <v>0</v>
      </c>
      <c r="Z1931" s="37">
        <f t="shared" si="94"/>
        <v>0</v>
      </c>
    </row>
    <row r="1932" spans="1:26">
      <c r="A1932" s="88" t="s">
        <v>822</v>
      </c>
      <c r="B1932" s="88" t="s">
        <v>822</v>
      </c>
      <c r="C1932" s="38"/>
      <c r="D1932" s="89">
        <v>1990</v>
      </c>
      <c r="E1932" s="54">
        <f t="shared" si="92"/>
        <v>59745978030</v>
      </c>
      <c r="F1932" s="54">
        <f t="shared" si="92"/>
        <v>59210480857.200012</v>
      </c>
      <c r="G1932" s="54">
        <f t="shared" si="92"/>
        <v>76031191445</v>
      </c>
      <c r="H1932" s="54">
        <f t="shared" si="92"/>
        <v>13185715755</v>
      </c>
      <c r="I1932" s="55">
        <f t="shared" si="93"/>
        <v>208173366087.20001</v>
      </c>
      <c r="J1932" s="54">
        <f t="shared" si="93"/>
        <v>-200328294</v>
      </c>
      <c r="K1932" s="56">
        <f t="shared" si="93"/>
        <v>207973037793.20001</v>
      </c>
      <c r="L1932" s="37">
        <f t="shared" si="93"/>
        <v>86486025</v>
      </c>
      <c r="P1932" s="54">
        <f t="shared" si="90"/>
        <v>0</v>
      </c>
      <c r="Q1932" s="54">
        <f t="shared" si="90"/>
        <v>0</v>
      </c>
      <c r="S1932" s="54">
        <f t="shared" si="91"/>
        <v>0</v>
      </c>
      <c r="W1932" s="37">
        <f t="shared" si="94"/>
        <v>0</v>
      </c>
      <c r="X1932" s="37">
        <f t="shared" si="94"/>
        <v>0</v>
      </c>
      <c r="Y1932" s="37">
        <f t="shared" si="94"/>
        <v>0</v>
      </c>
      <c r="Z1932" s="37">
        <f t="shared" si="94"/>
        <v>0</v>
      </c>
    </row>
    <row r="1933" spans="1:26">
      <c r="A1933" s="88" t="s">
        <v>822</v>
      </c>
      <c r="B1933" s="88" t="s">
        <v>822</v>
      </c>
      <c r="C1933" s="38"/>
      <c r="D1933" s="89">
        <v>1991</v>
      </c>
      <c r="E1933" s="54">
        <f t="shared" si="92"/>
        <v>63124415917</v>
      </c>
      <c r="F1933" s="54">
        <f t="shared" si="92"/>
        <v>54110160997</v>
      </c>
      <c r="G1933" s="54">
        <f t="shared" si="92"/>
        <v>77211223791</v>
      </c>
      <c r="H1933" s="54">
        <f t="shared" si="92"/>
        <v>15049158581</v>
      </c>
      <c r="I1933" s="55">
        <f t="shared" si="93"/>
        <v>209494959286</v>
      </c>
      <c r="J1933" s="54">
        <f t="shared" si="93"/>
        <v>-136492989</v>
      </c>
      <c r="K1933" s="56">
        <f t="shared" si="93"/>
        <v>209358466297</v>
      </c>
      <c r="L1933" s="37">
        <f t="shared" si="93"/>
        <v>101244119</v>
      </c>
      <c r="P1933" s="54">
        <f t="shared" si="90"/>
        <v>0</v>
      </c>
      <c r="Q1933" s="54">
        <f t="shared" si="90"/>
        <v>0</v>
      </c>
      <c r="S1933" s="54">
        <f t="shared" si="91"/>
        <v>0</v>
      </c>
      <c r="W1933" s="37">
        <f t="shared" si="94"/>
        <v>0</v>
      </c>
      <c r="X1933" s="37">
        <f t="shared" si="94"/>
        <v>0</v>
      </c>
      <c r="Y1933" s="37">
        <f t="shared" si="94"/>
        <v>0</v>
      </c>
      <c r="Z1933" s="37">
        <f t="shared" si="94"/>
        <v>0</v>
      </c>
    </row>
    <row r="1934" spans="1:26">
      <c r="A1934" s="88" t="s">
        <v>822</v>
      </c>
      <c r="B1934" s="88" t="s">
        <v>822</v>
      </c>
      <c r="C1934" s="38"/>
      <c r="D1934" s="89">
        <v>1992</v>
      </c>
      <c r="E1934" s="54">
        <f t="shared" si="92"/>
        <v>66782571580</v>
      </c>
      <c r="F1934" s="54">
        <f t="shared" si="92"/>
        <v>56703419958.799988</v>
      </c>
      <c r="G1934" s="54">
        <f t="shared" si="92"/>
        <v>79348307053</v>
      </c>
      <c r="H1934" s="54">
        <f t="shared" si="92"/>
        <v>12888318201</v>
      </c>
      <c r="I1934" s="55">
        <f t="shared" si="93"/>
        <v>215722616792.80002</v>
      </c>
      <c r="J1934" s="54">
        <f t="shared" si="93"/>
        <v>-50187175</v>
      </c>
      <c r="K1934" s="56">
        <f t="shared" si="93"/>
        <v>215672429617.80002</v>
      </c>
      <c r="L1934" s="37">
        <f t="shared" si="93"/>
        <v>126323239</v>
      </c>
      <c r="P1934" s="54">
        <f t="shared" si="90"/>
        <v>0</v>
      </c>
      <c r="Q1934" s="54">
        <f t="shared" si="90"/>
        <v>0</v>
      </c>
      <c r="S1934" s="54">
        <f t="shared" si="91"/>
        <v>0</v>
      </c>
      <c r="W1934" s="37">
        <f t="shared" si="94"/>
        <v>0</v>
      </c>
      <c r="X1934" s="37">
        <f t="shared" si="94"/>
        <v>0</v>
      </c>
      <c r="Y1934" s="37">
        <f t="shared" si="94"/>
        <v>0</v>
      </c>
      <c r="Z1934" s="37">
        <f t="shared" si="94"/>
        <v>0</v>
      </c>
    </row>
    <row r="1935" spans="1:26">
      <c r="A1935" s="88" t="s">
        <v>822</v>
      </c>
      <c r="B1935" s="88" t="s">
        <v>822</v>
      </c>
      <c r="C1935" s="38"/>
      <c r="D1935" s="89">
        <v>1993</v>
      </c>
      <c r="E1935" s="54">
        <f t="shared" si="92"/>
        <v>71523564638</v>
      </c>
      <c r="F1935" s="54">
        <f t="shared" si="92"/>
        <v>48902588001</v>
      </c>
      <c r="G1935" s="54">
        <f t="shared" si="92"/>
        <v>82280654795</v>
      </c>
      <c r="H1935" s="54">
        <f t="shared" si="92"/>
        <v>12195899332</v>
      </c>
      <c r="I1935" s="55">
        <f t="shared" si="93"/>
        <v>214902706766</v>
      </c>
      <c r="J1935" s="54">
        <f t="shared" si="93"/>
        <v>-62842696</v>
      </c>
      <c r="K1935" s="56">
        <f t="shared" si="93"/>
        <v>214839864070</v>
      </c>
      <c r="L1935" s="37">
        <f t="shared" si="93"/>
        <v>116194692</v>
      </c>
      <c r="P1935" s="54">
        <f t="shared" si="90"/>
        <v>0</v>
      </c>
      <c r="Q1935" s="54">
        <f t="shared" si="90"/>
        <v>0</v>
      </c>
      <c r="S1935" s="54">
        <f t="shared" si="91"/>
        <v>0</v>
      </c>
      <c r="W1935" s="37">
        <f t="shared" si="94"/>
        <v>0</v>
      </c>
      <c r="X1935" s="37">
        <f t="shared" si="94"/>
        <v>0</v>
      </c>
      <c r="Y1935" s="37">
        <f t="shared" si="94"/>
        <v>0</v>
      </c>
      <c r="Z1935" s="37">
        <f t="shared" si="94"/>
        <v>0</v>
      </c>
    </row>
    <row r="1936" spans="1:26">
      <c r="A1936" s="88" t="s">
        <v>822</v>
      </c>
      <c r="B1936" s="88" t="s">
        <v>822</v>
      </c>
      <c r="C1936" s="38"/>
      <c r="D1936" s="89">
        <v>1994</v>
      </c>
      <c r="E1936" s="54">
        <f t="shared" si="92"/>
        <v>76465077072</v>
      </c>
      <c r="F1936" s="54">
        <f t="shared" si="92"/>
        <v>64056662631</v>
      </c>
      <c r="G1936" s="54">
        <f t="shared" si="92"/>
        <v>82657912116</v>
      </c>
      <c r="H1936" s="54">
        <f t="shared" si="92"/>
        <v>11394978331</v>
      </c>
      <c r="I1936" s="55">
        <f t="shared" si="93"/>
        <v>234574630150</v>
      </c>
      <c r="J1936" s="54">
        <f t="shared" si="93"/>
        <v>-1105159487</v>
      </c>
      <c r="K1936" s="56">
        <f t="shared" si="93"/>
        <v>233469470663</v>
      </c>
      <c r="L1936" s="37">
        <f t="shared" si="93"/>
        <v>127716287</v>
      </c>
      <c r="P1936" s="54">
        <f t="shared" si="90"/>
        <v>0</v>
      </c>
      <c r="Q1936" s="54">
        <f t="shared" si="90"/>
        <v>0</v>
      </c>
      <c r="S1936" s="54">
        <f t="shared" si="91"/>
        <v>0</v>
      </c>
      <c r="W1936" s="37">
        <f t="shared" si="94"/>
        <v>0</v>
      </c>
      <c r="X1936" s="37">
        <f t="shared" si="94"/>
        <v>0</v>
      </c>
      <c r="Y1936" s="37">
        <f t="shared" si="94"/>
        <v>0</v>
      </c>
      <c r="Z1936" s="37">
        <f t="shared" si="94"/>
        <v>0</v>
      </c>
    </row>
    <row r="1937" spans="1:26">
      <c r="A1937" s="88" t="s">
        <v>822</v>
      </c>
      <c r="B1937" s="88" t="s">
        <v>822</v>
      </c>
      <c r="C1937" s="38"/>
      <c r="D1937" s="89">
        <v>1995</v>
      </c>
      <c r="E1937" s="54">
        <f t="shared" si="92"/>
        <v>81386026586</v>
      </c>
      <c r="F1937" s="54">
        <f t="shared" si="92"/>
        <v>65051449590</v>
      </c>
      <c r="G1937" s="54">
        <f t="shared" si="92"/>
        <v>88302485204</v>
      </c>
      <c r="H1937" s="54">
        <f t="shared" si="92"/>
        <v>10670395993</v>
      </c>
      <c r="I1937" s="55">
        <f t="shared" si="93"/>
        <v>245410357373</v>
      </c>
      <c r="J1937" s="54">
        <f t="shared" si="93"/>
        <v>-466333822</v>
      </c>
      <c r="K1937" s="56">
        <f t="shared" si="93"/>
        <v>244944023551</v>
      </c>
      <c r="L1937" s="37">
        <f t="shared" si="93"/>
        <v>147261114</v>
      </c>
      <c r="P1937" s="54">
        <f t="shared" si="90"/>
        <v>0</v>
      </c>
      <c r="Q1937" s="54">
        <f t="shared" si="90"/>
        <v>0</v>
      </c>
      <c r="S1937" s="54">
        <f t="shared" si="91"/>
        <v>0</v>
      </c>
      <c r="W1937" s="37">
        <f t="shared" si="94"/>
        <v>0</v>
      </c>
      <c r="X1937" s="37">
        <f t="shared" si="94"/>
        <v>0</v>
      </c>
      <c r="Y1937" s="37">
        <f t="shared" si="94"/>
        <v>0</v>
      </c>
      <c r="Z1937" s="37">
        <f t="shared" si="94"/>
        <v>0</v>
      </c>
    </row>
    <row r="1938" spans="1:26">
      <c r="A1938" s="88" t="s">
        <v>822</v>
      </c>
      <c r="B1938" s="88" t="s">
        <v>822</v>
      </c>
      <c r="C1938" s="38"/>
      <c r="D1938" s="89">
        <v>1996</v>
      </c>
      <c r="E1938" s="54">
        <f t="shared" si="92"/>
        <v>80118134719</v>
      </c>
      <c r="F1938" s="54">
        <f t="shared" si="92"/>
        <v>56008408418</v>
      </c>
      <c r="G1938" s="54">
        <f t="shared" si="92"/>
        <v>93955094633</v>
      </c>
      <c r="H1938" s="54">
        <f t="shared" si="92"/>
        <v>8691527510</v>
      </c>
      <c r="I1938" s="55">
        <f t="shared" si="93"/>
        <v>238773165280</v>
      </c>
      <c r="J1938" s="54">
        <f t="shared" si="93"/>
        <v>-16076825</v>
      </c>
      <c r="K1938" s="56">
        <f t="shared" si="93"/>
        <v>238757088455</v>
      </c>
      <c r="L1938" s="37">
        <f t="shared" si="93"/>
        <v>115973403</v>
      </c>
      <c r="P1938" s="54">
        <f t="shared" si="90"/>
        <v>0</v>
      </c>
      <c r="Q1938" s="54">
        <f t="shared" si="90"/>
        <v>0</v>
      </c>
      <c r="S1938" s="54">
        <f t="shared" si="91"/>
        <v>0</v>
      </c>
      <c r="W1938" s="37">
        <f t="shared" si="94"/>
        <v>0</v>
      </c>
      <c r="X1938" s="37">
        <f t="shared" si="94"/>
        <v>0</v>
      </c>
      <c r="Y1938" s="37">
        <f t="shared" si="94"/>
        <v>0</v>
      </c>
      <c r="Z1938" s="37">
        <f t="shared" si="94"/>
        <v>0</v>
      </c>
    </row>
    <row r="1939" spans="1:26">
      <c r="A1939" s="88" t="s">
        <v>822</v>
      </c>
      <c r="B1939" s="88" t="s">
        <v>822</v>
      </c>
      <c r="C1939" s="38"/>
      <c r="D1939" s="89">
        <v>1997</v>
      </c>
      <c r="E1939" s="54">
        <f t="shared" si="92"/>
        <v>81291968089</v>
      </c>
      <c r="F1939" s="54">
        <f t="shared" si="92"/>
        <v>60690697981</v>
      </c>
      <c r="G1939" s="54">
        <f t="shared" si="92"/>
        <v>95865833782</v>
      </c>
      <c r="H1939" s="54">
        <f t="shared" si="92"/>
        <v>9343241569</v>
      </c>
      <c r="I1939" s="55">
        <f t="shared" si="93"/>
        <v>247191741421</v>
      </c>
      <c r="J1939" s="54">
        <f t="shared" si="93"/>
        <v>-18734697</v>
      </c>
      <c r="K1939" s="56">
        <f t="shared" si="93"/>
        <v>247173006724</v>
      </c>
      <c r="L1939" s="37">
        <f t="shared" si="93"/>
        <v>131079061</v>
      </c>
      <c r="P1939" s="54">
        <f t="shared" si="90"/>
        <v>0</v>
      </c>
      <c r="Q1939" s="54">
        <f t="shared" si="90"/>
        <v>0</v>
      </c>
      <c r="S1939" s="54">
        <f t="shared" si="91"/>
        <v>0</v>
      </c>
      <c r="W1939" s="37">
        <f t="shared" si="94"/>
        <v>0</v>
      </c>
      <c r="X1939" s="37">
        <f t="shared" si="94"/>
        <v>0</v>
      </c>
      <c r="Y1939" s="37">
        <f t="shared" si="94"/>
        <v>0</v>
      </c>
      <c r="Z1939" s="37">
        <f t="shared" si="94"/>
        <v>0</v>
      </c>
    </row>
    <row r="1940" spans="1:26">
      <c r="A1940" s="88" t="s">
        <v>822</v>
      </c>
      <c r="B1940" s="88" t="s">
        <v>822</v>
      </c>
      <c r="C1940" s="38"/>
      <c r="D1940" s="89">
        <v>1998</v>
      </c>
      <c r="E1940" s="54">
        <f t="shared" si="92"/>
        <v>84536044451</v>
      </c>
      <c r="F1940" s="54">
        <f t="shared" si="92"/>
        <v>58426760693</v>
      </c>
      <c r="G1940" s="54">
        <f t="shared" si="92"/>
        <v>101781346921</v>
      </c>
      <c r="H1940" s="54">
        <f t="shared" si="92"/>
        <v>7868201364</v>
      </c>
      <c r="I1940" s="55">
        <f t="shared" si="93"/>
        <v>252612353429</v>
      </c>
      <c r="J1940" s="54">
        <f t="shared" si="93"/>
        <v>-498612296</v>
      </c>
      <c r="K1940" s="56">
        <f t="shared" si="93"/>
        <v>252113741133</v>
      </c>
      <c r="L1940" s="37">
        <f t="shared" si="93"/>
        <v>126213567</v>
      </c>
      <c r="P1940" s="54">
        <f t="shared" si="90"/>
        <v>0</v>
      </c>
      <c r="Q1940" s="54">
        <f t="shared" si="90"/>
        <v>0</v>
      </c>
      <c r="S1940" s="54">
        <f t="shared" si="91"/>
        <v>0</v>
      </c>
      <c r="W1940" s="37">
        <f t="shared" si="94"/>
        <v>0</v>
      </c>
      <c r="X1940" s="37">
        <f t="shared" si="94"/>
        <v>0</v>
      </c>
      <c r="Y1940" s="37">
        <f t="shared" si="94"/>
        <v>0</v>
      </c>
      <c r="Z1940" s="37">
        <f t="shared" si="94"/>
        <v>0</v>
      </c>
    </row>
    <row r="1941" spans="1:26">
      <c r="A1941" s="88" t="s">
        <v>822</v>
      </c>
      <c r="B1941" s="88" t="s">
        <v>822</v>
      </c>
      <c r="C1941" s="38"/>
      <c r="D1941" s="89">
        <v>1999</v>
      </c>
      <c r="E1941" s="54">
        <f t="shared" si="92"/>
        <v>83270387788</v>
      </c>
      <c r="F1941" s="54">
        <f t="shared" si="92"/>
        <v>78982290908</v>
      </c>
      <c r="G1941" s="54">
        <f t="shared" si="92"/>
        <v>110138309203</v>
      </c>
      <c r="H1941" s="54">
        <f t="shared" si="92"/>
        <v>10556342192</v>
      </c>
      <c r="I1941" s="55">
        <f t="shared" si="93"/>
        <v>282947330091</v>
      </c>
      <c r="J1941" s="54">
        <f t="shared" si="93"/>
        <v>-104639720</v>
      </c>
      <c r="K1941" s="56">
        <f t="shared" si="93"/>
        <v>282842690371</v>
      </c>
      <c r="L1941" s="37">
        <f t="shared" si="93"/>
        <v>156700755</v>
      </c>
      <c r="P1941" s="54">
        <f t="shared" si="90"/>
        <v>0</v>
      </c>
      <c r="Q1941" s="54">
        <f t="shared" si="90"/>
        <v>0</v>
      </c>
      <c r="S1941" s="54">
        <f t="shared" si="91"/>
        <v>0</v>
      </c>
      <c r="W1941" s="37">
        <f t="shared" si="94"/>
        <v>0</v>
      </c>
      <c r="X1941" s="37">
        <f t="shared" si="94"/>
        <v>0</v>
      </c>
      <c r="Y1941" s="37">
        <f t="shared" si="94"/>
        <v>0</v>
      </c>
      <c r="Z1941" s="37">
        <f t="shared" si="94"/>
        <v>0</v>
      </c>
    </row>
    <row r="1942" spans="1:26">
      <c r="A1942" s="88" t="s">
        <v>822</v>
      </c>
      <c r="B1942" s="88" t="s">
        <v>822</v>
      </c>
      <c r="C1942" s="38"/>
      <c r="D1942" s="89">
        <v>2000</v>
      </c>
      <c r="E1942" s="54">
        <f t="shared" si="92"/>
        <v>86513095925</v>
      </c>
      <c r="F1942" s="54">
        <f t="shared" si="92"/>
        <v>87438425121</v>
      </c>
      <c r="G1942" s="54">
        <f t="shared" si="92"/>
        <v>119747691202</v>
      </c>
      <c r="H1942" s="54">
        <f t="shared" si="92"/>
        <v>9908443089</v>
      </c>
      <c r="I1942" s="55">
        <f t="shared" si="93"/>
        <v>303607655337</v>
      </c>
      <c r="J1942" s="54">
        <f t="shared" si="93"/>
        <v>-233127970</v>
      </c>
      <c r="K1942" s="56">
        <f t="shared" si="93"/>
        <v>303374527367</v>
      </c>
      <c r="L1942" s="37">
        <f t="shared" si="93"/>
        <v>183293590</v>
      </c>
      <c r="P1942" s="54">
        <f t="shared" si="90"/>
        <v>0</v>
      </c>
      <c r="Q1942" s="54">
        <f t="shared" si="90"/>
        <v>0</v>
      </c>
      <c r="S1942" s="54">
        <f t="shared" si="91"/>
        <v>0</v>
      </c>
      <c r="W1942" s="37">
        <f>+W55+W18+W129+W92+W166+W203+W240+W277+W351+W388+W425+W573+W462+W499+W536+W610+W647+W684+W795+W758+W721+W832+W869+W943+W906+W980+W1239+W1276+W1017+W1091+W1128+W1165+W1054+W1202+W1313+W1350+W1387+W1424+W1461+W1498+W1535+W1572+W1609+W1646+W1683+W1757+W1720+W1794+W1868+W1831+W1905+W314</f>
        <v>98146865</v>
      </c>
      <c r="X1942" s="37">
        <f>+X55+X18+X129+X92+X166+X203+X240+X277+X351+X388+X425+X573+X462+X499+X536+X610+X647+X684+X795+X758+X721+X832+X869+X943+X906+X980+X1239+X1276+X1017+X1091+X1128+X1165+X1054+X1202+X1313+X1350+X1387+X1424+X1461+X1498+X1535+X1572+X1609+X1646+X1683+X1757+X1720+X1794+X1868+X1831+X1905+X314</f>
        <v>1522190715</v>
      </c>
      <c r="Y1942" s="37">
        <f>+Y55+Y18+Y129+Y92+Y166+Y203+Y240+Y277+Y351+Y388+Y425+Y573+Y462+Y499+Y536+Y610+Y647+Y684+Y795+Y758+Y721+Y832+Y869+Y943+Y906+Y980+Y1239+Y1276+Y1017+Y1091+Y1128+Y1165+Y1054+Y1202+Y1313+Y1350+Y1387+Y1424+Y1461+Y1498+Y1535+Y1572+Y1609+Y1646+Y1683+Y1757+Y1720+Y1794+Y1868+Y1831+Y1905+Y314</f>
        <v>917644432</v>
      </c>
      <c r="Z1942" s="37">
        <f>+Z55+Z18+Z129+Z92+Z166+Z203+Z240+Z277+Z351+Z388+Z425+Z573+Z462+Z499+Z536+Z610+Z647+Z684+Z795+Z758+Z721+Z832+Z869+Z943+Z906+Z980+Z1239+Z1276+Z1017+Z1091+Z1128+Z1165+Z1054+Z1202+Z1313+Z1350+Z1387+Z1424+Z1461+Z1498+Z1535+Z1572+Z1609+Z1646+Z1683+Z1757+Z1720+Z1794+Z1868+Z1831+Z1905+Z314</f>
        <v>200000001</v>
      </c>
    </row>
    <row r="1943" spans="1:26">
      <c r="A1943" s="88" t="s">
        <v>822</v>
      </c>
      <c r="B1943" s="88" t="s">
        <v>822</v>
      </c>
      <c r="C1943" s="38"/>
      <c r="D1943" s="89">
        <v>2001</v>
      </c>
      <c r="E1943" s="54">
        <f t="shared" si="92"/>
        <v>86584179826</v>
      </c>
      <c r="F1943" s="54">
        <f t="shared" si="92"/>
        <v>119908161439.33998</v>
      </c>
      <c r="G1943" s="54">
        <f t="shared" si="92"/>
        <v>127080474825</v>
      </c>
      <c r="H1943" s="54">
        <f t="shared" si="92"/>
        <v>8805598828</v>
      </c>
      <c r="I1943" s="55">
        <f t="shared" si="93"/>
        <v>342378414918.34003</v>
      </c>
      <c r="J1943" s="54">
        <f t="shared" si="93"/>
        <v>-146887683</v>
      </c>
      <c r="K1943" s="56">
        <f t="shared" si="93"/>
        <v>342231527235.34003</v>
      </c>
      <c r="L1943" s="37">
        <f t="shared" si="93"/>
        <v>209532372</v>
      </c>
      <c r="P1943" s="54">
        <f t="shared" si="90"/>
        <v>0</v>
      </c>
      <c r="Q1943" s="54">
        <f t="shared" si="90"/>
        <v>0</v>
      </c>
      <c r="S1943" s="54">
        <f t="shared" si="91"/>
        <v>0</v>
      </c>
      <c r="W1943" s="37">
        <f t="shared" ref="W1943:Z1958" si="95">+W56+W19+W130+W93+W167+W204+W241+W278+W352+W389+W426+W574+W463+W500+W537+W611+W648+W685+W796+W759+W722+W833+W870+W944+W907+W981+W1240+W1277+W1018+W1092+W1129+W1166+W1055+W1203+W1314+W1351+W1388+W1425+W1462+W1499+W1536+W1573+W1610+W1647+W1684+W1758+W1721+W1795+W1869+W1832+W1906+W315</f>
        <v>0</v>
      </c>
      <c r="X1943" s="37">
        <f t="shared" si="95"/>
        <v>0</v>
      </c>
      <c r="Y1943" s="37">
        <f t="shared" si="95"/>
        <v>0</v>
      </c>
      <c r="Z1943" s="37">
        <f t="shared" si="95"/>
        <v>0</v>
      </c>
    </row>
    <row r="1944" spans="1:26">
      <c r="A1944" s="88" t="s">
        <v>822</v>
      </c>
      <c r="B1944" s="88" t="s">
        <v>822</v>
      </c>
      <c r="C1944" s="38"/>
      <c r="D1944" s="89">
        <v>2002</v>
      </c>
      <c r="E1944" s="54">
        <f t="shared" si="92"/>
        <v>89188766523</v>
      </c>
      <c r="F1944" s="54">
        <f t="shared" si="92"/>
        <v>159868596257</v>
      </c>
      <c r="G1944" s="54">
        <f t="shared" si="92"/>
        <v>131848549131</v>
      </c>
      <c r="H1944" s="54">
        <f t="shared" si="92"/>
        <v>10010314823</v>
      </c>
      <c r="I1944" s="55">
        <f t="shared" si="93"/>
        <v>390916226734</v>
      </c>
      <c r="J1944" s="54">
        <f t="shared" si="93"/>
        <v>-23287374</v>
      </c>
      <c r="K1944" s="56">
        <f t="shared" si="93"/>
        <v>390892939360</v>
      </c>
      <c r="L1944" s="37">
        <f t="shared" si="93"/>
        <v>267549817</v>
      </c>
      <c r="P1944" s="54">
        <f t="shared" si="90"/>
        <v>0</v>
      </c>
      <c r="Q1944" s="54">
        <f t="shared" si="90"/>
        <v>0</v>
      </c>
      <c r="S1944" s="54">
        <f t="shared" si="91"/>
        <v>0</v>
      </c>
      <c r="W1944" s="37">
        <f t="shared" si="95"/>
        <v>0</v>
      </c>
      <c r="X1944" s="37">
        <f t="shared" si="95"/>
        <v>0</v>
      </c>
      <c r="Y1944" s="37">
        <f t="shared" si="95"/>
        <v>0</v>
      </c>
      <c r="Z1944" s="37">
        <f t="shared" si="95"/>
        <v>0</v>
      </c>
    </row>
    <row r="1945" spans="1:26">
      <c r="A1945" s="88" t="s">
        <v>822</v>
      </c>
      <c r="B1945" s="88" t="s">
        <v>822</v>
      </c>
      <c r="C1945" s="38"/>
      <c r="D1945" s="89">
        <v>2003</v>
      </c>
      <c r="E1945" s="54">
        <f t="shared" si="92"/>
        <v>93464790691</v>
      </c>
      <c r="F1945" s="54">
        <f t="shared" si="92"/>
        <v>144016510266</v>
      </c>
      <c r="G1945" s="54">
        <f t="shared" si="92"/>
        <v>141196916058</v>
      </c>
      <c r="H1945" s="54">
        <f t="shared" si="92"/>
        <v>9954299225</v>
      </c>
      <c r="I1945" s="55">
        <f t="shared" ref="I1945:I1957" si="96">SUM(E1945:H1945)</f>
        <v>388632516240</v>
      </c>
      <c r="J1945" s="54">
        <f t="shared" si="93"/>
        <v>-1777318</v>
      </c>
      <c r="K1945" s="56">
        <f t="shared" ref="K1945:K1965" si="97">I1945+J1945</f>
        <v>388630738922</v>
      </c>
      <c r="L1945" s="37">
        <f t="shared" si="93"/>
        <v>353051201</v>
      </c>
      <c r="P1945" s="54">
        <f t="shared" si="90"/>
        <v>0</v>
      </c>
      <c r="Q1945" s="54">
        <f t="shared" si="90"/>
        <v>0</v>
      </c>
      <c r="S1945" s="54">
        <f t="shared" si="91"/>
        <v>0</v>
      </c>
      <c r="W1945" s="37">
        <f t="shared" si="95"/>
        <v>0</v>
      </c>
      <c r="X1945" s="37">
        <f t="shared" si="95"/>
        <v>10394109</v>
      </c>
      <c r="Y1945" s="37">
        <f t="shared" si="95"/>
        <v>0</v>
      </c>
      <c r="Z1945" s="37">
        <f t="shared" si="95"/>
        <v>0</v>
      </c>
    </row>
    <row r="1946" spans="1:26">
      <c r="A1946" s="88" t="s">
        <v>822</v>
      </c>
      <c r="B1946" s="88" t="s">
        <v>822</v>
      </c>
      <c r="C1946" s="38"/>
      <c r="D1946" s="89">
        <v>2004</v>
      </c>
      <c r="E1946" s="54">
        <f t="shared" si="92"/>
        <v>97758552855</v>
      </c>
      <c r="F1946" s="54">
        <f t="shared" si="92"/>
        <v>128661045820</v>
      </c>
      <c r="G1946" s="54">
        <f t="shared" si="92"/>
        <v>151688095291</v>
      </c>
      <c r="H1946" s="54">
        <f t="shared" si="92"/>
        <v>10309438230</v>
      </c>
      <c r="I1946" s="55">
        <f t="shared" si="96"/>
        <v>388417132196</v>
      </c>
      <c r="J1946" s="54">
        <f t="shared" si="93"/>
        <v>-45585996</v>
      </c>
      <c r="K1946" s="56">
        <f t="shared" si="97"/>
        <v>388371546200</v>
      </c>
      <c r="L1946" s="37">
        <f t="shared" si="93"/>
        <v>1194675812</v>
      </c>
      <c r="P1946" s="54">
        <f t="shared" ref="P1946:Q1955" si="98">P22+P59+P96+P133+P170+P207+P244+P281+P318+P355+P392+P429+P466+P503+P540+P577+P614+P651+P688+P725+P762+P799+P836+P873+P910+P947+P984+P1021+P1058+P1095+P1132+P1169+P1206+P1243+P1280+P1317+P1354+P1391+P1428+P1465+P1502+P1539+P1576+P1613+P1650+P1687+P1724+P1761+P1798+P1835+P1872+P1909</f>
        <v>0</v>
      </c>
      <c r="Q1946" s="54">
        <f t="shared" si="98"/>
        <v>0</v>
      </c>
      <c r="S1946" s="54">
        <f t="shared" si="91"/>
        <v>0</v>
      </c>
      <c r="W1946" s="37">
        <f t="shared" si="95"/>
        <v>0</v>
      </c>
      <c r="X1946" s="37">
        <f t="shared" si="95"/>
        <v>2329689</v>
      </c>
      <c r="Y1946" s="37">
        <f t="shared" si="95"/>
        <v>0</v>
      </c>
      <c r="Z1946" s="37">
        <f t="shared" si="95"/>
        <v>0</v>
      </c>
    </row>
    <row r="1947" spans="1:26">
      <c r="A1947" s="88" t="s">
        <v>822</v>
      </c>
      <c r="B1947" s="88" t="s">
        <v>822</v>
      </c>
      <c r="C1947" s="38"/>
      <c r="D1947" s="89">
        <v>2005</v>
      </c>
      <c r="E1947" s="54">
        <f t="shared" ref="E1947:H1962" si="99">E23+E60+E97+E134+E171+E208+E245+E282+E319+E356+E393+E430+E467+E504+E541+E578+E615+E652+E689+E726+E763+E800+E837+E874+E911+E948+E985+E1022+E1059+E1096+E1133+E1170+E1207+E1244+E1281+E1318+E1355+E1392+E1429+E1466+E1503+E1540+E1577+E1614+E1651+E1688+E1725+E1762+E1799+E1836+E1873+E1910</f>
        <v>99468894303</v>
      </c>
      <c r="F1947" s="54">
        <f t="shared" si="99"/>
        <v>115824241087</v>
      </c>
      <c r="G1947" s="54">
        <f t="shared" si="99"/>
        <v>169255920539.65988</v>
      </c>
      <c r="H1947" s="54">
        <f t="shared" si="99"/>
        <v>14193384899</v>
      </c>
      <c r="I1947" s="55">
        <f t="shared" si="96"/>
        <v>398742440828.65991</v>
      </c>
      <c r="J1947" s="54">
        <f t="shared" ref="J1947:J1965" si="100">+J60+J23+J134+J97+J171+J208+J245+J282+J356+J393+J430+J578+J467+J504+J541+J615+J652+J689+J800+J763+J726+J837+J874+J948+J911+J985+J1244+J1281+J1022+J1096+J1133+J1170+J1059+J1207+J1318+J1355+J1392+J1429+J1466+J1503+J1540+J1577+J1614+J1651+J1688+J1762+J1725+J1799+J1873+J1836+J1910+J319</f>
        <v>-35169661</v>
      </c>
      <c r="K1947" s="56">
        <f t="shared" si="97"/>
        <v>398707271167.65991</v>
      </c>
      <c r="L1947" s="37">
        <f t="shared" ref="L1947:L1965" si="101">+L60+L23+L134+L97+L171+L208+L245+L282+L356+L393+L430+L578+L467+L504+L541+L615+L652+L689+L800+L763+L726+L837+L874+L948+L911+L985+L1244+L1281+L1022+L1096+L1133+L1170+L1059+L1207+L1318+L1355+L1392+L1429+L1466+L1503+L1540+L1577+L1614+L1651+L1688+L1762+L1725+L1799+L1873+L1836+L1910+L319</f>
        <v>462776297</v>
      </c>
      <c r="P1947" s="54">
        <f t="shared" si="98"/>
        <v>0</v>
      </c>
      <c r="Q1947" s="54">
        <f t="shared" si="98"/>
        <v>0</v>
      </c>
      <c r="S1947" s="54">
        <f t="shared" si="91"/>
        <v>0</v>
      </c>
      <c r="W1947" s="37">
        <f t="shared" si="95"/>
        <v>0</v>
      </c>
      <c r="X1947" s="37">
        <f t="shared" si="95"/>
        <v>3392799</v>
      </c>
      <c r="Y1947" s="37">
        <f t="shared" si="95"/>
        <v>0</v>
      </c>
      <c r="Z1947" s="37">
        <f t="shared" si="95"/>
        <v>0</v>
      </c>
    </row>
    <row r="1948" spans="1:26">
      <c r="A1948" s="88" t="s">
        <v>822</v>
      </c>
      <c r="B1948" s="88" t="s">
        <v>822</v>
      </c>
      <c r="C1948" s="38"/>
      <c r="D1948" s="89">
        <v>2006</v>
      </c>
      <c r="E1948" s="54">
        <f t="shared" si="99"/>
        <v>106816940970</v>
      </c>
      <c r="F1948" s="54">
        <f t="shared" si="99"/>
        <v>131414424724</v>
      </c>
      <c r="G1948" s="54">
        <f t="shared" si="99"/>
        <v>186537784151</v>
      </c>
      <c r="H1948" s="54">
        <f t="shared" si="99"/>
        <v>11170278020</v>
      </c>
      <c r="I1948" s="55">
        <f t="shared" si="96"/>
        <v>435939427865</v>
      </c>
      <c r="J1948" s="54">
        <f t="shared" si="100"/>
        <v>-338479935</v>
      </c>
      <c r="K1948" s="56">
        <f t="shared" si="97"/>
        <v>435600947930</v>
      </c>
      <c r="L1948" s="37">
        <f t="shared" si="101"/>
        <v>751654115</v>
      </c>
      <c r="P1948" s="54">
        <f t="shared" si="98"/>
        <v>0</v>
      </c>
      <c r="Q1948" s="54">
        <f t="shared" si="98"/>
        <v>0</v>
      </c>
      <c r="S1948" s="54">
        <f t="shared" si="91"/>
        <v>0</v>
      </c>
      <c r="W1948" s="37">
        <f t="shared" si="95"/>
        <v>0</v>
      </c>
      <c r="X1948" s="37">
        <f t="shared" si="95"/>
        <v>0</v>
      </c>
      <c r="Y1948" s="37">
        <f t="shared" si="95"/>
        <v>0</v>
      </c>
      <c r="Z1948" s="37">
        <f t="shared" si="95"/>
        <v>0</v>
      </c>
    </row>
    <row r="1949" spans="1:26">
      <c r="A1949" s="88" t="s">
        <v>822</v>
      </c>
      <c r="B1949" s="88" t="s">
        <v>822</v>
      </c>
      <c r="C1949" s="38"/>
      <c r="D1949" s="89">
        <v>2007</v>
      </c>
      <c r="E1949" s="54">
        <f t="shared" si="99"/>
        <v>111078083735</v>
      </c>
      <c r="F1949" s="54">
        <f t="shared" si="99"/>
        <v>131995573268</v>
      </c>
      <c r="G1949" s="54">
        <f t="shared" si="99"/>
        <v>222446629264</v>
      </c>
      <c r="H1949" s="54">
        <f t="shared" si="99"/>
        <v>10766647202</v>
      </c>
      <c r="I1949" s="55">
        <f t="shared" si="96"/>
        <v>476286933469</v>
      </c>
      <c r="J1949" s="54">
        <f t="shared" si="100"/>
        <v>-28276324</v>
      </c>
      <c r="K1949" s="56">
        <f t="shared" si="97"/>
        <v>476258657145</v>
      </c>
      <c r="L1949" s="37">
        <f t="shared" si="101"/>
        <v>763710560</v>
      </c>
      <c r="P1949" s="54">
        <f t="shared" si="98"/>
        <v>0</v>
      </c>
      <c r="Q1949" s="54">
        <f t="shared" si="98"/>
        <v>0</v>
      </c>
      <c r="S1949" s="54">
        <f t="shared" si="91"/>
        <v>0</v>
      </c>
      <c r="W1949" s="37">
        <f t="shared" si="95"/>
        <v>0</v>
      </c>
      <c r="X1949" s="37">
        <f t="shared" si="95"/>
        <v>3322340</v>
      </c>
      <c r="Y1949" s="37">
        <f t="shared" si="95"/>
        <v>0</v>
      </c>
      <c r="Z1949" s="37">
        <f t="shared" si="95"/>
        <v>0</v>
      </c>
    </row>
    <row r="1950" spans="1:26">
      <c r="A1950" s="88" t="s">
        <v>822</v>
      </c>
      <c r="B1950" s="88" t="s">
        <v>822</v>
      </c>
      <c r="C1950" s="38"/>
      <c r="D1950" s="89">
        <v>2008</v>
      </c>
      <c r="E1950" s="54">
        <f t="shared" si="99"/>
        <v>113872016914</v>
      </c>
      <c r="F1950" s="54">
        <f t="shared" si="99"/>
        <v>177517861674</v>
      </c>
      <c r="G1950" s="54">
        <f t="shared" si="99"/>
        <v>239512104752</v>
      </c>
      <c r="H1950" s="54">
        <f t="shared" si="99"/>
        <v>12900051392</v>
      </c>
      <c r="I1950" s="55">
        <f t="shared" si="96"/>
        <v>543802034732</v>
      </c>
      <c r="J1950" s="54">
        <f t="shared" si="100"/>
        <v>-1814914</v>
      </c>
      <c r="K1950" s="56">
        <f t="shared" si="97"/>
        <v>543800219818</v>
      </c>
      <c r="L1950" s="37">
        <f t="shared" si="101"/>
        <v>916292536</v>
      </c>
      <c r="P1950" s="54">
        <f t="shared" si="98"/>
        <v>0</v>
      </c>
      <c r="Q1950" s="54">
        <f t="shared" si="98"/>
        <v>0</v>
      </c>
      <c r="S1950" s="54">
        <f t="shared" si="91"/>
        <v>0</v>
      </c>
      <c r="W1950" s="37">
        <f t="shared" si="95"/>
        <v>0</v>
      </c>
      <c r="X1950" s="37">
        <f t="shared" si="95"/>
        <v>2791090</v>
      </c>
      <c r="Y1950" s="37">
        <f t="shared" si="95"/>
        <v>0</v>
      </c>
      <c r="Z1950" s="37">
        <f t="shared" si="95"/>
        <v>0</v>
      </c>
    </row>
    <row r="1951" spans="1:26">
      <c r="A1951" s="88" t="s">
        <v>822</v>
      </c>
      <c r="B1951" s="88" t="s">
        <v>822</v>
      </c>
      <c r="C1951" s="38"/>
      <c r="D1951" s="89">
        <v>2009</v>
      </c>
      <c r="E1951" s="54">
        <f t="shared" si="99"/>
        <v>119443043510</v>
      </c>
      <c r="F1951" s="54">
        <f t="shared" si="99"/>
        <v>170434394828</v>
      </c>
      <c r="G1951" s="54">
        <f t="shared" si="99"/>
        <v>248889171755</v>
      </c>
      <c r="H1951" s="54">
        <f t="shared" si="99"/>
        <v>9620869867</v>
      </c>
      <c r="I1951" s="55">
        <f t="shared" si="96"/>
        <v>548387479960</v>
      </c>
      <c r="J1951" s="54">
        <f t="shared" si="100"/>
        <v>-3045376</v>
      </c>
      <c r="K1951" s="56">
        <f t="shared" si="97"/>
        <v>548384434584</v>
      </c>
      <c r="L1951" s="37">
        <f t="shared" si="101"/>
        <v>657497112</v>
      </c>
      <c r="P1951" s="54">
        <f t="shared" si="98"/>
        <v>0</v>
      </c>
      <c r="Q1951" s="54">
        <f t="shared" si="98"/>
        <v>0</v>
      </c>
      <c r="S1951" s="54">
        <f t="shared" si="91"/>
        <v>0</v>
      </c>
      <c r="W1951" s="37">
        <f t="shared" si="95"/>
        <v>0</v>
      </c>
      <c r="X1951" s="37">
        <f t="shared" si="95"/>
        <v>3062844</v>
      </c>
      <c r="Y1951" s="37">
        <f t="shared" si="95"/>
        <v>0</v>
      </c>
      <c r="Z1951" s="37">
        <f t="shared" si="95"/>
        <v>0</v>
      </c>
    </row>
    <row r="1952" spans="1:26">
      <c r="A1952" s="88" t="s">
        <v>822</v>
      </c>
      <c r="B1952" s="88" t="s">
        <v>822</v>
      </c>
      <c r="C1952" s="38"/>
      <c r="D1952" s="89">
        <v>2010</v>
      </c>
      <c r="E1952" s="54">
        <f t="shared" si="99"/>
        <v>124505221626</v>
      </c>
      <c r="F1952" s="54">
        <f t="shared" si="99"/>
        <v>146713068062</v>
      </c>
      <c r="G1952" s="54">
        <f t="shared" si="99"/>
        <v>251663371951</v>
      </c>
      <c r="H1952" s="54">
        <f t="shared" si="99"/>
        <v>9047202581</v>
      </c>
      <c r="I1952" s="55">
        <f t="shared" si="96"/>
        <v>531928864220</v>
      </c>
      <c r="J1952" s="54">
        <f t="shared" si="100"/>
        <v>-1289884</v>
      </c>
      <c r="K1952" s="56">
        <f t="shared" si="97"/>
        <v>531927574336</v>
      </c>
      <c r="L1952" s="37">
        <f t="shared" si="101"/>
        <v>861262702</v>
      </c>
      <c r="P1952" s="54">
        <f t="shared" si="98"/>
        <v>0</v>
      </c>
      <c r="Q1952" s="54">
        <f t="shared" si="98"/>
        <v>0</v>
      </c>
      <c r="S1952" s="54">
        <f t="shared" si="91"/>
        <v>0</v>
      </c>
      <c r="W1952" s="37">
        <f t="shared" si="95"/>
        <v>0</v>
      </c>
      <c r="X1952" s="37">
        <f t="shared" si="95"/>
        <v>0</v>
      </c>
      <c r="Y1952" s="37">
        <f t="shared" si="95"/>
        <v>0</v>
      </c>
      <c r="Z1952" s="37">
        <f t="shared" si="95"/>
        <v>0</v>
      </c>
    </row>
    <row r="1953" spans="1:26">
      <c r="A1953" s="88" t="s">
        <v>822</v>
      </c>
      <c r="B1953" s="88" t="s">
        <v>822</v>
      </c>
      <c r="C1953" s="38"/>
      <c r="D1953" s="89">
        <v>2011</v>
      </c>
      <c r="E1953" s="54">
        <f t="shared" si="99"/>
        <v>128174003946</v>
      </c>
      <c r="F1953" s="54">
        <f t="shared" si="99"/>
        <v>142768540371</v>
      </c>
      <c r="G1953" s="54">
        <f t="shared" si="99"/>
        <v>256532569783.26999</v>
      </c>
      <c r="H1953" s="54">
        <f t="shared" si="99"/>
        <v>9378004926</v>
      </c>
      <c r="I1953" s="55">
        <f t="shared" si="96"/>
        <v>536853119026.27002</v>
      </c>
      <c r="J1953" s="54">
        <f t="shared" si="100"/>
        <v>-10204571</v>
      </c>
      <c r="K1953" s="56">
        <f t="shared" si="97"/>
        <v>536842914455.27002</v>
      </c>
      <c r="L1953" s="37">
        <f t="shared" si="101"/>
        <v>779149102</v>
      </c>
      <c r="P1953" s="54">
        <f t="shared" si="98"/>
        <v>0</v>
      </c>
      <c r="Q1953" s="54">
        <f t="shared" si="98"/>
        <v>0</v>
      </c>
      <c r="S1953" s="54">
        <f t="shared" si="91"/>
        <v>0</v>
      </c>
      <c r="W1953" s="37">
        <f t="shared" si="95"/>
        <v>0</v>
      </c>
      <c r="X1953" s="37">
        <f t="shared" si="95"/>
        <v>0</v>
      </c>
      <c r="Y1953" s="37">
        <f t="shared" si="95"/>
        <v>0</v>
      </c>
      <c r="Z1953" s="37">
        <f t="shared" si="95"/>
        <v>0</v>
      </c>
    </row>
    <row r="1954" spans="1:26">
      <c r="A1954" s="88" t="s">
        <v>822</v>
      </c>
      <c r="B1954" s="88" t="s">
        <v>822</v>
      </c>
      <c r="C1954" s="38"/>
      <c r="D1954" s="89">
        <v>2012</v>
      </c>
      <c r="E1954" s="54">
        <f t="shared" si="99"/>
        <v>134388725185</v>
      </c>
      <c r="F1954" s="54">
        <f t="shared" si="99"/>
        <v>173878995358</v>
      </c>
      <c r="G1954" s="54">
        <f t="shared" si="99"/>
        <v>252255281603</v>
      </c>
      <c r="H1954" s="54">
        <f t="shared" si="99"/>
        <v>15570096531</v>
      </c>
      <c r="I1954" s="55">
        <f t="shared" si="96"/>
        <v>576093098677</v>
      </c>
      <c r="J1954" s="54">
        <f t="shared" si="100"/>
        <v>-11320421</v>
      </c>
      <c r="K1954" s="56">
        <f t="shared" si="97"/>
        <v>576081778256</v>
      </c>
      <c r="L1954" s="37">
        <f t="shared" si="101"/>
        <v>734318146</v>
      </c>
      <c r="P1954" s="54">
        <f t="shared" si="98"/>
        <v>0</v>
      </c>
      <c r="Q1954" s="54">
        <f t="shared" si="98"/>
        <v>0</v>
      </c>
      <c r="S1954" s="54">
        <f t="shared" si="91"/>
        <v>1554188239</v>
      </c>
      <c r="W1954" s="37">
        <f t="shared" si="95"/>
        <v>0</v>
      </c>
      <c r="X1954" s="37">
        <f t="shared" si="95"/>
        <v>0</v>
      </c>
      <c r="Y1954" s="37">
        <f t="shared" si="95"/>
        <v>3006830097</v>
      </c>
      <c r="Z1954" s="37">
        <f t="shared" si="95"/>
        <v>0</v>
      </c>
    </row>
    <row r="1955" spans="1:26">
      <c r="A1955" s="88" t="s">
        <v>822</v>
      </c>
      <c r="B1955" s="88" t="s">
        <v>822</v>
      </c>
      <c r="C1955" s="38"/>
      <c r="D1955" s="89">
        <v>2013</v>
      </c>
      <c r="E1955" s="54">
        <f t="shared" si="99"/>
        <v>135862952029</v>
      </c>
      <c r="F1955" s="54">
        <f t="shared" si="99"/>
        <v>150827781178</v>
      </c>
      <c r="G1955" s="54">
        <f t="shared" si="99"/>
        <v>247080907819</v>
      </c>
      <c r="H1955" s="54">
        <f t="shared" si="99"/>
        <v>13292289960</v>
      </c>
      <c r="I1955" s="55">
        <f t="shared" si="96"/>
        <v>547063930986</v>
      </c>
      <c r="J1955" s="54">
        <f t="shared" si="100"/>
        <v>-56519680</v>
      </c>
      <c r="K1955" s="56">
        <f t="shared" si="97"/>
        <v>547007411306</v>
      </c>
      <c r="L1955" s="37">
        <f t="shared" si="101"/>
        <v>1003857612</v>
      </c>
      <c r="P1955" s="54">
        <f t="shared" si="98"/>
        <v>0</v>
      </c>
      <c r="Q1955" s="54">
        <f t="shared" si="98"/>
        <v>0</v>
      </c>
      <c r="R1955" s="66"/>
      <c r="S1955" s="54">
        <f t="shared" si="91"/>
        <v>1061060089</v>
      </c>
      <c r="W1955" s="37">
        <f t="shared" si="95"/>
        <v>0</v>
      </c>
      <c r="X1955" s="37">
        <f t="shared" si="95"/>
        <v>0</v>
      </c>
      <c r="Y1955" s="37">
        <f t="shared" si="95"/>
        <v>2435069186</v>
      </c>
      <c r="Z1955" s="37">
        <f t="shared" si="95"/>
        <v>0</v>
      </c>
    </row>
    <row r="1956" spans="1:26">
      <c r="A1956" s="88" t="s">
        <v>822</v>
      </c>
      <c r="B1956" s="88" t="s">
        <v>822</v>
      </c>
      <c r="C1956" s="38"/>
      <c r="D1956" s="89">
        <v>2014</v>
      </c>
      <c r="E1956" s="54">
        <f t="shared" si="99"/>
        <v>138178007058</v>
      </c>
      <c r="F1956" s="54">
        <f t="shared" si="99"/>
        <v>166363034520</v>
      </c>
      <c r="G1956" s="54">
        <f t="shared" si="99"/>
        <v>263132265549.24997</v>
      </c>
      <c r="H1956" s="54">
        <f t="shared" si="99"/>
        <v>11999597093</v>
      </c>
      <c r="I1956" s="55">
        <f t="shared" si="96"/>
        <v>579672904220.25</v>
      </c>
      <c r="J1956" s="54">
        <f t="shared" si="100"/>
        <v>-5678350</v>
      </c>
      <c r="K1956" s="56">
        <f t="shared" si="97"/>
        <v>579667225870.25</v>
      </c>
      <c r="L1956" s="37">
        <f t="shared" si="101"/>
        <v>2365882418</v>
      </c>
      <c r="P1956" s="54">
        <f>P32+P69+P106+P143+P180+P217+P254+P291+P328+P365+P402+P439+P476+P513+P550+P587+P624+P661+P698+P735+P772+P809+P846+P883+P920+P957+P994+P1031+P1068+P1105+P1142+P1179+P1216+P1253+P1290+P1327+P1364+P1401+P1438+P1475+P1512+P1549+P1586+P1623+P1660+P1697+P1734+P1771+P1808+P1845+P1882+P1919</f>
        <v>0</v>
      </c>
      <c r="Q1956" s="54">
        <f>Q32+Q69+Q106+Q143+Q180+Q217+Q254+Q291+Q328+Q365+Q402+Q439+Q476+Q513+Q550+Q587+Q624+Q661+Q698+Q735+Q772+Q809+Q846+Q883+Q920+Q957+Q994+Q1031+Q1068+Q1105+Q1142+Q1179+Q1216+Q1253+Q1290+Q1327+Q1364+Q1401+Q1438+Q1475+Q1512+Q1549+Q1586+Q1623+Q1660+Q1697+Q1734+Q1771+Q1808+Q1845+Q1882+Q1919</f>
        <v>0</v>
      </c>
      <c r="R1956" s="66"/>
      <c r="S1956" s="54">
        <f t="shared" si="91"/>
        <v>11759707240</v>
      </c>
      <c r="W1956" s="37">
        <f t="shared" si="95"/>
        <v>0</v>
      </c>
      <c r="X1956" s="37">
        <f t="shared" si="95"/>
        <v>0</v>
      </c>
      <c r="Y1956" s="37">
        <f t="shared" si="95"/>
        <v>16469901138.299999</v>
      </c>
      <c r="Z1956" s="37">
        <f t="shared" si="95"/>
        <v>0</v>
      </c>
    </row>
    <row r="1957" spans="1:26">
      <c r="A1957" s="88" t="s">
        <v>822</v>
      </c>
      <c r="B1957" s="88" t="s">
        <v>822</v>
      </c>
      <c r="C1957" s="38"/>
      <c r="D1957" s="89">
        <v>2015</v>
      </c>
      <c r="E1957" s="54">
        <f t="shared" si="99"/>
        <v>143415900804</v>
      </c>
      <c r="F1957" s="54">
        <f t="shared" si="99"/>
        <v>182599516691</v>
      </c>
      <c r="G1957" s="54">
        <f t="shared" si="99"/>
        <v>258822039559.23099</v>
      </c>
      <c r="H1957" s="54">
        <f t="shared" si="99"/>
        <v>10625793540</v>
      </c>
      <c r="I1957" s="55">
        <f t="shared" si="96"/>
        <v>595463250594.23096</v>
      </c>
      <c r="J1957" s="54">
        <f t="shared" si="100"/>
        <v>-3359501</v>
      </c>
      <c r="K1957" s="56">
        <f t="shared" si="97"/>
        <v>595459891093.23096</v>
      </c>
      <c r="L1957" s="37">
        <f t="shared" si="101"/>
        <v>3571341276</v>
      </c>
      <c r="P1957" s="54">
        <f>P33+P70+P107+P144+P181+P218+P255+P292+P329+P366+P403+P440+P477+P514+P551+P588+P625+P662+P699+P736+P773+P810+P847+P884+P921+P958+P995+P1032+P1069+P1106+P1143+P1180+P1217+P1254+P1291+P1328+P1365+P1402+P1439+P1476+P1513+P1550+P1587+P1624+P1661+P1698+P1735+P1772+P1809+P1846+P1883+P1920</f>
        <v>23712940820.940498</v>
      </c>
      <c r="Q1957" s="54">
        <f>Q33+Q70+Q107+Q144+Q181+Q218+Q255+Q292+Q329+Q366+Q403+Q440+Q477+Q514+Q551+Q588+Q625+Q662+Q699+Q736+Q773+Q810+Q847+Q884+Q921+Q958+Q995+Q1032+Q1069+Q1106+Q1143+Q1180+Q1217+Q1254+Q1291+Q1328+Q1365+Q1402+Q1439+Q1476+Q1513+Q1550+Q1587+Q1624+Q1661+Q1698+Q1735+Q1772+Q1809+Q1846+Q1883+Q1920</f>
        <v>10488381850.689999</v>
      </c>
      <c r="R1957" s="66"/>
      <c r="S1957" s="54">
        <f t="shared" si="91"/>
        <v>7567347591</v>
      </c>
      <c r="W1957" s="37">
        <f t="shared" si="95"/>
        <v>0</v>
      </c>
      <c r="X1957" s="37">
        <f t="shared" si="95"/>
        <v>0</v>
      </c>
      <c r="Y1957" s="37">
        <f t="shared" si="95"/>
        <v>16625340192</v>
      </c>
      <c r="Z1957" s="37">
        <f t="shared" si="95"/>
        <v>0</v>
      </c>
    </row>
    <row r="1958" spans="1:26">
      <c r="A1958" s="88" t="s">
        <v>822</v>
      </c>
      <c r="B1958" s="88" t="s">
        <v>822</v>
      </c>
      <c r="C1958" s="38"/>
      <c r="D1958" s="89">
        <v>2016</v>
      </c>
      <c r="E1958" s="54">
        <f t="shared" si="99"/>
        <v>147863583193</v>
      </c>
      <c r="F1958" s="54">
        <f t="shared" si="99"/>
        <v>200288313107</v>
      </c>
      <c r="G1958" s="54">
        <f t="shared" si="99"/>
        <v>256705732074</v>
      </c>
      <c r="H1958" s="54">
        <f t="shared" si="99"/>
        <v>14950963383</v>
      </c>
      <c r="I1958" s="55">
        <f t="shared" ref="I1958:I1964" si="102">SUM(E1958:H1958)</f>
        <v>619808591757</v>
      </c>
      <c r="J1958" s="54">
        <f t="shared" si="100"/>
        <v>-7794403</v>
      </c>
      <c r="K1958" s="56">
        <f t="shared" si="97"/>
        <v>619800797354</v>
      </c>
      <c r="L1958" s="37">
        <f t="shared" si="101"/>
        <v>2709467709</v>
      </c>
      <c r="P1958" s="54">
        <f t="shared" ref="P1958:Q1965" si="103">P34+P71+P108+P145+P182+P219+P256+P293+P330+P367+P404+P441+P478+P515+P552+P589+P626+P663+P700+P737+P774+P811+P848+P885+P922+P959+P996+P1033+P1070+P1107+P1144+P1181+P1218+P1255+P1292+P1329+P1366+P1403+P1440+P1477+P1514+P1551+P1588+P1625+P1662+P1699+P1736+P1773+P1810+P1847+P1884+P1921</f>
        <v>24607489713.582256</v>
      </c>
      <c r="Q1958" s="54">
        <f t="shared" si="103"/>
        <v>10661195902.983458</v>
      </c>
      <c r="R1958" s="66"/>
      <c r="S1958" s="54">
        <f t="shared" si="91"/>
        <v>6429866118</v>
      </c>
      <c r="W1958" s="37">
        <f t="shared" si="95"/>
        <v>0</v>
      </c>
      <c r="X1958" s="37">
        <f t="shared" si="95"/>
        <v>0</v>
      </c>
      <c r="Y1958" s="37">
        <f t="shared" si="95"/>
        <v>11479414679</v>
      </c>
      <c r="Z1958" s="37">
        <f t="shared" si="95"/>
        <v>0</v>
      </c>
    </row>
    <row r="1959" spans="1:26">
      <c r="A1959" s="88" t="s">
        <v>822</v>
      </c>
      <c r="B1959" s="88" t="s">
        <v>822</v>
      </c>
      <c r="C1959" s="38"/>
      <c r="D1959" s="89">
        <v>2017</v>
      </c>
      <c r="E1959" s="54">
        <f t="shared" si="99"/>
        <v>153036058838</v>
      </c>
      <c r="F1959" s="54">
        <f t="shared" si="99"/>
        <v>198204488708</v>
      </c>
      <c r="G1959" s="54">
        <f t="shared" si="99"/>
        <v>263710922383.03006</v>
      </c>
      <c r="H1959" s="54">
        <f t="shared" si="99"/>
        <v>13972797689</v>
      </c>
      <c r="I1959" s="55">
        <f t="shared" si="102"/>
        <v>628924267618.03003</v>
      </c>
      <c r="J1959" s="54">
        <f t="shared" si="100"/>
        <v>-28210346</v>
      </c>
      <c r="K1959" s="56">
        <f t="shared" si="97"/>
        <v>628896057272.03003</v>
      </c>
      <c r="L1959" s="37">
        <f t="shared" si="101"/>
        <v>1110847616</v>
      </c>
      <c r="P1959" s="54">
        <f t="shared" si="103"/>
        <v>25550515475.375664</v>
      </c>
      <c r="Q1959" s="54">
        <f t="shared" si="103"/>
        <v>10550455331.641737</v>
      </c>
      <c r="R1959" s="66"/>
      <c r="S1959" s="54">
        <f t="shared" si="91"/>
        <v>10511475794</v>
      </c>
      <c r="W1959" s="37">
        <f t="shared" ref="W1959:Z1965" si="104">+W72+W35+W146+W109+W183+W220+W257+W294+W368+W405+W442+W590+W479+W516+W553+W627+W664+W701+W812+W775+W738+W849+W886+W960+W923+W997+W1256+W1293+W1034+W1108+W1145+W1182+W1071+W1219+W1330+W1367+W1404+W1441+W1478+W1515+W1552+W1589+W1626+W1663+W1700+W1774+W1737+W1811+W1885+W1848+W1922+W331</f>
        <v>0</v>
      </c>
      <c r="X1959" s="37">
        <f t="shared" si="104"/>
        <v>0</v>
      </c>
      <c r="Y1959" s="37">
        <f t="shared" si="104"/>
        <v>55875506775.650002</v>
      </c>
      <c r="Z1959" s="37">
        <f t="shared" si="104"/>
        <v>0</v>
      </c>
    </row>
    <row r="1960" spans="1:26">
      <c r="A1960" s="88" t="s">
        <v>822</v>
      </c>
      <c r="B1960" s="88" t="s">
        <v>822</v>
      </c>
      <c r="C1960" s="38"/>
      <c r="D1960" s="89">
        <f t="shared" ref="D1960:D1965" si="105">D1959+1</f>
        <v>2018</v>
      </c>
      <c r="E1960" s="54">
        <f t="shared" si="99"/>
        <v>155232995530</v>
      </c>
      <c r="F1960" s="54">
        <f t="shared" si="99"/>
        <v>230992141702</v>
      </c>
      <c r="G1960" s="54">
        <f t="shared" si="99"/>
        <v>276045645353.90997</v>
      </c>
      <c r="H1960" s="54">
        <f t="shared" si="99"/>
        <v>9342384943</v>
      </c>
      <c r="I1960" s="55">
        <f t="shared" si="102"/>
        <v>671613167528.90991</v>
      </c>
      <c r="J1960" s="54">
        <f t="shared" si="100"/>
        <v>-49962019</v>
      </c>
      <c r="K1960" s="56">
        <f t="shared" si="97"/>
        <v>671563205509.90991</v>
      </c>
      <c r="L1960" s="37">
        <f t="shared" si="101"/>
        <v>1564038563</v>
      </c>
      <c r="P1960" s="54">
        <f t="shared" si="103"/>
        <v>26335814729.988388</v>
      </c>
      <c r="Q1960" s="54">
        <f t="shared" si="103"/>
        <v>10262251762.510002</v>
      </c>
      <c r="R1960" s="66"/>
      <c r="S1960" s="54">
        <f t="shared" si="91"/>
        <v>10113576496</v>
      </c>
      <c r="W1960" s="37">
        <f t="shared" si="104"/>
        <v>0</v>
      </c>
      <c r="X1960" s="37">
        <f t="shared" si="104"/>
        <v>0</v>
      </c>
      <c r="Y1960" s="37">
        <f t="shared" si="104"/>
        <v>55184134610.980003</v>
      </c>
      <c r="Z1960" s="37">
        <f t="shared" si="104"/>
        <v>0</v>
      </c>
    </row>
    <row r="1961" spans="1:26">
      <c r="A1961" s="88" t="s">
        <v>822</v>
      </c>
      <c r="B1961" s="88" t="s">
        <v>822</v>
      </c>
      <c r="C1961" s="38"/>
      <c r="D1961" s="89">
        <f t="shared" si="105"/>
        <v>2019</v>
      </c>
      <c r="E1961" s="54">
        <f t="shared" si="99"/>
        <v>161555018130</v>
      </c>
      <c r="F1961" s="54">
        <f t="shared" si="99"/>
        <v>241072790902</v>
      </c>
      <c r="G1961" s="54">
        <f t="shared" si="99"/>
        <v>302199200471.6059</v>
      </c>
      <c r="H1961" s="54">
        <f t="shared" si="99"/>
        <v>12566693703</v>
      </c>
      <c r="I1961" s="55">
        <f t="shared" si="102"/>
        <v>717393703206.60596</v>
      </c>
      <c r="J1961" s="54">
        <f t="shared" si="100"/>
        <v>-401752422</v>
      </c>
      <c r="K1961" s="56">
        <f t="shared" si="97"/>
        <v>716991950784.60596</v>
      </c>
      <c r="L1961" s="37">
        <f t="shared" si="101"/>
        <v>1812247021</v>
      </c>
      <c r="P1961" s="54">
        <f t="shared" si="103"/>
        <v>27675956017.73745</v>
      </c>
      <c r="Q1961" s="54">
        <f t="shared" si="103"/>
        <v>10594013554.189997</v>
      </c>
      <c r="R1961" s="66"/>
      <c r="S1961" s="54">
        <f t="shared" si="91"/>
        <v>20698197371</v>
      </c>
      <c r="W1961" s="37">
        <f t="shared" si="104"/>
        <v>0</v>
      </c>
      <c r="X1961" s="37">
        <f t="shared" si="104"/>
        <v>0</v>
      </c>
      <c r="Y1961" s="37">
        <f t="shared" si="104"/>
        <v>48977781187.3563</v>
      </c>
      <c r="Z1961" s="37">
        <f t="shared" si="104"/>
        <v>0</v>
      </c>
    </row>
    <row r="1962" spans="1:26">
      <c r="A1962" s="88" t="s">
        <v>822</v>
      </c>
      <c r="B1962" s="88" t="s">
        <v>822</v>
      </c>
      <c r="C1962" s="38"/>
      <c r="D1962" s="89">
        <f t="shared" si="105"/>
        <v>2020</v>
      </c>
      <c r="E1962" s="54">
        <f t="shared" si="99"/>
        <v>162836325493</v>
      </c>
      <c r="F1962" s="54">
        <f t="shared" si="99"/>
        <v>243648568070</v>
      </c>
      <c r="G1962" s="54">
        <f t="shared" si="99"/>
        <v>329409759684</v>
      </c>
      <c r="H1962" s="54">
        <f t="shared" si="99"/>
        <v>14710284171</v>
      </c>
      <c r="I1962" s="55">
        <f t="shared" si="102"/>
        <v>750604937418</v>
      </c>
      <c r="J1962" s="54">
        <f t="shared" si="100"/>
        <v>-940587</v>
      </c>
      <c r="K1962" s="56">
        <f t="shared" si="97"/>
        <v>750603996831</v>
      </c>
      <c r="L1962" s="37">
        <f t="shared" si="101"/>
        <v>1537431057</v>
      </c>
      <c r="P1962" s="54">
        <f t="shared" si="103"/>
        <v>27701520329</v>
      </c>
      <c r="Q1962" s="54">
        <f t="shared" si="103"/>
        <v>10245840583</v>
      </c>
      <c r="R1962" s="66"/>
      <c r="S1962" s="54">
        <f t="shared" si="91"/>
        <v>16116151241</v>
      </c>
      <c r="W1962" s="37">
        <f t="shared" si="104"/>
        <v>0</v>
      </c>
      <c r="X1962" s="37">
        <f t="shared" si="104"/>
        <v>0</v>
      </c>
      <c r="Y1962" s="37">
        <f t="shared" si="104"/>
        <v>45333206970</v>
      </c>
      <c r="Z1962" s="37">
        <f t="shared" si="104"/>
        <v>0</v>
      </c>
    </row>
    <row r="1963" spans="1:26">
      <c r="A1963" s="88" t="s">
        <v>822</v>
      </c>
      <c r="B1963" s="88" t="s">
        <v>822</v>
      </c>
      <c r="C1963" s="38"/>
      <c r="D1963" s="89">
        <f t="shared" si="105"/>
        <v>2021</v>
      </c>
      <c r="E1963" s="54">
        <f t="shared" ref="E1963:H1965" si="106">E39+E76+E113+E150+E187+E224+E261+E298+E335+E372+E409+E446+E483+E520+E557+E594+E631+E668+E705+E742+E779+E816+E853+E890+E927+E964+E1001+E1038+E1075+E1112+E1149+E1186+E1223+E1260+E1297+E1334+E1371+E1408+E1445+E1482+E1519+E1556+E1593+E1630+E1667+E1704+E1741+E1778+E1815+E1852+E1889+E1926</f>
        <v>174825450419.60001</v>
      </c>
      <c r="F1963" s="54">
        <f t="shared" si="106"/>
        <v>266412339976.20001</v>
      </c>
      <c r="G1963" s="54">
        <f t="shared" si="106"/>
        <v>338151057382.77002</v>
      </c>
      <c r="H1963" s="54">
        <f t="shared" si="106"/>
        <v>3761207622</v>
      </c>
      <c r="I1963" s="55">
        <f t="shared" si="102"/>
        <v>783150055400.57007</v>
      </c>
      <c r="J1963" s="54">
        <f t="shared" si="100"/>
        <v>-568211</v>
      </c>
      <c r="K1963" s="56">
        <f t="shared" si="97"/>
        <v>783149487189.57007</v>
      </c>
      <c r="L1963" s="37">
        <f t="shared" si="101"/>
        <v>88765368</v>
      </c>
      <c r="P1963" s="54">
        <f t="shared" si="103"/>
        <v>27405525926.110004</v>
      </c>
      <c r="Q1963" s="54">
        <f t="shared" si="103"/>
        <v>11006806599</v>
      </c>
      <c r="R1963" s="66"/>
      <c r="S1963" s="54">
        <f>S39+S76+S113+S150+S187+S224+S261+S298+S335+S372+S409+S446+S483+S520+S557+S594+S631+S668+S705+S742+S779+S816+S853+S890+S927+S964+S1001+S1038+S1075+S1112+S1149+S1186+S1223+S1260+S1297+S1334+S1371+S1408+S1445+S1482+S1519+S1556+S1593+S1630+S1667+S1704+S1741+S1778+S1815+S1852+S1889+S1926</f>
        <v>17264035147</v>
      </c>
      <c r="W1963" s="37">
        <f t="shared" si="104"/>
        <v>0</v>
      </c>
      <c r="X1963" s="37">
        <f t="shared" si="104"/>
        <v>0</v>
      </c>
      <c r="Y1963" s="37">
        <f t="shared" si="104"/>
        <v>46655900591.919998</v>
      </c>
      <c r="Z1963" s="37">
        <f t="shared" si="104"/>
        <v>0</v>
      </c>
    </row>
    <row r="1964" spans="1:26">
      <c r="A1964" s="88" t="s">
        <v>822</v>
      </c>
      <c r="B1964" s="88" t="s">
        <v>822</v>
      </c>
      <c r="C1964" s="38"/>
      <c r="D1964" s="89">
        <f t="shared" si="105"/>
        <v>2022</v>
      </c>
      <c r="E1964" s="54">
        <f t="shared" si="106"/>
        <v>176889448139</v>
      </c>
      <c r="F1964" s="54">
        <f t="shared" si="106"/>
        <v>341866502127</v>
      </c>
      <c r="G1964" s="54">
        <f t="shared" si="106"/>
        <v>365578793391</v>
      </c>
      <c r="H1964" s="54">
        <f t="shared" si="106"/>
        <v>4363370298</v>
      </c>
      <c r="I1964" s="55">
        <f t="shared" si="102"/>
        <v>888698113955</v>
      </c>
      <c r="J1964" s="54">
        <f t="shared" si="100"/>
        <v>-8668641</v>
      </c>
      <c r="K1964" s="56">
        <f t="shared" si="97"/>
        <v>888689445314</v>
      </c>
      <c r="L1964" s="37">
        <f t="shared" si="101"/>
        <v>119248899</v>
      </c>
      <c r="P1964" s="54">
        <f t="shared" si="103"/>
        <v>29836833472</v>
      </c>
      <c r="Q1964" s="54">
        <f t="shared" si="103"/>
        <v>10902234530</v>
      </c>
      <c r="R1964" s="66"/>
      <c r="S1964" s="54">
        <f>S40+S77+S114+S151+S188+S225+S262+S299+S336+S373+S410+S447+S484+S521+S558+S595+S632+S669+S706+S743+S780+S817+S854+S891+S928+S965+S1002+S1039+S1076+S1113+S1150+S1187+S1224+S1261+S1298+S1335+S1372+S1409+S1446+S1483+S1520+S1557+S1594+S1631+S1668+S1705+S1742+S1779+S1816+S1853+S1890+S1927</f>
        <v>20809419724</v>
      </c>
      <c r="W1964" s="37">
        <f t="shared" si="104"/>
        <v>0</v>
      </c>
      <c r="X1964" s="37">
        <f t="shared" si="104"/>
        <v>0</v>
      </c>
      <c r="Y1964" s="37">
        <f t="shared" si="104"/>
        <v>50863775871</v>
      </c>
      <c r="Z1964" s="37">
        <f t="shared" si="104"/>
        <v>0</v>
      </c>
    </row>
    <row r="1965" spans="1:26">
      <c r="A1965" s="88" t="s">
        <v>822</v>
      </c>
      <c r="B1965" s="88" t="s">
        <v>822</v>
      </c>
      <c r="C1965" s="38"/>
      <c r="D1965" s="89">
        <f t="shared" si="105"/>
        <v>2023</v>
      </c>
      <c r="E1965" s="54">
        <f t="shared" si="106"/>
        <v>178687157375</v>
      </c>
      <c r="F1965" s="54">
        <f t="shared" si="106"/>
        <v>411320483297.4588</v>
      </c>
      <c r="G1965" s="54">
        <f t="shared" si="106"/>
        <v>430296541396.24823</v>
      </c>
      <c r="H1965" s="54">
        <f t="shared" si="106"/>
        <v>10148263128</v>
      </c>
      <c r="I1965" s="55">
        <f t="shared" ref="I1965" si="107">SUM(E1965:H1965)</f>
        <v>1030452445196.707</v>
      </c>
      <c r="J1965" s="54">
        <f t="shared" si="100"/>
        <v>-4023037</v>
      </c>
      <c r="K1965" s="56">
        <f t="shared" si="97"/>
        <v>1030448422159.707</v>
      </c>
      <c r="L1965" s="37">
        <f t="shared" si="101"/>
        <v>126110425</v>
      </c>
      <c r="P1965" s="54">
        <f t="shared" si="103"/>
        <v>31502961618.097095</v>
      </c>
      <c r="Q1965" s="54">
        <f t="shared" si="103"/>
        <v>11009162902</v>
      </c>
      <c r="R1965" s="66"/>
      <c r="S1965" s="54">
        <f>S41+S78+S115+S152+S189+S226+S263+S300+S337+S374+S411+S448+S485+S522+S559+S596+S633+S670+S707+S744+S781+S818+S855+S892+S929+S966+S1003+S1040+S1077+S1114+S1151+S1188+S1225+S1262+S1299+S1336+S1373+S1410+S1447+S1484+S1521+S1558+S1595+S1632+S1669+S1706+S1743+S1780+S1817+S1854+S1891+S1928</f>
        <v>27206357997</v>
      </c>
      <c r="W1965" s="37">
        <f t="shared" si="104"/>
        <v>0</v>
      </c>
      <c r="X1965" s="37">
        <f t="shared" si="104"/>
        <v>0</v>
      </c>
      <c r="Y1965" s="37">
        <f t="shared" si="104"/>
        <v>59740751109.300903</v>
      </c>
      <c r="Z1965" s="37">
        <f t="shared" si="104"/>
        <v>0</v>
      </c>
    </row>
    <row r="1966" spans="1:26">
      <c r="A1966"/>
      <c r="B1966" s="38"/>
      <c r="C1966" s="38"/>
      <c r="E1966" s="37"/>
      <c r="F1966" s="37"/>
      <c r="G1966" s="37"/>
      <c r="H1966" s="37"/>
      <c r="I1966" s="55"/>
      <c r="K1966" s="55"/>
      <c r="L1966" s="37"/>
    </row>
    <row r="1967" spans="1:26">
      <c r="A1967"/>
      <c r="B1967" s="38"/>
      <c r="C1967" s="38"/>
      <c r="D1967" s="90" t="s">
        <v>694</v>
      </c>
      <c r="E1967" s="91">
        <f>SUM(E1930:E1966)</f>
        <v>3979508112632.6001</v>
      </c>
      <c r="F1967" s="91">
        <f t="shared" ref="F1967:L1967" si="108">SUM(F1930:F1966)</f>
        <v>5164920452765.999</v>
      </c>
      <c r="G1967" s="91">
        <f t="shared" si="108"/>
        <v>6857338451039.9746</v>
      </c>
      <c r="H1967" s="91">
        <f t="shared" si="108"/>
        <v>399614564267</v>
      </c>
      <c r="I1967" s="91">
        <f t="shared" si="108"/>
        <v>16401381580705.572</v>
      </c>
      <c r="J1967" s="91">
        <f t="shared" si="108"/>
        <v>-4415097880</v>
      </c>
      <c r="K1967" s="91">
        <f t="shared" si="108"/>
        <v>16396966482825.572</v>
      </c>
      <c r="L1967" s="91">
        <f t="shared" si="108"/>
        <v>25528027920</v>
      </c>
      <c r="M1967" s="36"/>
      <c r="N1967" s="36"/>
      <c r="P1967" s="91">
        <f t="shared" ref="P1967:S1967" si="109">SUM(P1930:P1966)</f>
        <v>244329558102.83136</v>
      </c>
      <c r="Q1967" s="91">
        <f t="shared" si="109"/>
        <v>95720343016.015198</v>
      </c>
      <c r="R1967" s="36"/>
      <c r="S1967" s="91">
        <f t="shared" si="109"/>
        <v>151091383047</v>
      </c>
      <c r="W1967" s="91">
        <f t="shared" ref="W1967:Z1967" si="110">SUM(W1930:W1966)</f>
        <v>98146865</v>
      </c>
      <c r="X1967" s="91">
        <f t="shared" si="110"/>
        <v>1547483586</v>
      </c>
      <c r="Y1967" s="91">
        <f t="shared" si="110"/>
        <v>413565256840.5072</v>
      </c>
      <c r="Z1967" s="91">
        <f t="shared" si="110"/>
        <v>200000001</v>
      </c>
    </row>
    <row r="1968" spans="1:26">
      <c r="A1968"/>
      <c r="B1968" s="38"/>
      <c r="C1968" s="38"/>
      <c r="D1968" s="89"/>
      <c r="E1968" s="37" t="s">
        <v>708</v>
      </c>
      <c r="F1968" s="37" t="s">
        <v>708</v>
      </c>
      <c r="G1968" s="37" t="s">
        <v>708</v>
      </c>
      <c r="H1968" s="37" t="s">
        <v>708</v>
      </c>
      <c r="I1968" s="37" t="s">
        <v>708</v>
      </c>
      <c r="J1968" s="37" t="s">
        <v>708</v>
      </c>
      <c r="K1968" s="37" t="s">
        <v>708</v>
      </c>
      <c r="L1968" s="37" t="s">
        <v>708</v>
      </c>
      <c r="P1968" s="37" t="s">
        <v>708</v>
      </c>
      <c r="Q1968" s="37" t="s">
        <v>708</v>
      </c>
    </row>
    <row r="1969" spans="1:26" hidden="1">
      <c r="B1969" s="38"/>
      <c r="C1969" s="38"/>
      <c r="E1969" s="37">
        <f>SUM(E6:E1928)</f>
        <v>3979508112632.6001</v>
      </c>
      <c r="F1969" s="37">
        <f t="shared" ref="F1969:L1969" si="111">SUM(F6:F1928)</f>
        <v>5164920452765.999</v>
      </c>
      <c r="G1969" s="37">
        <f t="shared" si="111"/>
        <v>6857338451039.9746</v>
      </c>
      <c r="H1969" s="37">
        <f t="shared" si="111"/>
        <v>399614564267</v>
      </c>
      <c r="I1969" s="37">
        <f t="shared" si="111"/>
        <v>16401381580705.564</v>
      </c>
      <c r="J1969" s="37">
        <f t="shared" si="111"/>
        <v>-4415097880</v>
      </c>
      <c r="K1969" s="37">
        <f t="shared" si="111"/>
        <v>16396966482825.564</v>
      </c>
      <c r="L1969" s="37">
        <f t="shared" si="111"/>
        <v>25528027920</v>
      </c>
      <c r="P1969" s="37">
        <f t="shared" ref="P1969:S1969" si="112">SUM(P6:P1928)</f>
        <v>244329558102.83127</v>
      </c>
      <c r="Q1969" s="37">
        <f t="shared" si="112"/>
        <v>95720343016.015167</v>
      </c>
      <c r="R1969" s="37">
        <f t="shared" si="112"/>
        <v>0</v>
      </c>
      <c r="S1969" s="37">
        <f t="shared" si="112"/>
        <v>151091383047</v>
      </c>
      <c r="W1969" s="37">
        <f t="shared" ref="W1969:Z1969" si="113">SUM(W6:W1928)</f>
        <v>98146865</v>
      </c>
      <c r="X1969" s="37">
        <f t="shared" si="113"/>
        <v>1547483586</v>
      </c>
      <c r="Y1969" s="37">
        <f t="shared" si="113"/>
        <v>413565256840.50726</v>
      </c>
      <c r="Z1969" s="37">
        <f t="shared" si="113"/>
        <v>200000001</v>
      </c>
    </row>
    <row r="1970" spans="1:26" hidden="1">
      <c r="A1970"/>
      <c r="B1970" s="38"/>
      <c r="C1970" s="38"/>
      <c r="D1970" s="92" t="s">
        <v>823</v>
      </c>
      <c r="E1970" s="71">
        <f>E1967-E1969</f>
        <v>0</v>
      </c>
      <c r="F1970" s="71">
        <f t="shared" ref="F1970:L1970" si="114">F1967-F1969</f>
        <v>0</v>
      </c>
      <c r="G1970" s="71">
        <f>G1967-G1969</f>
        <v>0</v>
      </c>
      <c r="H1970" s="71">
        <f>H1967-H1969</f>
        <v>0</v>
      </c>
      <c r="I1970" s="71">
        <f t="shared" si="114"/>
        <v>0</v>
      </c>
      <c r="J1970" s="71">
        <f t="shared" si="114"/>
        <v>0</v>
      </c>
      <c r="K1970" s="71">
        <f>K1967-K1969</f>
        <v>0</v>
      </c>
      <c r="L1970" s="71">
        <f t="shared" si="114"/>
        <v>0</v>
      </c>
      <c r="P1970" s="71">
        <f t="shared" ref="P1970:S1970" si="115">P1967-P1969</f>
        <v>0</v>
      </c>
      <c r="Q1970" s="71">
        <f t="shared" si="115"/>
        <v>0</v>
      </c>
      <c r="R1970" s="71"/>
      <c r="S1970" s="71">
        <f t="shared" si="115"/>
        <v>0</v>
      </c>
      <c r="W1970" s="71">
        <f t="shared" ref="W1970:Z1970" si="116">W1967-W1969</f>
        <v>0</v>
      </c>
      <c r="X1970" s="71">
        <f t="shared" si="116"/>
        <v>0</v>
      </c>
      <c r="Y1970" s="71">
        <f t="shared" si="116"/>
        <v>0</v>
      </c>
      <c r="Z1970" s="71">
        <f t="shared" si="116"/>
        <v>0</v>
      </c>
    </row>
    <row r="1971" spans="1:26" hidden="1">
      <c r="A1971"/>
      <c r="B1971" s="38"/>
      <c r="C1971" s="38"/>
      <c r="D1971" s="38"/>
      <c r="E1971" s="38"/>
      <c r="F1971" s="38"/>
      <c r="G1971" s="38"/>
      <c r="H1971" s="38"/>
      <c r="I1971"/>
      <c r="K1971" s="93"/>
    </row>
    <row r="1972" spans="1:26" hidden="1">
      <c r="A1972"/>
      <c r="B1972" s="38"/>
      <c r="C1972" s="38"/>
      <c r="D1972" s="94"/>
      <c r="E1972" s="36"/>
      <c r="F1972" s="40" t="s">
        <v>824</v>
      </c>
      <c r="G1972" s="40"/>
      <c r="H1972" s="40" t="s">
        <v>825</v>
      </c>
      <c r="I1972" s="36"/>
      <c r="K1972" s="95"/>
      <c r="L1972" s="76" t="s">
        <v>708</v>
      </c>
    </row>
    <row r="1973" spans="1:26" hidden="1">
      <c r="A1973"/>
      <c r="B1973" s="38"/>
      <c r="C1973" s="38"/>
      <c r="D1973" s="96"/>
      <c r="E1973" s="88">
        <v>1988</v>
      </c>
      <c r="F1973" s="36">
        <f t="shared" ref="F1973:F2008" si="117">+F1930-L1930</f>
        <v>47197640289</v>
      </c>
      <c r="G1973" s="88">
        <v>1988</v>
      </c>
      <c r="H1973" s="36">
        <f t="shared" ref="H1973:H2008" si="118">+H1930+J1930</f>
        <v>12885308505</v>
      </c>
      <c r="I1973" s="36"/>
      <c r="J1973" s="97"/>
      <c r="K1973" s="42"/>
      <c r="L1973" s="42"/>
      <c r="M1973" s="42"/>
      <c r="N1973" s="42"/>
      <c r="O1973" s="41"/>
      <c r="P1973" s="41"/>
      <c r="Q1973" s="41"/>
      <c r="R1973" s="42"/>
      <c r="S1973" s="40"/>
      <c r="T1973" s="40"/>
    </row>
    <row r="1974" spans="1:26" hidden="1">
      <c r="A1974" s="66"/>
      <c r="B1974" s="38"/>
      <c r="C1974" s="38"/>
      <c r="D1974" s="89"/>
      <c r="E1974" s="88">
        <v>1989</v>
      </c>
      <c r="F1974" s="36">
        <f t="shared" si="117"/>
        <v>51395259556</v>
      </c>
      <c r="G1974" s="88">
        <v>1989</v>
      </c>
      <c r="H1974" s="36">
        <f t="shared" si="118"/>
        <v>13209256536</v>
      </c>
      <c r="I1974" s="36"/>
      <c r="K1974" s="95"/>
    </row>
    <row r="1975" spans="1:26" hidden="1">
      <c r="A1975"/>
      <c r="B1975" s="38"/>
      <c r="C1975" s="38"/>
      <c r="D1975" s="89"/>
      <c r="E1975" s="88">
        <v>1990</v>
      </c>
      <c r="F1975" s="36">
        <f t="shared" si="117"/>
        <v>59123994832.200012</v>
      </c>
      <c r="G1975" s="88">
        <v>1990</v>
      </c>
      <c r="H1975" s="36">
        <f t="shared" si="118"/>
        <v>12985387461</v>
      </c>
      <c r="I1975" s="36"/>
      <c r="K1975" s="98"/>
      <c r="L1975" s="51"/>
      <c r="M1975" s="51"/>
      <c r="N1975" s="51"/>
      <c r="P1975" s="75"/>
      <c r="Q1975" s="75"/>
      <c r="R1975" s="51"/>
      <c r="S1975" s="39"/>
      <c r="T1975" s="39"/>
    </row>
    <row r="1976" spans="1:26" hidden="1">
      <c r="A1976" t="s">
        <v>708</v>
      </c>
      <c r="B1976" s="38"/>
      <c r="C1976" s="38"/>
      <c r="D1976" s="38"/>
      <c r="E1976" s="88">
        <v>1991</v>
      </c>
      <c r="F1976" s="36">
        <f t="shared" si="117"/>
        <v>54008916878</v>
      </c>
      <c r="G1976" s="88">
        <v>1991</v>
      </c>
      <c r="H1976" s="36">
        <f t="shared" si="118"/>
        <v>14912665592</v>
      </c>
      <c r="I1976" s="99"/>
      <c r="K1976" s="42"/>
      <c r="M1976" s="76"/>
      <c r="N1976" s="76"/>
      <c r="R1976" s="76"/>
    </row>
    <row r="1977" spans="1:26" hidden="1">
      <c r="A1977"/>
      <c r="B1977" s="38"/>
      <c r="C1977" s="38"/>
      <c r="D1977" s="38"/>
      <c r="E1977" s="88">
        <v>1992</v>
      </c>
      <c r="F1977" s="36">
        <f t="shared" si="117"/>
        <v>56577096719.799988</v>
      </c>
      <c r="G1977" s="88">
        <v>1992</v>
      </c>
      <c r="H1977" s="36">
        <f t="shared" si="118"/>
        <v>12838131026</v>
      </c>
      <c r="I1977" s="36"/>
      <c r="K1977" s="42"/>
    </row>
    <row r="1978" spans="1:26" hidden="1">
      <c r="A1978"/>
      <c r="B1978" s="38"/>
      <c r="C1978" s="38"/>
      <c r="D1978" s="38"/>
      <c r="E1978" s="88">
        <v>1993</v>
      </c>
      <c r="F1978" s="36">
        <f t="shared" si="117"/>
        <v>48786393309</v>
      </c>
      <c r="G1978" s="88">
        <v>1993</v>
      </c>
      <c r="H1978" s="36">
        <f t="shared" si="118"/>
        <v>12133056636</v>
      </c>
      <c r="I1978" s="36" t="s">
        <v>708</v>
      </c>
      <c r="K1978" s="95"/>
    </row>
    <row r="1979" spans="1:26" hidden="1">
      <c r="A1979"/>
      <c r="B1979" s="38"/>
      <c r="C1979" s="38"/>
      <c r="D1979" s="38"/>
      <c r="E1979" s="88">
        <v>1994</v>
      </c>
      <c r="F1979" s="36">
        <f t="shared" si="117"/>
        <v>63928946344</v>
      </c>
      <c r="G1979" s="88">
        <v>1994</v>
      </c>
      <c r="H1979" s="36">
        <f t="shared" si="118"/>
        <v>10289818844</v>
      </c>
      <c r="I1979" s="36"/>
      <c r="K1979" s="95"/>
    </row>
    <row r="1980" spans="1:26" hidden="1">
      <c r="A1980"/>
      <c r="B1980" s="38"/>
      <c r="C1980" s="38"/>
      <c r="D1980" s="38"/>
      <c r="E1980" s="88">
        <v>1995</v>
      </c>
      <c r="F1980" s="36">
        <f t="shared" si="117"/>
        <v>64904188476</v>
      </c>
      <c r="G1980" s="88">
        <v>1995</v>
      </c>
      <c r="H1980" s="36">
        <f t="shared" si="118"/>
        <v>10204062171</v>
      </c>
      <c r="I1980" s="36"/>
      <c r="K1980" s="95"/>
    </row>
    <row r="1981" spans="1:26" hidden="1">
      <c r="A1981"/>
      <c r="B1981" s="38"/>
      <c r="C1981" s="38"/>
      <c r="D1981" s="38"/>
      <c r="E1981" s="88">
        <v>1996</v>
      </c>
      <c r="F1981" s="36">
        <f t="shared" si="117"/>
        <v>55892435015</v>
      </c>
      <c r="G1981" s="88">
        <v>1996</v>
      </c>
      <c r="H1981" s="36">
        <f t="shared" si="118"/>
        <v>8675450685</v>
      </c>
      <c r="I1981" s="36"/>
      <c r="K1981" s="95"/>
    </row>
    <row r="1982" spans="1:26" hidden="1">
      <c r="A1982"/>
      <c r="B1982" s="38"/>
      <c r="C1982" s="38"/>
      <c r="D1982" s="38"/>
      <c r="E1982" s="88">
        <v>1997</v>
      </c>
      <c r="F1982" s="36">
        <f t="shared" si="117"/>
        <v>60559618920</v>
      </c>
      <c r="G1982" s="88">
        <v>1997</v>
      </c>
      <c r="H1982" s="36">
        <f t="shared" si="118"/>
        <v>9324506872</v>
      </c>
      <c r="I1982" s="36"/>
      <c r="K1982" s="95"/>
    </row>
    <row r="1983" spans="1:26" hidden="1">
      <c r="A1983"/>
      <c r="B1983" s="38"/>
      <c r="C1983" s="38"/>
      <c r="D1983" s="38"/>
      <c r="E1983" s="88">
        <v>1998</v>
      </c>
      <c r="F1983" s="36">
        <f t="shared" si="117"/>
        <v>58300547126</v>
      </c>
      <c r="G1983" s="88">
        <v>1998</v>
      </c>
      <c r="H1983" s="36">
        <f t="shared" si="118"/>
        <v>7369589068</v>
      </c>
      <c r="I1983" s="36"/>
      <c r="K1983" s="95"/>
    </row>
    <row r="1984" spans="1:26" hidden="1">
      <c r="A1984"/>
      <c r="B1984" s="38"/>
      <c r="C1984" s="38"/>
      <c r="D1984" s="38"/>
      <c r="E1984" s="88">
        <v>1999</v>
      </c>
      <c r="F1984" s="68">
        <f t="shared" si="117"/>
        <v>78825590153</v>
      </c>
      <c r="G1984" s="88">
        <v>1999</v>
      </c>
      <c r="H1984" s="36">
        <f t="shared" si="118"/>
        <v>10451702472</v>
      </c>
      <c r="I1984" s="36"/>
      <c r="K1984" s="95"/>
    </row>
    <row r="1985" spans="1:11" hidden="1">
      <c r="A1985"/>
      <c r="B1985" s="38"/>
      <c r="C1985" s="38"/>
      <c r="D1985" s="38"/>
      <c r="E1985" s="88">
        <v>2000</v>
      </c>
      <c r="F1985" s="68">
        <f t="shared" si="117"/>
        <v>87255131531</v>
      </c>
      <c r="G1985" s="88">
        <v>2000</v>
      </c>
      <c r="H1985" s="36">
        <f t="shared" si="118"/>
        <v>9675315119</v>
      </c>
      <c r="I1985" s="36"/>
      <c r="K1985" s="95"/>
    </row>
    <row r="1986" spans="1:11" hidden="1">
      <c r="A1986"/>
      <c r="B1986" s="38"/>
      <c r="C1986" s="38"/>
      <c r="D1986" s="38"/>
      <c r="E1986" s="88">
        <v>2001</v>
      </c>
      <c r="F1986" s="68">
        <f t="shared" si="117"/>
        <v>119698629067.33998</v>
      </c>
      <c r="G1986" s="88">
        <v>2001</v>
      </c>
      <c r="H1986" s="36">
        <f t="shared" si="118"/>
        <v>8658711145</v>
      </c>
      <c r="I1986" s="36"/>
      <c r="K1986" s="95"/>
    </row>
    <row r="1987" spans="1:11" hidden="1">
      <c r="A1987"/>
      <c r="B1987" s="38"/>
      <c r="C1987" s="38"/>
      <c r="D1987" s="38"/>
      <c r="E1987" s="88">
        <v>2002</v>
      </c>
      <c r="F1987" s="68">
        <f t="shared" si="117"/>
        <v>159601046440</v>
      </c>
      <c r="G1987" s="88">
        <v>2002</v>
      </c>
      <c r="H1987" s="36">
        <f t="shared" si="118"/>
        <v>9987027449</v>
      </c>
      <c r="I1987" s="36"/>
      <c r="K1987" s="95"/>
    </row>
    <row r="1988" spans="1:11" hidden="1">
      <c r="A1988"/>
      <c r="B1988" s="38"/>
      <c r="C1988" s="38"/>
      <c r="D1988" s="38"/>
      <c r="E1988" s="88">
        <v>2003</v>
      </c>
      <c r="F1988" s="68">
        <f t="shared" si="117"/>
        <v>143663459065</v>
      </c>
      <c r="G1988" s="88">
        <v>2003</v>
      </c>
      <c r="H1988" s="36">
        <f t="shared" si="118"/>
        <v>9952521907</v>
      </c>
      <c r="I1988" s="36"/>
      <c r="K1988" s="95"/>
    </row>
    <row r="1989" spans="1:11" hidden="1">
      <c r="A1989"/>
      <c r="B1989" s="38"/>
      <c r="C1989" s="38"/>
      <c r="D1989" s="38"/>
      <c r="E1989" s="88">
        <v>2004</v>
      </c>
      <c r="F1989" s="68">
        <f t="shared" si="117"/>
        <v>127466370008</v>
      </c>
      <c r="G1989" s="88">
        <v>2004</v>
      </c>
      <c r="H1989" s="36">
        <f t="shared" si="118"/>
        <v>10263852234</v>
      </c>
      <c r="I1989" s="36"/>
      <c r="K1989" s="95"/>
    </row>
    <row r="1990" spans="1:11" hidden="1">
      <c r="A1990"/>
      <c r="B1990" s="38"/>
      <c r="C1990" s="38"/>
      <c r="D1990" s="38"/>
      <c r="E1990" s="88">
        <v>2005</v>
      </c>
      <c r="F1990" s="68">
        <f t="shared" si="117"/>
        <v>115361464790</v>
      </c>
      <c r="G1990" s="88">
        <v>2005</v>
      </c>
      <c r="H1990" s="36">
        <f t="shared" si="118"/>
        <v>14158215238</v>
      </c>
      <c r="I1990" s="36"/>
      <c r="K1990" s="95"/>
    </row>
    <row r="1991" spans="1:11" hidden="1">
      <c r="A1991"/>
      <c r="B1991" s="38"/>
      <c r="C1991" s="38"/>
      <c r="D1991" s="38"/>
      <c r="E1991" s="88">
        <v>2006</v>
      </c>
      <c r="F1991" s="68">
        <f t="shared" si="117"/>
        <v>130662770609</v>
      </c>
      <c r="G1991" s="88">
        <v>2006</v>
      </c>
      <c r="H1991" s="36">
        <f t="shared" si="118"/>
        <v>10831798085</v>
      </c>
      <c r="I1991" s="36"/>
      <c r="K1991" s="95"/>
    </row>
    <row r="1992" spans="1:11" hidden="1">
      <c r="A1992"/>
      <c r="B1992" s="38"/>
      <c r="C1992" s="38"/>
      <c r="D1992" s="38"/>
      <c r="E1992" s="88">
        <v>2007</v>
      </c>
      <c r="F1992" s="68">
        <f t="shared" si="117"/>
        <v>131231862708</v>
      </c>
      <c r="G1992" s="88">
        <v>2007</v>
      </c>
      <c r="H1992" s="36">
        <f t="shared" si="118"/>
        <v>10738370878</v>
      </c>
      <c r="I1992" s="36"/>
      <c r="K1992" s="95"/>
    </row>
    <row r="1993" spans="1:11" hidden="1">
      <c r="A1993"/>
      <c r="B1993" s="38"/>
      <c r="C1993" s="38"/>
      <c r="D1993" s="38"/>
      <c r="E1993" s="88">
        <v>2008</v>
      </c>
      <c r="F1993" s="68">
        <f t="shared" si="117"/>
        <v>176601569138</v>
      </c>
      <c r="G1993" s="88">
        <v>2008</v>
      </c>
      <c r="H1993" s="36">
        <f t="shared" si="118"/>
        <v>12898236478</v>
      </c>
      <c r="I1993" s="36"/>
      <c r="K1993" s="95"/>
    </row>
    <row r="1994" spans="1:11" hidden="1">
      <c r="A1994"/>
      <c r="B1994" s="38"/>
      <c r="C1994" s="38"/>
      <c r="D1994" s="38"/>
      <c r="E1994" s="88">
        <v>2009</v>
      </c>
      <c r="F1994" s="68">
        <f t="shared" si="117"/>
        <v>169776897716</v>
      </c>
      <c r="G1994" s="88">
        <v>2009</v>
      </c>
      <c r="H1994" s="36">
        <f t="shared" si="118"/>
        <v>9617824491</v>
      </c>
      <c r="I1994" s="36"/>
      <c r="K1994" s="95"/>
    </row>
    <row r="1995" spans="1:11" hidden="1">
      <c r="A1995"/>
      <c r="B1995" s="38"/>
      <c r="C1995" s="38"/>
      <c r="D1995" s="38"/>
      <c r="E1995" s="88">
        <v>2010</v>
      </c>
      <c r="F1995" s="68">
        <f t="shared" si="117"/>
        <v>145851805360</v>
      </c>
      <c r="G1995" s="88">
        <v>2010</v>
      </c>
      <c r="H1995" s="36">
        <f t="shared" si="118"/>
        <v>9045912697</v>
      </c>
      <c r="I1995" s="36"/>
      <c r="K1995" s="95"/>
    </row>
    <row r="1996" spans="1:11" hidden="1">
      <c r="A1996"/>
      <c r="B1996" s="38"/>
      <c r="C1996" s="38"/>
      <c r="D1996" s="38"/>
      <c r="E1996" s="88">
        <v>2011</v>
      </c>
      <c r="F1996" s="68">
        <f t="shared" si="117"/>
        <v>141989391269</v>
      </c>
      <c r="G1996" s="88">
        <v>2011</v>
      </c>
      <c r="H1996" s="36">
        <f t="shared" si="118"/>
        <v>9367800355</v>
      </c>
      <c r="I1996" s="36"/>
      <c r="K1996" s="95"/>
    </row>
    <row r="1997" spans="1:11" hidden="1">
      <c r="A1997"/>
      <c r="B1997" s="38"/>
      <c r="C1997" s="38"/>
      <c r="D1997" s="38"/>
      <c r="E1997" s="88">
        <v>2012</v>
      </c>
      <c r="F1997" s="68">
        <f t="shared" si="117"/>
        <v>173144677212</v>
      </c>
      <c r="G1997" s="88">
        <v>2012</v>
      </c>
      <c r="H1997" s="36">
        <f t="shared" si="118"/>
        <v>15558776110</v>
      </c>
      <c r="I1997" s="36"/>
      <c r="K1997" s="95"/>
    </row>
    <row r="1998" spans="1:11" hidden="1">
      <c r="A1998"/>
      <c r="B1998" s="38"/>
      <c r="C1998" s="38"/>
      <c r="D1998" s="38"/>
      <c r="E1998" s="88">
        <v>2013</v>
      </c>
      <c r="F1998" s="68">
        <f t="shared" si="117"/>
        <v>149823923566</v>
      </c>
      <c r="G1998" s="88">
        <f>E1998</f>
        <v>2013</v>
      </c>
      <c r="H1998" s="36">
        <f t="shared" si="118"/>
        <v>13235770280</v>
      </c>
      <c r="I1998" s="36"/>
      <c r="K1998" s="95"/>
    </row>
    <row r="1999" spans="1:11" hidden="1">
      <c r="A1999"/>
      <c r="B1999" s="38"/>
      <c r="C1999" s="38"/>
      <c r="D1999" s="38"/>
      <c r="E1999">
        <v>2014</v>
      </c>
      <c r="F1999" s="68">
        <f t="shared" si="117"/>
        <v>163997152102</v>
      </c>
      <c r="G1999">
        <v>2014</v>
      </c>
      <c r="H1999" s="36">
        <f t="shared" si="118"/>
        <v>11993918743</v>
      </c>
      <c r="I1999" s="36"/>
      <c r="K1999" s="95"/>
    </row>
    <row r="2000" spans="1:11" hidden="1">
      <c r="A2000"/>
      <c r="B2000" s="38"/>
      <c r="C2000" s="38"/>
      <c r="D2000" s="38"/>
      <c r="E2000">
        <v>2015</v>
      </c>
      <c r="F2000" s="68">
        <f t="shared" si="117"/>
        <v>179028175415</v>
      </c>
      <c r="G2000">
        <v>2015</v>
      </c>
      <c r="H2000" s="36">
        <f t="shared" si="118"/>
        <v>10622434039</v>
      </c>
      <c r="I2000" s="36"/>
      <c r="K2000" s="95"/>
    </row>
    <row r="2001" spans="1:11" hidden="1">
      <c r="A2001"/>
      <c r="B2001" s="38"/>
      <c r="C2001" s="38"/>
      <c r="D2001" s="38"/>
      <c r="E2001">
        <v>2016</v>
      </c>
      <c r="F2001" s="68">
        <f t="shared" si="117"/>
        <v>197578845398</v>
      </c>
      <c r="G2001">
        <f>E2001</f>
        <v>2016</v>
      </c>
      <c r="H2001" s="36">
        <f t="shared" si="118"/>
        <v>14943168980</v>
      </c>
      <c r="I2001" s="36"/>
      <c r="K2001" s="95"/>
    </row>
    <row r="2002" spans="1:11" hidden="1">
      <c r="A2002"/>
      <c r="B2002" s="38"/>
      <c r="C2002" s="38"/>
      <c r="D2002" s="38"/>
      <c r="E2002">
        <v>2017</v>
      </c>
      <c r="F2002" s="68">
        <f t="shared" si="117"/>
        <v>197093641092</v>
      </c>
      <c r="G2002">
        <v>2017</v>
      </c>
      <c r="H2002" s="36">
        <f t="shared" si="118"/>
        <v>13944587343</v>
      </c>
      <c r="I2002" s="36"/>
      <c r="K2002" s="95"/>
    </row>
    <row r="2003" spans="1:11" hidden="1">
      <c r="A2003"/>
      <c r="B2003" s="38"/>
      <c r="C2003" s="38"/>
      <c r="D2003" s="38"/>
      <c r="E2003">
        <f>E2002+1</f>
        <v>2018</v>
      </c>
      <c r="F2003" s="68">
        <f t="shared" si="117"/>
        <v>229428103139</v>
      </c>
      <c r="G2003">
        <f t="shared" ref="G2003:G2008" si="119">E2003</f>
        <v>2018</v>
      </c>
      <c r="H2003" s="36">
        <f t="shared" si="118"/>
        <v>9292422924</v>
      </c>
      <c r="I2003" s="36"/>
      <c r="K2003" s="95"/>
    </row>
    <row r="2004" spans="1:11" hidden="1">
      <c r="A2004"/>
      <c r="B2004" s="38"/>
      <c r="C2004" s="38"/>
      <c r="D2004" s="38"/>
      <c r="E2004">
        <v>2019</v>
      </c>
      <c r="F2004" s="68">
        <f t="shared" si="117"/>
        <v>239260543881</v>
      </c>
      <c r="G2004">
        <f t="shared" si="119"/>
        <v>2019</v>
      </c>
      <c r="H2004" s="36">
        <f t="shared" si="118"/>
        <v>12164941281</v>
      </c>
      <c r="I2004" s="36"/>
      <c r="K2004" s="95"/>
    </row>
    <row r="2005" spans="1:11" hidden="1">
      <c r="A2005"/>
      <c r="B2005" s="38"/>
      <c r="C2005" s="38"/>
      <c r="D2005" s="38"/>
      <c r="E2005">
        <v>2020</v>
      </c>
      <c r="F2005" s="68">
        <f t="shared" si="117"/>
        <v>242111137013</v>
      </c>
      <c r="G2005">
        <f t="shared" si="119"/>
        <v>2020</v>
      </c>
      <c r="H2005" s="36">
        <f t="shared" si="118"/>
        <v>14709343584</v>
      </c>
      <c r="I2005" s="36"/>
      <c r="K2005" s="95"/>
    </row>
    <row r="2006" spans="1:11" hidden="1">
      <c r="A2006"/>
      <c r="B2006" s="38"/>
      <c r="C2006" s="38"/>
      <c r="D2006" s="38"/>
      <c r="E2006">
        <v>2021</v>
      </c>
      <c r="F2006" s="68">
        <f t="shared" si="117"/>
        <v>266323574608.20001</v>
      </c>
      <c r="G2006">
        <f t="shared" si="119"/>
        <v>2021</v>
      </c>
      <c r="H2006" s="36">
        <f t="shared" si="118"/>
        <v>3760639411</v>
      </c>
      <c r="I2006" s="36"/>
      <c r="K2006" s="95"/>
    </row>
    <row r="2007" spans="1:11" hidden="1">
      <c r="A2007"/>
      <c r="B2007" s="38"/>
      <c r="C2007" s="38"/>
      <c r="D2007" s="38"/>
      <c r="E2007">
        <v>2022</v>
      </c>
      <c r="F2007" s="68">
        <f t="shared" si="117"/>
        <v>341747253228</v>
      </c>
      <c r="G2007">
        <f t="shared" si="119"/>
        <v>2022</v>
      </c>
      <c r="H2007" s="36">
        <f t="shared" si="118"/>
        <v>4354701657</v>
      </c>
      <c r="I2007" s="36"/>
      <c r="K2007" s="95"/>
    </row>
    <row r="2008" spans="1:11" hidden="1">
      <c r="A2008"/>
      <c r="B2008" s="38"/>
      <c r="C2008" s="38"/>
      <c r="D2008" s="38"/>
      <c r="E2008">
        <v>2023</v>
      </c>
      <c r="F2008" s="68">
        <f t="shared" si="117"/>
        <v>411194372872.4588</v>
      </c>
      <c r="G2008">
        <f t="shared" si="119"/>
        <v>2023</v>
      </c>
      <c r="H2008" s="36">
        <f t="shared" si="118"/>
        <v>10144240091</v>
      </c>
      <c r="I2008" s="36"/>
      <c r="K2008" s="95"/>
    </row>
    <row r="2009" spans="1:11" hidden="1">
      <c r="A2009"/>
      <c r="B2009" s="38"/>
      <c r="C2009" s="38"/>
      <c r="D2009" s="38"/>
      <c r="E2009"/>
      <c r="F2009" s="68"/>
      <c r="G2009"/>
      <c r="H2009" s="36"/>
      <c r="I2009" s="36"/>
      <c r="K2009" s="95"/>
    </row>
    <row r="2010" spans="1:11" hidden="1">
      <c r="A2010"/>
      <c r="B2010" s="38"/>
      <c r="C2010" s="38"/>
      <c r="D2010" s="38"/>
      <c r="E2010" s="90" t="s">
        <v>694</v>
      </c>
      <c r="F2010" s="100">
        <f>SUM(F1973:F2009)</f>
        <v>5139392424845.999</v>
      </c>
      <c r="G2010" s="90" t="s">
        <v>694</v>
      </c>
      <c r="H2010" s="100">
        <f>SUM(H1973:H2009)</f>
        <v>395199466387</v>
      </c>
      <c r="I2010" s="36"/>
      <c r="K2010" s="95"/>
    </row>
    <row r="2011" spans="1:11" hidden="1">
      <c r="A2011"/>
      <c r="B2011" s="38"/>
      <c r="C2011" s="38"/>
      <c r="D2011" s="38"/>
      <c r="E2011" s="101" t="s">
        <v>708</v>
      </c>
      <c r="F2011" s="101"/>
      <c r="G2011" s="101" t="s">
        <v>708</v>
      </c>
      <c r="H2011" s="36" t="s">
        <v>708</v>
      </c>
      <c r="I2011" s="36" t="s">
        <v>708</v>
      </c>
      <c r="K2011" s="95"/>
    </row>
    <row r="2012" spans="1:11" hidden="1">
      <c r="A2012"/>
      <c r="B2012" s="38"/>
      <c r="C2012" s="38"/>
      <c r="D2012" s="89"/>
      <c r="E2012" s="36"/>
      <c r="F2012" s="36" t="s">
        <v>708</v>
      </c>
      <c r="G2012" s="36"/>
      <c r="H2012" s="36">
        <f>SUM(H6:H1928)+SUM(J6:J1928)</f>
        <v>395199466387</v>
      </c>
      <c r="I2012" s="36"/>
      <c r="K2012" s="95"/>
    </row>
    <row r="2013" spans="1:11" hidden="1">
      <c r="A2013"/>
      <c r="B2013" s="38"/>
      <c r="C2013" s="38"/>
      <c r="D2013" s="89"/>
      <c r="E2013" s="36"/>
      <c r="F2013" s="36" t="s">
        <v>708</v>
      </c>
      <c r="G2013" s="92" t="s">
        <v>823</v>
      </c>
      <c r="H2013" s="69">
        <f>+H2010-H2012</f>
        <v>0</v>
      </c>
      <c r="I2013" s="36"/>
      <c r="K2013" s="95"/>
    </row>
    <row r="2014" spans="1:11" hidden="1">
      <c r="A2014"/>
      <c r="B2014" s="38"/>
      <c r="C2014" s="38"/>
      <c r="D2014" s="89"/>
      <c r="E2014" s="36"/>
      <c r="F2014" s="36"/>
      <c r="G2014" s="36"/>
      <c r="H2014" s="36"/>
      <c r="I2014" s="36"/>
      <c r="K2014" s="95"/>
    </row>
    <row r="2015" spans="1:11" hidden="1">
      <c r="A2015"/>
      <c r="B2015" s="38"/>
      <c r="C2015" s="38"/>
      <c r="D2015" s="89"/>
      <c r="E2015" s="36"/>
      <c r="F2015" s="36"/>
      <c r="G2015" s="36"/>
      <c r="H2015" s="36"/>
      <c r="I2015" s="36"/>
      <c r="K2015" s="95"/>
    </row>
    <row r="2016" spans="1:11" hidden="1">
      <c r="A2016"/>
      <c r="B2016" s="38"/>
      <c r="C2016" s="38"/>
      <c r="D2016" s="89"/>
      <c r="E2016" s="36"/>
      <c r="F2016" s="36"/>
      <c r="G2016" s="36"/>
      <c r="H2016" s="36"/>
      <c r="I2016" s="36"/>
      <c r="K2016" s="95"/>
    </row>
    <row r="2017" spans="1:12" hidden="1">
      <c r="A2017"/>
      <c r="B2017" s="38"/>
      <c r="C2017" s="38"/>
      <c r="D2017" s="89"/>
      <c r="E2017" s="36"/>
      <c r="F2017" s="36"/>
      <c r="G2017" s="36"/>
      <c r="H2017" s="36"/>
      <c r="I2017" s="36"/>
      <c r="K2017" s="95"/>
    </row>
    <row r="2018" spans="1:12" hidden="1">
      <c r="A2018" s="102" t="s">
        <v>826</v>
      </c>
      <c r="I2018" s="36"/>
      <c r="K2018" s="95"/>
    </row>
    <row r="2019" spans="1:12" hidden="1">
      <c r="A2019" s="103" t="s">
        <v>827</v>
      </c>
      <c r="B2019" s="42"/>
      <c r="D2019" s="53">
        <v>2012</v>
      </c>
      <c r="E2019" s="104">
        <v>6042854505</v>
      </c>
      <c r="F2019" s="104">
        <v>5979950953</v>
      </c>
      <c r="G2019" s="104">
        <v>14281976034</v>
      </c>
      <c r="H2019" s="104">
        <v>412561558</v>
      </c>
      <c r="I2019" s="36"/>
      <c r="K2019" s="95"/>
    </row>
    <row r="2020" spans="1:12" hidden="1">
      <c r="A2020" s="102" t="s">
        <v>828</v>
      </c>
      <c r="E2020" s="76">
        <v>0</v>
      </c>
      <c r="F2020" s="76">
        <v>0</v>
      </c>
      <c r="G2020" s="76">
        <v>1039175386</v>
      </c>
      <c r="H2020" s="76">
        <v>0</v>
      </c>
      <c r="I2020" s="36"/>
      <c r="K2020" s="95"/>
    </row>
    <row r="2021" spans="1:12" hidden="1">
      <c r="A2021" s="102" t="s">
        <v>829</v>
      </c>
      <c r="E2021" s="76">
        <v>0</v>
      </c>
      <c r="F2021" s="76">
        <v>0</v>
      </c>
      <c r="G2021" s="76">
        <v>213175864</v>
      </c>
      <c r="H2021" s="76">
        <v>0</v>
      </c>
      <c r="I2021" s="36"/>
      <c r="K2021" s="95"/>
    </row>
    <row r="2022" spans="1:12" hidden="1">
      <c r="A2022" s="102" t="s">
        <v>830</v>
      </c>
      <c r="E2022" s="76">
        <f>+E2019-E2020+E2021</f>
        <v>6042854505</v>
      </c>
      <c r="F2022" s="76">
        <f>+F2019-F2020+F2021</f>
        <v>5979950953</v>
      </c>
      <c r="G2022" s="76">
        <f t="shared" ref="G2022:H2022" si="120">+G2019-G2020+G2021</f>
        <v>13455976512</v>
      </c>
      <c r="H2022" s="76">
        <f t="shared" si="120"/>
        <v>412561558</v>
      </c>
      <c r="I2022" s="36"/>
      <c r="K2022" s="95"/>
    </row>
    <row r="2023" spans="1:12" hidden="1">
      <c r="A2023" s="105"/>
      <c r="B2023" s="38"/>
      <c r="C2023" s="38"/>
      <c r="D2023" s="89"/>
      <c r="E2023" s="36"/>
      <c r="F2023" s="36"/>
      <c r="G2023" s="36"/>
      <c r="H2023" s="36"/>
      <c r="I2023" s="36"/>
      <c r="K2023" s="95"/>
    </row>
    <row r="2024" spans="1:12" hidden="1">
      <c r="A2024" s="105"/>
      <c r="B2024" s="38"/>
      <c r="C2024" s="38"/>
      <c r="D2024" s="89"/>
      <c r="E2024" s="36"/>
      <c r="F2024" s="36"/>
      <c r="G2024" s="36"/>
      <c r="H2024" s="36"/>
      <c r="I2024" s="36"/>
      <c r="K2024" s="95"/>
    </row>
    <row r="2025" spans="1:12" hidden="1">
      <c r="A2025" s="102"/>
    </row>
    <row r="2026" spans="1:12" hidden="1">
      <c r="A2026" s="102" t="s">
        <v>221</v>
      </c>
      <c r="D2026" s="53" t="s">
        <v>708</v>
      </c>
    </row>
    <row r="2027" spans="1:12" hidden="1">
      <c r="A2027" s="103" t="s">
        <v>827</v>
      </c>
      <c r="B2027" s="42"/>
      <c r="D2027" s="53">
        <v>2006</v>
      </c>
      <c r="E2027" s="104">
        <v>882213488</v>
      </c>
      <c r="F2027" s="104">
        <f>2396453855+L2027</f>
        <v>4173665193</v>
      </c>
      <c r="G2027" s="104">
        <v>758777788</v>
      </c>
      <c r="H2027" s="104">
        <v>88707613</v>
      </c>
      <c r="I2027" s="106">
        <f>SUM(E2027:H2027)</f>
        <v>5903364082</v>
      </c>
      <c r="J2027" s="54">
        <v>0</v>
      </c>
      <c r="K2027" s="106">
        <f>SUM(I2027:J2027)</f>
        <v>5903364082</v>
      </c>
      <c r="L2027" s="76">
        <v>1777211338</v>
      </c>
    </row>
    <row r="2028" spans="1:12" hidden="1">
      <c r="A2028" s="102" t="s">
        <v>831</v>
      </c>
      <c r="E2028" s="76">
        <v>4590913</v>
      </c>
      <c r="F2028" s="104">
        <f>2285246+L2028</f>
        <v>1778685255</v>
      </c>
      <c r="G2028" s="76">
        <v>2598459</v>
      </c>
      <c r="H2028" s="76">
        <v>0</v>
      </c>
      <c r="J2028" s="54">
        <v>0</v>
      </c>
      <c r="L2028" s="76">
        <v>1776400009</v>
      </c>
    </row>
    <row r="2029" spans="1:12" hidden="1">
      <c r="A2029" s="102" t="s">
        <v>832</v>
      </c>
      <c r="E2029" s="76">
        <v>4590913</v>
      </c>
      <c r="F2029" s="104">
        <f>2285246+L2029</f>
        <v>3685255</v>
      </c>
      <c r="G2029" s="76">
        <v>2709992</v>
      </c>
      <c r="H2029" s="76">
        <v>0</v>
      </c>
      <c r="J2029" s="54">
        <v>0</v>
      </c>
      <c r="L2029" s="76">
        <v>1400009</v>
      </c>
    </row>
    <row r="2030" spans="1:12" hidden="1">
      <c r="A2030" s="102" t="s">
        <v>830</v>
      </c>
      <c r="E2030" s="76">
        <f>+E2027-E2028+E2029</f>
        <v>882213488</v>
      </c>
      <c r="F2030" s="76">
        <f t="shared" ref="F2030:L2030" si="121">+F2027-F2028+F2029</f>
        <v>2398665193</v>
      </c>
      <c r="G2030" s="76">
        <f t="shared" si="121"/>
        <v>758889321</v>
      </c>
      <c r="H2030" s="76">
        <f t="shared" si="121"/>
        <v>88707613</v>
      </c>
      <c r="J2030" s="54">
        <v>0</v>
      </c>
      <c r="L2030" s="76">
        <f t="shared" si="121"/>
        <v>2211338</v>
      </c>
    </row>
    <row r="2031" spans="1:12" hidden="1">
      <c r="A2031" s="102"/>
      <c r="E2031" s="76">
        <f>+E283</f>
        <v>882213488</v>
      </c>
      <c r="F2031" s="76">
        <f>+F283</f>
        <v>2398665193</v>
      </c>
      <c r="G2031" s="76">
        <f>+G283</f>
        <v>758889321</v>
      </c>
      <c r="H2031" s="76">
        <f>+H283</f>
        <v>88707613</v>
      </c>
      <c r="I2031" s="76" t="s">
        <v>708</v>
      </c>
      <c r="J2031" s="54" t="s">
        <v>708</v>
      </c>
      <c r="K2031" s="76">
        <f>+K274</f>
        <v>1503080572</v>
      </c>
      <c r="L2031" s="76">
        <f>+L274</f>
        <v>0</v>
      </c>
    </row>
    <row r="2032" spans="1:12" hidden="1">
      <c r="A2032" s="102"/>
    </row>
    <row r="2033" spans="1:12" hidden="1">
      <c r="A2033" s="107" t="s">
        <v>57</v>
      </c>
      <c r="B2033" s="52"/>
      <c r="C2033" s="52" t="s">
        <v>790</v>
      </c>
      <c r="D2033" s="53">
        <v>1988</v>
      </c>
      <c r="E2033" s="76">
        <v>2073109199</v>
      </c>
      <c r="F2033" s="76">
        <v>1731834873</v>
      </c>
      <c r="G2033" s="76">
        <v>4227426164</v>
      </c>
      <c r="H2033" s="76">
        <v>1108412108</v>
      </c>
      <c r="I2033" s="106">
        <f>SUM(E2033:H2033)</f>
        <v>9140782344</v>
      </c>
      <c r="J2033" s="54">
        <v>0</v>
      </c>
      <c r="K2033" s="106">
        <f>SUM(I2033:J2033)</f>
        <v>9140782344</v>
      </c>
      <c r="L2033" s="76">
        <v>0</v>
      </c>
    </row>
    <row r="2034" spans="1:12" hidden="1">
      <c r="A2034" s="103" t="s">
        <v>827</v>
      </c>
      <c r="B2034" s="42"/>
      <c r="C2034" s="52" t="s">
        <v>791</v>
      </c>
      <c r="D2034" s="53">
        <v>1989</v>
      </c>
      <c r="E2034" s="76">
        <v>2183764728</v>
      </c>
      <c r="F2034" s="76">
        <v>1974007514</v>
      </c>
      <c r="G2034" s="76">
        <v>4745054555</v>
      </c>
      <c r="H2034" s="76">
        <v>969808889</v>
      </c>
      <c r="I2034" s="106">
        <f t="shared" ref="I2034:I2040" si="122">SUM(E2034:H2034)</f>
        <v>9872635686</v>
      </c>
      <c r="J2034" s="54">
        <v>0</v>
      </c>
      <c r="K2034" s="106">
        <f t="shared" ref="K2034:K2040" si="123">SUM(I2034:J2034)</f>
        <v>9872635686</v>
      </c>
      <c r="L2034" s="76">
        <v>0</v>
      </c>
    </row>
    <row r="2035" spans="1:12" hidden="1">
      <c r="A2035" s="107"/>
      <c r="B2035" s="52"/>
      <c r="C2035" s="52" t="s">
        <v>792</v>
      </c>
      <c r="D2035" s="53">
        <v>1990</v>
      </c>
      <c r="E2035" s="76">
        <v>2364265442</v>
      </c>
      <c r="F2035" s="76">
        <v>2550437378.9200001</v>
      </c>
      <c r="G2035" s="76">
        <v>4888106724</v>
      </c>
      <c r="H2035" s="76">
        <v>1133655124</v>
      </c>
      <c r="I2035" s="106">
        <f t="shared" si="122"/>
        <v>10936464668.92</v>
      </c>
      <c r="J2035" s="54">
        <v>0</v>
      </c>
      <c r="K2035" s="106">
        <f t="shared" si="123"/>
        <v>10936464668.92</v>
      </c>
      <c r="L2035" s="76">
        <v>0</v>
      </c>
    </row>
    <row r="2036" spans="1:12" hidden="1">
      <c r="A2036" s="50"/>
      <c r="B2036" s="52"/>
      <c r="C2036" s="52" t="s">
        <v>793</v>
      </c>
      <c r="D2036" s="53">
        <v>1991</v>
      </c>
      <c r="E2036" s="76">
        <v>2444151278</v>
      </c>
      <c r="F2036" s="76">
        <v>2481827275</v>
      </c>
      <c r="G2036" s="76">
        <v>4397986945</v>
      </c>
      <c r="H2036" s="76">
        <v>862753188</v>
      </c>
      <c r="I2036" s="106">
        <f t="shared" si="122"/>
        <v>10186718686</v>
      </c>
      <c r="J2036" s="54">
        <v>0</v>
      </c>
      <c r="K2036" s="106">
        <f t="shared" si="123"/>
        <v>10186718686</v>
      </c>
      <c r="L2036" s="76">
        <v>0</v>
      </c>
    </row>
    <row r="2037" spans="1:12" hidden="1">
      <c r="A2037" s="50"/>
      <c r="B2037" s="52"/>
      <c r="C2037" s="52" t="s">
        <v>731</v>
      </c>
      <c r="D2037" s="53">
        <v>1992</v>
      </c>
      <c r="E2037" s="76">
        <v>2689828543</v>
      </c>
      <c r="F2037" s="76">
        <v>2929192389.8000002</v>
      </c>
      <c r="G2037" s="76">
        <v>4327663715</v>
      </c>
      <c r="H2037" s="76">
        <v>565811765</v>
      </c>
      <c r="I2037" s="106">
        <f t="shared" si="122"/>
        <v>10512496412.799999</v>
      </c>
      <c r="J2037" s="54">
        <v>0</v>
      </c>
      <c r="K2037" s="106">
        <f t="shared" si="123"/>
        <v>10512496412.799999</v>
      </c>
      <c r="L2037" s="76">
        <v>0</v>
      </c>
    </row>
    <row r="2038" spans="1:12" hidden="1">
      <c r="A2038" s="50"/>
      <c r="B2038" s="52"/>
      <c r="C2038" s="52" t="s">
        <v>731</v>
      </c>
      <c r="D2038" s="53">
        <v>1993</v>
      </c>
      <c r="E2038" s="76">
        <v>2996718589</v>
      </c>
      <c r="F2038" s="76">
        <v>2532350985</v>
      </c>
      <c r="G2038" s="76">
        <v>4245833860</v>
      </c>
      <c r="H2038" s="76">
        <v>572521279</v>
      </c>
      <c r="I2038" s="106">
        <f t="shared" si="122"/>
        <v>10347424713</v>
      </c>
      <c r="J2038" s="54">
        <v>0</v>
      </c>
      <c r="K2038" s="106">
        <f t="shared" si="123"/>
        <v>10347424713</v>
      </c>
      <c r="L2038" s="76">
        <v>0</v>
      </c>
    </row>
    <row r="2039" spans="1:12" hidden="1">
      <c r="A2039" s="50"/>
      <c r="B2039" s="52"/>
      <c r="C2039" s="52" t="s">
        <v>794</v>
      </c>
      <c r="D2039" s="53">
        <v>1994</v>
      </c>
      <c r="E2039" s="76">
        <v>3231932887</v>
      </c>
      <c r="F2039" s="76">
        <v>2957910836</v>
      </c>
      <c r="G2039" s="76">
        <v>4269926095</v>
      </c>
      <c r="H2039" s="76">
        <v>629234053</v>
      </c>
      <c r="I2039" s="106">
        <f t="shared" si="122"/>
        <v>11089003871</v>
      </c>
      <c r="J2039" s="54">
        <v>0</v>
      </c>
      <c r="K2039" s="106">
        <f t="shared" si="123"/>
        <v>11089003871</v>
      </c>
      <c r="L2039" s="76">
        <v>0</v>
      </c>
    </row>
    <row r="2040" spans="1:12" hidden="1">
      <c r="A2040" s="50"/>
      <c r="B2040" s="52"/>
      <c r="C2040" s="52" t="s">
        <v>731</v>
      </c>
      <c r="D2040" s="53">
        <v>1995</v>
      </c>
      <c r="E2040" s="76">
        <v>3175155312</v>
      </c>
      <c r="F2040" s="76">
        <v>2682124713</v>
      </c>
      <c r="G2040" s="76">
        <v>4157029058</v>
      </c>
      <c r="H2040" s="76">
        <v>490233902</v>
      </c>
      <c r="I2040" s="106">
        <f t="shared" si="122"/>
        <v>10504542985</v>
      </c>
      <c r="J2040" s="54">
        <v>0</v>
      </c>
      <c r="K2040" s="106">
        <f t="shared" si="123"/>
        <v>10504542985</v>
      </c>
      <c r="L2040" s="76">
        <v>0</v>
      </c>
    </row>
    <row r="2041" spans="1:12" hidden="1"/>
    <row r="2042" spans="1:12" hidden="1"/>
    <row r="2043" spans="1:12" hidden="1">
      <c r="A2043" s="76" t="s">
        <v>844</v>
      </c>
    </row>
    <row r="2044" spans="1:12" hidden="1">
      <c r="A2044" s="88">
        <v>1988</v>
      </c>
      <c r="B2044" s="89"/>
      <c r="E2044" s="76">
        <v>1740346</v>
      </c>
      <c r="F2044" s="76">
        <v>5353088</v>
      </c>
      <c r="G2044" s="76">
        <v>2053301</v>
      </c>
      <c r="H2044" s="76">
        <v>2000000</v>
      </c>
      <c r="I2044" s="106">
        <f>SUM(E2044:H2044)</f>
        <v>11146735</v>
      </c>
      <c r="J2044" s="54">
        <v>0</v>
      </c>
      <c r="K2044" s="106">
        <f>SUM(I2044:J2044)</f>
        <v>11146735</v>
      </c>
      <c r="L2044" s="76">
        <v>0</v>
      </c>
    </row>
    <row r="2045" spans="1:12" hidden="1">
      <c r="A2045" s="88">
        <v>1989</v>
      </c>
      <c r="B2045" s="89"/>
      <c r="E2045" s="76">
        <v>1883040</v>
      </c>
      <c r="F2045" s="76">
        <v>9772734</v>
      </c>
      <c r="G2045" s="76">
        <v>2166578</v>
      </c>
      <c r="H2045" s="76">
        <v>2000000</v>
      </c>
      <c r="I2045" s="106">
        <f t="shared" ref="I2045:I2051" si="124">SUM(E2045:H2045)</f>
        <v>15822352</v>
      </c>
      <c r="J2045" s="54">
        <v>0</v>
      </c>
      <c r="K2045" s="106">
        <f t="shared" ref="K2045:K2051" si="125">SUM(I2045:J2045)</f>
        <v>15822352</v>
      </c>
      <c r="L2045" s="76">
        <v>0</v>
      </c>
    </row>
    <row r="2046" spans="1:12" hidden="1">
      <c r="A2046" s="88">
        <v>1990</v>
      </c>
      <c r="B2046" s="89"/>
      <c r="E2046" s="76">
        <v>2218399</v>
      </c>
      <c r="F2046" s="76">
        <v>11808496</v>
      </c>
      <c r="G2046" s="76">
        <v>2121689</v>
      </c>
      <c r="H2046" s="76">
        <v>2000000</v>
      </c>
      <c r="I2046" s="106">
        <f t="shared" si="124"/>
        <v>18148584</v>
      </c>
      <c r="J2046" s="54">
        <v>0</v>
      </c>
      <c r="K2046" s="106">
        <f t="shared" si="125"/>
        <v>18148584</v>
      </c>
      <c r="L2046" s="76">
        <v>0</v>
      </c>
    </row>
    <row r="2047" spans="1:12" hidden="1">
      <c r="A2047" s="88">
        <v>1991</v>
      </c>
      <c r="B2047" s="89"/>
      <c r="E2047" s="76">
        <v>3385211</v>
      </c>
      <c r="F2047" s="76">
        <v>8544620</v>
      </c>
      <c r="G2047" s="76">
        <v>2166589</v>
      </c>
      <c r="H2047" s="76">
        <v>2000000</v>
      </c>
      <c r="I2047" s="106">
        <f t="shared" si="124"/>
        <v>16096420</v>
      </c>
      <c r="J2047" s="54">
        <v>0</v>
      </c>
      <c r="K2047" s="106">
        <f t="shared" si="125"/>
        <v>16096420</v>
      </c>
      <c r="L2047" s="76">
        <v>0</v>
      </c>
    </row>
    <row r="2048" spans="1:12" hidden="1">
      <c r="A2048" s="88">
        <v>1992</v>
      </c>
      <c r="B2048" s="89"/>
      <c r="E2048" s="76">
        <v>2417637</v>
      </c>
      <c r="F2048" s="76">
        <v>6878019</v>
      </c>
      <c r="G2048" s="76">
        <v>2197517</v>
      </c>
      <c r="H2048" s="76">
        <v>2000000</v>
      </c>
      <c r="I2048" s="106">
        <f t="shared" si="124"/>
        <v>13493173</v>
      </c>
      <c r="J2048" s="54">
        <v>0</v>
      </c>
      <c r="K2048" s="106">
        <f t="shared" si="125"/>
        <v>13493173</v>
      </c>
      <c r="L2048" s="76">
        <v>0</v>
      </c>
    </row>
    <row r="2049" spans="1:12" hidden="1">
      <c r="A2049" s="88">
        <v>1993</v>
      </c>
      <c r="B2049" s="89"/>
      <c r="E2049" s="76">
        <v>4131525</v>
      </c>
      <c r="F2049" s="76">
        <v>5617050</v>
      </c>
      <c r="G2049" s="76">
        <v>2075275</v>
      </c>
      <c r="H2049" s="76">
        <v>2000000</v>
      </c>
      <c r="I2049" s="106">
        <f t="shared" si="124"/>
        <v>13823850</v>
      </c>
      <c r="J2049" s="54">
        <v>0</v>
      </c>
      <c r="K2049" s="106">
        <f t="shared" si="125"/>
        <v>13823850</v>
      </c>
      <c r="L2049" s="76">
        <v>0</v>
      </c>
    </row>
    <row r="2050" spans="1:12" hidden="1">
      <c r="A2050" s="88">
        <v>1994</v>
      </c>
      <c r="B2050" s="89"/>
      <c r="E2050" s="76">
        <v>4461642</v>
      </c>
      <c r="F2050" s="76">
        <v>8656111</v>
      </c>
      <c r="G2050" s="76">
        <v>1903746</v>
      </c>
      <c r="H2050" s="76">
        <v>2000000</v>
      </c>
      <c r="I2050" s="106">
        <f t="shared" si="124"/>
        <v>17021499</v>
      </c>
      <c r="J2050" s="54">
        <v>0</v>
      </c>
      <c r="K2050" s="106">
        <f t="shared" si="125"/>
        <v>17021499</v>
      </c>
      <c r="L2050" s="76">
        <v>0</v>
      </c>
    </row>
    <row r="2051" spans="1:12" hidden="1">
      <c r="A2051" s="88">
        <v>1995</v>
      </c>
      <c r="B2051" s="89"/>
      <c r="E2051" s="76">
        <v>4318547</v>
      </c>
      <c r="F2051" s="76">
        <v>13699022</v>
      </c>
      <c r="G2051" s="76">
        <v>2058386</v>
      </c>
      <c r="H2051" s="76">
        <v>2000000</v>
      </c>
      <c r="I2051" s="106">
        <f t="shared" si="124"/>
        <v>22075955</v>
      </c>
      <c r="J2051" s="54">
        <v>0</v>
      </c>
      <c r="K2051" s="106">
        <f t="shared" si="125"/>
        <v>22075955</v>
      </c>
      <c r="L2051" s="76">
        <v>0</v>
      </c>
    </row>
    <row r="2052" spans="1:12" hidden="1">
      <c r="A2052" s="88" t="s">
        <v>708</v>
      </c>
      <c r="B2052" s="89"/>
    </row>
    <row r="2053" spans="1:12" hidden="1">
      <c r="A2053" s="76" t="s">
        <v>845</v>
      </c>
    </row>
    <row r="2054" spans="1:12" hidden="1">
      <c r="A2054" s="88">
        <v>1988</v>
      </c>
      <c r="B2054" s="89"/>
      <c r="E2054" s="76">
        <v>1740346</v>
      </c>
      <c r="F2054" s="76">
        <v>5353088</v>
      </c>
      <c r="G2054" s="76">
        <v>2053301</v>
      </c>
      <c r="H2054" s="76">
        <v>2000000</v>
      </c>
      <c r="I2054" s="106">
        <f>SUM(E2054:H2054)</f>
        <v>11146735</v>
      </c>
      <c r="J2054" s="54">
        <v>0</v>
      </c>
      <c r="K2054" s="106">
        <f>SUM(I2054:J2054)</f>
        <v>11146735</v>
      </c>
      <c r="L2054" s="76">
        <v>0</v>
      </c>
    </row>
    <row r="2055" spans="1:12" hidden="1">
      <c r="A2055" s="88">
        <v>1989</v>
      </c>
      <c r="B2055" s="89"/>
      <c r="E2055" s="76">
        <v>1883040</v>
      </c>
      <c r="F2055" s="76">
        <v>9772734</v>
      </c>
      <c r="G2055" s="76">
        <v>2166578</v>
      </c>
      <c r="H2055" s="76">
        <v>2000000</v>
      </c>
      <c r="I2055" s="106">
        <f t="shared" ref="I2055:I2061" si="126">SUM(E2055:H2055)</f>
        <v>15822352</v>
      </c>
      <c r="J2055" s="54">
        <v>0</v>
      </c>
      <c r="K2055" s="106">
        <f t="shared" ref="K2055:K2061" si="127">SUM(I2055:J2055)</f>
        <v>15822352</v>
      </c>
      <c r="L2055" s="76">
        <v>0</v>
      </c>
    </row>
    <row r="2056" spans="1:12" hidden="1">
      <c r="A2056" s="88">
        <v>1990</v>
      </c>
      <c r="B2056" s="89"/>
      <c r="E2056" s="76">
        <v>2218399</v>
      </c>
      <c r="F2056" s="76">
        <v>11808496</v>
      </c>
      <c r="G2056" s="76">
        <v>2121689</v>
      </c>
      <c r="H2056" s="76">
        <v>2000000</v>
      </c>
      <c r="I2056" s="106">
        <f t="shared" si="126"/>
        <v>18148584</v>
      </c>
      <c r="J2056" s="54">
        <v>0</v>
      </c>
      <c r="K2056" s="106">
        <f t="shared" si="127"/>
        <v>18148584</v>
      </c>
      <c r="L2056" s="76">
        <v>0</v>
      </c>
    </row>
    <row r="2057" spans="1:12" hidden="1">
      <c r="A2057" s="88">
        <v>1991</v>
      </c>
      <c r="B2057" s="89"/>
      <c r="E2057" s="76">
        <v>3385211</v>
      </c>
      <c r="F2057" s="76">
        <v>8544620</v>
      </c>
      <c r="G2057" s="76">
        <v>2166589</v>
      </c>
      <c r="H2057" s="76">
        <v>16500000</v>
      </c>
      <c r="I2057" s="106">
        <f t="shared" si="126"/>
        <v>30596420</v>
      </c>
      <c r="J2057" s="54">
        <v>0</v>
      </c>
      <c r="K2057" s="106">
        <f t="shared" si="127"/>
        <v>30596420</v>
      </c>
      <c r="L2057" s="76">
        <v>0</v>
      </c>
    </row>
    <row r="2058" spans="1:12" hidden="1">
      <c r="A2058" s="88">
        <v>1992</v>
      </c>
      <c r="B2058" s="89"/>
      <c r="E2058" s="76">
        <v>2417637</v>
      </c>
      <c r="F2058" s="76">
        <v>6878019</v>
      </c>
      <c r="G2058" s="76">
        <v>2197517</v>
      </c>
      <c r="H2058" s="76">
        <v>11500000</v>
      </c>
      <c r="I2058" s="106">
        <f t="shared" si="126"/>
        <v>22993173</v>
      </c>
      <c r="J2058" s="54">
        <v>0</v>
      </c>
      <c r="K2058" s="106">
        <f t="shared" si="127"/>
        <v>22993173</v>
      </c>
      <c r="L2058" s="76">
        <v>0</v>
      </c>
    </row>
    <row r="2059" spans="1:12" hidden="1">
      <c r="A2059" s="88">
        <v>1993</v>
      </c>
      <c r="B2059" s="89"/>
      <c r="E2059" s="76">
        <v>4131525</v>
      </c>
      <c r="F2059" s="76">
        <v>5617050</v>
      </c>
      <c r="G2059" s="76">
        <v>2075275</v>
      </c>
      <c r="H2059" s="76">
        <v>23000000</v>
      </c>
      <c r="I2059" s="106">
        <f t="shared" si="126"/>
        <v>34823850</v>
      </c>
      <c r="J2059" s="54">
        <v>0</v>
      </c>
      <c r="K2059" s="106">
        <f t="shared" si="127"/>
        <v>34823850</v>
      </c>
      <c r="L2059" s="76">
        <v>0</v>
      </c>
    </row>
    <row r="2060" spans="1:12" hidden="1">
      <c r="A2060" s="88">
        <v>1994</v>
      </c>
      <c r="B2060" s="89"/>
      <c r="E2060" s="76">
        <v>4461642</v>
      </c>
      <c r="F2060" s="76">
        <v>8656111</v>
      </c>
      <c r="G2060" s="76">
        <v>1903746</v>
      </c>
      <c r="H2060" s="76">
        <v>12000000</v>
      </c>
      <c r="I2060" s="106">
        <f t="shared" si="126"/>
        <v>27021499</v>
      </c>
      <c r="J2060" s="54">
        <v>0</v>
      </c>
      <c r="K2060" s="106">
        <f t="shared" si="127"/>
        <v>27021499</v>
      </c>
      <c r="L2060" s="76">
        <v>0</v>
      </c>
    </row>
    <row r="2061" spans="1:12" hidden="1">
      <c r="A2061" s="88">
        <v>1995</v>
      </c>
      <c r="B2061" s="89"/>
      <c r="E2061" s="76">
        <v>4318547</v>
      </c>
      <c r="F2061" s="76">
        <v>13699022</v>
      </c>
      <c r="G2061" s="76">
        <v>2058386</v>
      </c>
      <c r="H2061" s="76">
        <v>3000000</v>
      </c>
      <c r="I2061" s="106">
        <f t="shared" si="126"/>
        <v>23075955</v>
      </c>
      <c r="J2061" s="54">
        <v>0</v>
      </c>
      <c r="K2061" s="106">
        <f t="shared" si="127"/>
        <v>23075955</v>
      </c>
      <c r="L2061" s="76">
        <v>0</v>
      </c>
    </row>
    <row r="2062" spans="1:12" hidden="1"/>
    <row r="2063" spans="1:12" hidden="1">
      <c r="A2063" s="76" t="s">
        <v>833</v>
      </c>
      <c r="E2063"/>
      <c r="F2063"/>
      <c r="G2063"/>
      <c r="H2063"/>
    </row>
    <row r="2064" spans="1:12" hidden="1">
      <c r="A2064" s="88">
        <v>1988</v>
      </c>
      <c r="B2064" s="89"/>
      <c r="E2064" s="76">
        <f t="shared" ref="E2064:H2071" si="128">+E2054-E2044</f>
        <v>0</v>
      </c>
      <c r="F2064" s="76">
        <f t="shared" si="128"/>
        <v>0</v>
      </c>
      <c r="G2064" s="76">
        <f t="shared" si="128"/>
        <v>0</v>
      </c>
      <c r="H2064" s="76">
        <f t="shared" si="128"/>
        <v>0</v>
      </c>
      <c r="I2064" s="106">
        <f>SUM(E2064:H2064)</f>
        <v>0</v>
      </c>
      <c r="J2064" s="54">
        <v>0</v>
      </c>
      <c r="K2064" s="106">
        <f>SUM(I2064:J2064)</f>
        <v>0</v>
      </c>
      <c r="L2064" s="76">
        <v>0</v>
      </c>
    </row>
    <row r="2065" spans="1:12" hidden="1">
      <c r="A2065" s="88">
        <v>1989</v>
      </c>
      <c r="B2065" s="89"/>
      <c r="E2065" s="76">
        <f t="shared" si="128"/>
        <v>0</v>
      </c>
      <c r="F2065" s="76">
        <f t="shared" si="128"/>
        <v>0</v>
      </c>
      <c r="G2065" s="76">
        <f t="shared" si="128"/>
        <v>0</v>
      </c>
      <c r="H2065" s="76">
        <f t="shared" si="128"/>
        <v>0</v>
      </c>
      <c r="I2065" s="106">
        <f t="shared" ref="I2065:I2071" si="129">SUM(E2065:H2065)</f>
        <v>0</v>
      </c>
      <c r="J2065" s="54">
        <v>0</v>
      </c>
      <c r="K2065" s="106">
        <f t="shared" ref="K2065:K2071" si="130">SUM(I2065:J2065)</f>
        <v>0</v>
      </c>
      <c r="L2065" s="76">
        <v>0</v>
      </c>
    </row>
    <row r="2066" spans="1:12" hidden="1">
      <c r="A2066" s="88">
        <v>1990</v>
      </c>
      <c r="B2066" s="89"/>
      <c r="E2066" s="76">
        <f t="shared" si="128"/>
        <v>0</v>
      </c>
      <c r="F2066" s="76">
        <f t="shared" si="128"/>
        <v>0</v>
      </c>
      <c r="G2066" s="76">
        <f t="shared" si="128"/>
        <v>0</v>
      </c>
      <c r="H2066" s="76">
        <f t="shared" si="128"/>
        <v>0</v>
      </c>
      <c r="I2066" s="106">
        <f t="shared" si="129"/>
        <v>0</v>
      </c>
      <c r="J2066" s="54">
        <v>0</v>
      </c>
      <c r="K2066" s="106">
        <f t="shared" si="130"/>
        <v>0</v>
      </c>
      <c r="L2066" s="76">
        <v>0</v>
      </c>
    </row>
    <row r="2067" spans="1:12" hidden="1">
      <c r="A2067" s="88">
        <v>1991</v>
      </c>
      <c r="B2067" s="89"/>
      <c r="E2067" s="76">
        <f t="shared" si="128"/>
        <v>0</v>
      </c>
      <c r="F2067" s="76">
        <f t="shared" si="128"/>
        <v>0</v>
      </c>
      <c r="G2067" s="76">
        <f t="shared" si="128"/>
        <v>0</v>
      </c>
      <c r="H2067" s="76">
        <f t="shared" si="128"/>
        <v>14500000</v>
      </c>
      <c r="I2067" s="106">
        <f t="shared" si="129"/>
        <v>14500000</v>
      </c>
      <c r="J2067" s="54">
        <v>0</v>
      </c>
      <c r="K2067" s="106">
        <f t="shared" si="130"/>
        <v>14500000</v>
      </c>
      <c r="L2067" s="76">
        <v>0</v>
      </c>
    </row>
    <row r="2068" spans="1:12" hidden="1">
      <c r="A2068" s="88">
        <v>1992</v>
      </c>
      <c r="B2068" s="89"/>
      <c r="E2068" s="76">
        <f t="shared" si="128"/>
        <v>0</v>
      </c>
      <c r="F2068" s="76">
        <f t="shared" si="128"/>
        <v>0</v>
      </c>
      <c r="G2068" s="76">
        <f t="shared" si="128"/>
        <v>0</v>
      </c>
      <c r="H2068" s="76">
        <f t="shared" si="128"/>
        <v>9500000</v>
      </c>
      <c r="I2068" s="106">
        <f t="shared" si="129"/>
        <v>9500000</v>
      </c>
      <c r="J2068" s="54">
        <v>0</v>
      </c>
      <c r="K2068" s="106">
        <f t="shared" si="130"/>
        <v>9500000</v>
      </c>
      <c r="L2068" s="76">
        <v>0</v>
      </c>
    </row>
    <row r="2069" spans="1:12" hidden="1">
      <c r="A2069" s="88">
        <v>1993</v>
      </c>
      <c r="B2069" s="89"/>
      <c r="E2069" s="76">
        <f t="shared" si="128"/>
        <v>0</v>
      </c>
      <c r="F2069" s="76">
        <f t="shared" si="128"/>
        <v>0</v>
      </c>
      <c r="G2069" s="76">
        <f t="shared" si="128"/>
        <v>0</v>
      </c>
      <c r="H2069" s="76">
        <f t="shared" si="128"/>
        <v>21000000</v>
      </c>
      <c r="I2069" s="106">
        <f t="shared" si="129"/>
        <v>21000000</v>
      </c>
      <c r="J2069" s="54">
        <v>0</v>
      </c>
      <c r="K2069" s="106">
        <f t="shared" si="130"/>
        <v>21000000</v>
      </c>
      <c r="L2069" s="76">
        <v>0</v>
      </c>
    </row>
    <row r="2070" spans="1:12" hidden="1">
      <c r="A2070" s="88">
        <v>1994</v>
      </c>
      <c r="B2070" s="89"/>
      <c r="E2070" s="76">
        <f t="shared" si="128"/>
        <v>0</v>
      </c>
      <c r="F2070" s="76">
        <f t="shared" si="128"/>
        <v>0</v>
      </c>
      <c r="G2070" s="76">
        <f t="shared" si="128"/>
        <v>0</v>
      </c>
      <c r="H2070" s="76">
        <f t="shared" si="128"/>
        <v>10000000</v>
      </c>
      <c r="I2070" s="106">
        <f t="shared" si="129"/>
        <v>10000000</v>
      </c>
      <c r="J2070" s="54">
        <v>0</v>
      </c>
      <c r="K2070" s="106">
        <f t="shared" si="130"/>
        <v>10000000</v>
      </c>
      <c r="L2070" s="76">
        <v>0</v>
      </c>
    </row>
    <row r="2071" spans="1:12" hidden="1">
      <c r="A2071" s="88">
        <v>1995</v>
      </c>
      <c r="B2071" s="89"/>
      <c r="E2071" s="76">
        <f t="shared" si="128"/>
        <v>0</v>
      </c>
      <c r="F2071" s="76">
        <f t="shared" si="128"/>
        <v>0</v>
      </c>
      <c r="G2071" s="76">
        <f t="shared" si="128"/>
        <v>0</v>
      </c>
      <c r="H2071" s="76">
        <f t="shared" si="128"/>
        <v>1000000</v>
      </c>
      <c r="I2071" s="106">
        <f t="shared" si="129"/>
        <v>1000000</v>
      </c>
      <c r="J2071" s="54">
        <v>0</v>
      </c>
      <c r="K2071" s="106">
        <f t="shared" si="130"/>
        <v>1000000</v>
      </c>
      <c r="L2071" s="76">
        <v>0</v>
      </c>
    </row>
    <row r="2072" spans="1:12" hidden="1"/>
    <row r="2073" spans="1:12" hidden="1">
      <c r="A2073" s="106" t="s">
        <v>834</v>
      </c>
      <c r="B2073" s="42"/>
    </row>
    <row r="2074" spans="1:12" hidden="1">
      <c r="A2074" s="88">
        <v>1988</v>
      </c>
      <c r="B2074" s="89"/>
      <c r="E2074" s="76">
        <f t="shared" ref="E2074:H2081" si="131">+E2033+E2064</f>
        <v>2073109199</v>
      </c>
      <c r="F2074" s="76">
        <f t="shared" si="131"/>
        <v>1731834873</v>
      </c>
      <c r="G2074" s="76">
        <f t="shared" si="131"/>
        <v>4227426164</v>
      </c>
      <c r="H2074" s="76">
        <f t="shared" si="131"/>
        <v>1108412108</v>
      </c>
      <c r="I2074" s="106">
        <f>SUM(E2074:H2074)</f>
        <v>9140782344</v>
      </c>
      <c r="J2074" s="54">
        <v>0</v>
      </c>
      <c r="K2074" s="106">
        <f>SUM(I2074:J2074)</f>
        <v>9140782344</v>
      </c>
      <c r="L2074" s="76">
        <v>0</v>
      </c>
    </row>
    <row r="2075" spans="1:12" hidden="1">
      <c r="A2075" s="88">
        <v>1989</v>
      </c>
      <c r="B2075" s="89"/>
      <c r="E2075" s="76">
        <f t="shared" si="131"/>
        <v>2183764728</v>
      </c>
      <c r="F2075" s="76">
        <f t="shared" si="131"/>
        <v>1974007514</v>
      </c>
      <c r="G2075" s="76">
        <f t="shared" si="131"/>
        <v>4745054555</v>
      </c>
      <c r="H2075" s="76">
        <f t="shared" si="131"/>
        <v>969808889</v>
      </c>
      <c r="I2075" s="106">
        <f t="shared" ref="I2075:I2081" si="132">SUM(E2075:H2075)</f>
        <v>9872635686</v>
      </c>
      <c r="J2075" s="54">
        <v>0</v>
      </c>
      <c r="K2075" s="106">
        <f t="shared" ref="K2075:K2081" si="133">SUM(I2075:J2075)</f>
        <v>9872635686</v>
      </c>
      <c r="L2075" s="76">
        <v>0</v>
      </c>
    </row>
    <row r="2076" spans="1:12" hidden="1">
      <c r="A2076" s="88">
        <v>1990</v>
      </c>
      <c r="B2076" s="89"/>
      <c r="E2076" s="76">
        <f t="shared" si="131"/>
        <v>2364265442</v>
      </c>
      <c r="F2076" s="76">
        <f t="shared" si="131"/>
        <v>2550437378.9200001</v>
      </c>
      <c r="G2076" s="76">
        <f t="shared" si="131"/>
        <v>4888106724</v>
      </c>
      <c r="H2076" s="76">
        <f t="shared" si="131"/>
        <v>1133655124</v>
      </c>
      <c r="I2076" s="106">
        <f t="shared" si="132"/>
        <v>10936464668.92</v>
      </c>
      <c r="J2076" s="54">
        <v>0</v>
      </c>
      <c r="K2076" s="106">
        <f t="shared" si="133"/>
        <v>10936464668.92</v>
      </c>
      <c r="L2076" s="76">
        <v>0</v>
      </c>
    </row>
    <row r="2077" spans="1:12" hidden="1">
      <c r="A2077" s="88">
        <v>1991</v>
      </c>
      <c r="B2077" s="89"/>
      <c r="E2077" s="76">
        <f t="shared" si="131"/>
        <v>2444151278</v>
      </c>
      <c r="F2077" s="76">
        <f t="shared" si="131"/>
        <v>2481827275</v>
      </c>
      <c r="G2077" s="76">
        <f t="shared" si="131"/>
        <v>4397986945</v>
      </c>
      <c r="H2077" s="76">
        <f t="shared" si="131"/>
        <v>877253188</v>
      </c>
      <c r="I2077" s="106">
        <f t="shared" si="132"/>
        <v>10201218686</v>
      </c>
      <c r="J2077" s="54">
        <v>0</v>
      </c>
      <c r="K2077" s="106">
        <f t="shared" si="133"/>
        <v>10201218686</v>
      </c>
      <c r="L2077" s="76">
        <v>0</v>
      </c>
    </row>
    <row r="2078" spans="1:12" hidden="1">
      <c r="A2078" s="88">
        <v>1992</v>
      </c>
      <c r="B2078" s="89"/>
      <c r="E2078" s="76">
        <f t="shared" si="131"/>
        <v>2689828543</v>
      </c>
      <c r="F2078" s="76">
        <f t="shared" si="131"/>
        <v>2929192389.8000002</v>
      </c>
      <c r="G2078" s="76">
        <f t="shared" si="131"/>
        <v>4327663715</v>
      </c>
      <c r="H2078" s="76">
        <f t="shared" si="131"/>
        <v>575311765</v>
      </c>
      <c r="I2078" s="106">
        <f t="shared" si="132"/>
        <v>10521996412.799999</v>
      </c>
      <c r="J2078" s="54">
        <v>0</v>
      </c>
      <c r="K2078" s="106">
        <f t="shared" si="133"/>
        <v>10521996412.799999</v>
      </c>
      <c r="L2078" s="76">
        <v>0</v>
      </c>
    </row>
    <row r="2079" spans="1:12" hidden="1">
      <c r="A2079" s="88">
        <v>1993</v>
      </c>
      <c r="B2079" s="89"/>
      <c r="E2079" s="76">
        <f t="shared" si="131"/>
        <v>2996718589</v>
      </c>
      <c r="F2079" s="76">
        <f t="shared" si="131"/>
        <v>2532350985</v>
      </c>
      <c r="G2079" s="76">
        <f t="shared" si="131"/>
        <v>4245833860</v>
      </c>
      <c r="H2079" s="76">
        <f t="shared" si="131"/>
        <v>593521279</v>
      </c>
      <c r="I2079" s="106">
        <f t="shared" si="132"/>
        <v>10368424713</v>
      </c>
      <c r="J2079" s="54">
        <v>0</v>
      </c>
      <c r="K2079" s="106">
        <f t="shared" si="133"/>
        <v>10368424713</v>
      </c>
      <c r="L2079" s="76">
        <v>0</v>
      </c>
    </row>
    <row r="2080" spans="1:12" hidden="1">
      <c r="A2080" s="88">
        <v>1994</v>
      </c>
      <c r="B2080" s="89"/>
      <c r="E2080" s="76">
        <f t="shared" si="131"/>
        <v>3231932887</v>
      </c>
      <c r="F2080" s="76">
        <f t="shared" si="131"/>
        <v>2957910836</v>
      </c>
      <c r="G2080" s="76">
        <f t="shared" si="131"/>
        <v>4269926095</v>
      </c>
      <c r="H2080" s="76">
        <f t="shared" si="131"/>
        <v>639234053</v>
      </c>
      <c r="I2080" s="106">
        <f t="shared" si="132"/>
        <v>11099003871</v>
      </c>
      <c r="J2080" s="54">
        <v>0</v>
      </c>
      <c r="K2080" s="106">
        <f t="shared" si="133"/>
        <v>11099003871</v>
      </c>
      <c r="L2080" s="76">
        <v>0</v>
      </c>
    </row>
    <row r="2081" spans="1:12" hidden="1">
      <c r="A2081" s="88">
        <v>1995</v>
      </c>
      <c r="B2081" s="89"/>
      <c r="E2081" s="76">
        <f t="shared" si="131"/>
        <v>3175155312</v>
      </c>
      <c r="F2081" s="76">
        <f t="shared" si="131"/>
        <v>2682124713</v>
      </c>
      <c r="G2081" s="76">
        <f t="shared" si="131"/>
        <v>4157029058</v>
      </c>
      <c r="H2081" s="76">
        <f t="shared" si="131"/>
        <v>491233902</v>
      </c>
      <c r="I2081" s="106">
        <f t="shared" si="132"/>
        <v>10505542985</v>
      </c>
      <c r="J2081" s="54">
        <v>0</v>
      </c>
      <c r="K2081" s="106">
        <f t="shared" si="133"/>
        <v>10505542985</v>
      </c>
      <c r="L2081" s="76">
        <v>0</v>
      </c>
    </row>
    <row r="2082" spans="1:12" hidden="1"/>
    <row r="2083" spans="1:12" hidden="1"/>
    <row r="2084" spans="1:12" hidden="1">
      <c r="A2084" s="106" t="s">
        <v>835</v>
      </c>
      <c r="B2084" s="42"/>
    </row>
    <row r="2085" spans="1:12" hidden="1">
      <c r="A2085" s="88">
        <v>1997</v>
      </c>
      <c r="B2085" s="89"/>
      <c r="E2085" s="76">
        <v>5173395954</v>
      </c>
      <c r="F2085" s="76">
        <v>3023595878</v>
      </c>
      <c r="G2085" s="50">
        <v>10091231342</v>
      </c>
      <c r="H2085" s="76">
        <v>1019117116</v>
      </c>
      <c r="I2085" s="106">
        <f>SUM(E2085:H2085)</f>
        <v>19307340290</v>
      </c>
      <c r="J2085" s="54">
        <v>0</v>
      </c>
      <c r="K2085" s="106">
        <f>SUM(I2085:J2085)</f>
        <v>19307340290</v>
      </c>
      <c r="L2085" s="76">
        <v>0</v>
      </c>
    </row>
    <row r="2086" spans="1:12" hidden="1">
      <c r="A2086" s="76" t="s">
        <v>836</v>
      </c>
      <c r="E2086" s="76">
        <v>0</v>
      </c>
      <c r="F2086" s="76">
        <v>0</v>
      </c>
      <c r="G2086" s="76">
        <v>3318570929</v>
      </c>
      <c r="H2086" s="76">
        <v>0</v>
      </c>
      <c r="I2086" s="106">
        <f>SUM(E2086:H2086)</f>
        <v>3318570929</v>
      </c>
      <c r="J2086" s="54">
        <v>0</v>
      </c>
      <c r="K2086" s="106">
        <f>SUM(I2086:J2086)</f>
        <v>3318570929</v>
      </c>
      <c r="L2086" s="76">
        <v>0</v>
      </c>
    </row>
    <row r="2087" spans="1:12" hidden="1">
      <c r="A2087" s="102" t="s">
        <v>837</v>
      </c>
      <c r="E2087" s="76">
        <f>+E2085-E2086</f>
        <v>5173395954</v>
      </c>
      <c r="F2087" s="76">
        <f t="shared" ref="F2087:L2087" si="134">+F2085-F2086</f>
        <v>3023595878</v>
      </c>
      <c r="G2087" s="76">
        <f t="shared" si="134"/>
        <v>6772660413</v>
      </c>
      <c r="H2087" s="76">
        <f t="shared" si="134"/>
        <v>1019117116</v>
      </c>
      <c r="I2087" s="76">
        <f t="shared" si="134"/>
        <v>15988769361</v>
      </c>
      <c r="J2087" s="54">
        <v>0</v>
      </c>
      <c r="K2087" s="76">
        <f t="shared" si="134"/>
        <v>15988769361</v>
      </c>
      <c r="L2087" s="76">
        <f t="shared" si="134"/>
        <v>0</v>
      </c>
    </row>
    <row r="2088" spans="1:12" hidden="1"/>
    <row r="2089" spans="1:12" hidden="1"/>
    <row r="2090" spans="1:12" hidden="1">
      <c r="A2090" s="106" t="s">
        <v>838</v>
      </c>
      <c r="B2090" s="42"/>
    </row>
    <row r="2091" spans="1:12" hidden="1">
      <c r="A2091" s="88">
        <v>1998</v>
      </c>
      <c r="B2091" s="89"/>
      <c r="E2091" s="76">
        <v>84536044451</v>
      </c>
      <c r="F2091" s="76">
        <v>57116667153</v>
      </c>
      <c r="G2091" s="50">
        <v>101751854509</v>
      </c>
      <c r="H2091" s="76">
        <v>7365101981</v>
      </c>
      <c r="I2091" s="106">
        <f>SUM(E2091:H2091)</f>
        <v>250769668094</v>
      </c>
      <c r="J2091" s="54">
        <v>0</v>
      </c>
      <c r="K2091" s="106">
        <f>SUM(I2091:J2091)</f>
        <v>250769668094</v>
      </c>
      <c r="L2091" s="76">
        <v>0</v>
      </c>
    </row>
    <row r="2092" spans="1:12" hidden="1">
      <c r="A2092" s="76" t="s">
        <v>839</v>
      </c>
      <c r="E2092" s="76">
        <v>0</v>
      </c>
      <c r="F2092" s="76">
        <v>1183879973</v>
      </c>
      <c r="G2092" s="76">
        <v>29492412</v>
      </c>
      <c r="H2092" s="76">
        <v>4487087</v>
      </c>
      <c r="I2092" s="106">
        <f>SUM(E2092:H2092)</f>
        <v>1217859472</v>
      </c>
      <c r="J2092" s="54">
        <v>0</v>
      </c>
      <c r="K2092" s="106">
        <f>SUM(I2092:J2092)</f>
        <v>1217859472</v>
      </c>
      <c r="L2092" s="76">
        <v>0</v>
      </c>
    </row>
    <row r="2093" spans="1:12" hidden="1">
      <c r="A2093" s="102" t="s">
        <v>837</v>
      </c>
      <c r="E2093" s="76">
        <f>+E2091+E2092</f>
        <v>84536044451</v>
      </c>
      <c r="F2093" s="76">
        <f t="shared" ref="F2093:L2093" si="135">+F2091+F2092</f>
        <v>58300547126</v>
      </c>
      <c r="G2093" s="76">
        <f t="shared" si="135"/>
        <v>101781346921</v>
      </c>
      <c r="H2093" s="76">
        <f t="shared" si="135"/>
        <v>7369589068</v>
      </c>
      <c r="I2093" s="76">
        <f t="shared" si="135"/>
        <v>251987527566</v>
      </c>
      <c r="J2093" s="54">
        <v>0</v>
      </c>
      <c r="K2093" s="76">
        <f t="shared" si="135"/>
        <v>251987527566</v>
      </c>
      <c r="L2093" s="76">
        <f t="shared" si="135"/>
        <v>0</v>
      </c>
    </row>
    <row r="2094" spans="1:12" hidden="1">
      <c r="E2094" s="76">
        <f>+E1940</f>
        <v>84536044451</v>
      </c>
      <c r="F2094" s="76">
        <f>+F1983</f>
        <v>58300547126</v>
      </c>
      <c r="G2094" s="76">
        <f>+G1940</f>
        <v>101781346921</v>
      </c>
      <c r="H2094" s="76">
        <f>+H1983</f>
        <v>7369589068</v>
      </c>
    </row>
    <row r="2095" spans="1:12" hidden="1">
      <c r="B2095" s="108"/>
      <c r="C2095" s="108"/>
      <c r="D2095" s="109" t="s">
        <v>823</v>
      </c>
      <c r="E2095" s="110">
        <f>+E2093-E2094</f>
        <v>0</v>
      </c>
      <c r="F2095" s="110">
        <f>+F2093-F2094</f>
        <v>0</v>
      </c>
      <c r="G2095" s="110">
        <f>+G2093-G2094</f>
        <v>0</v>
      </c>
      <c r="H2095" s="110">
        <f>+H2093-H2094</f>
        <v>0</v>
      </c>
      <c r="I2095" s="110"/>
      <c r="J2095" s="111"/>
      <c r="K2095" s="112"/>
    </row>
    <row r="2096" spans="1:12"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sheetData>
  <mergeCells count="3">
    <mergeCell ref="A1:L1"/>
    <mergeCell ref="A2:L2"/>
    <mergeCell ref="P3:Q4"/>
  </mergeCells>
  <pageMargins left="0.25" right="0.25" top="0.5" bottom="0.5" header="0.3" footer="0.3"/>
  <pageSetup paperSize="5" scale="60" orientation="landscape" r:id="rId1"/>
  <headerFooter>
    <oddHeader xml:space="preserve">&amp;L&amp;D&amp;T
[File]&amp;F&amp;RUNAUDITED
© NOLHGA
</oddHeader>
    <oddFooter>&amp;LFor member company and association use only. The date utilizes estimates and excludes many costs incurred directly by the State Guaranty Associations. It may NOT be utilized  in protesting actual assessments made by State Guaranty Associations.</oddFooter>
  </headerFooter>
  <rowBreaks count="52" manualBreakCount="52">
    <brk id="42" max="16383" man="1"/>
    <brk id="79" max="16383" man="1"/>
    <brk id="116" max="16383" man="1"/>
    <brk id="153" max="16383" man="1"/>
    <brk id="190" max="16383" man="1"/>
    <brk id="227" max="16383" man="1"/>
    <brk id="264" max="16383" man="1"/>
    <brk id="301" max="16383" man="1"/>
    <brk id="338" max="16383" man="1"/>
    <brk id="375" max="16383" man="1"/>
    <brk id="412" max="16383" man="1"/>
    <brk id="449" max="16383" man="1"/>
    <brk id="486" max="16383" man="1"/>
    <brk id="523" max="16383" man="1"/>
    <brk id="560" max="16383" man="1"/>
    <brk id="597" max="16383" man="1"/>
    <brk id="634" max="16383" man="1"/>
    <brk id="671" max="16383" man="1"/>
    <brk id="708" max="16383" man="1"/>
    <brk id="745" max="16383" man="1"/>
    <brk id="782" max="16383" man="1"/>
    <brk id="819" max="16383" man="1"/>
    <brk id="856" max="16383" man="1"/>
    <brk id="893" max="16383" man="1"/>
    <brk id="930" max="16383" man="1"/>
    <brk id="967" max="16383" man="1"/>
    <brk id="1004" max="16383" man="1"/>
    <brk id="1041" max="16383" man="1"/>
    <brk id="1078" max="16383" man="1"/>
    <brk id="1115" max="16383" man="1"/>
    <brk id="1152" max="16383" man="1"/>
    <brk id="1189" max="16383" man="1"/>
    <brk id="1226" max="16383" man="1"/>
    <brk id="1263" max="16383" man="1"/>
    <brk id="1300" max="16383" man="1"/>
    <brk id="1337" max="16383" man="1"/>
    <brk id="1374" max="16383" man="1"/>
    <brk id="1411" max="16383" man="1"/>
    <brk id="1448" max="16383" man="1"/>
    <brk id="1485" max="16383" man="1"/>
    <brk id="1522" max="16383" man="1"/>
    <brk id="1559" max="16383" man="1"/>
    <brk id="1596" max="16383" man="1"/>
    <brk id="1633" max="16383" man="1"/>
    <brk id="1670" max="16383" man="1"/>
    <brk id="1707" max="16383" man="1"/>
    <brk id="1744" max="16383" man="1"/>
    <brk id="1781" max="16383" man="1"/>
    <brk id="1818" max="16383" man="1"/>
    <brk id="1855" max="16383" man="1"/>
    <brk id="1892" max="16383" man="1"/>
    <brk id="1929"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90</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292195.74565897021</v>
      </c>
      <c r="C8" s="1">
        <v>3162530.468816313</v>
      </c>
      <c r="D8" s="1">
        <v>-13983.454475283674</v>
      </c>
      <c r="E8" s="1">
        <v>0</v>
      </c>
      <c r="F8" s="1">
        <v>0</v>
      </c>
      <c r="G8" s="9">
        <f>SUM(AZ_FINANCIAL)</f>
        <v>3440742.76</v>
      </c>
      <c r="I8" s="13" t="s">
        <v>14</v>
      </c>
      <c r="J8" s="16"/>
      <c r="L8" s="6">
        <v>0</v>
      </c>
      <c r="M8" s="1">
        <v>0</v>
      </c>
      <c r="O8" s="1">
        <v>5266318</v>
      </c>
      <c r="P8" s="1">
        <v>0</v>
      </c>
      <c r="R8" s="1">
        <v>10907</v>
      </c>
      <c r="S8" s="1">
        <v>0</v>
      </c>
      <c r="U8" s="1">
        <v>0</v>
      </c>
      <c r="V8" s="9">
        <v>0</v>
      </c>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100984376</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15711384</v>
      </c>
      <c r="L13" s="6"/>
      <c r="V13" s="9"/>
    </row>
    <row r="14" spans="1:22">
      <c r="A14" s="1" t="s">
        <v>23</v>
      </c>
      <c r="B14" s="6">
        <v>0</v>
      </c>
      <c r="C14" s="1">
        <v>0</v>
      </c>
      <c r="D14" s="1">
        <v>0</v>
      </c>
      <c r="E14" s="1">
        <v>0</v>
      </c>
      <c r="F14" s="1">
        <v>0</v>
      </c>
      <c r="G14" s="9">
        <f>SUM(DC_FINANCIAL)</f>
        <v>0</v>
      </c>
      <c r="I14" s="13" t="s">
        <v>24</v>
      </c>
      <c r="J14" s="16">
        <v>1007803.02</v>
      </c>
      <c r="L14" s="6"/>
      <c r="V14" s="9"/>
    </row>
    <row r="15" spans="1:22">
      <c r="A15" s="1" t="s">
        <v>25</v>
      </c>
      <c r="B15" s="6">
        <v>0</v>
      </c>
      <c r="C15" s="1">
        <v>0</v>
      </c>
      <c r="D15" s="1">
        <v>0</v>
      </c>
      <c r="E15" s="1">
        <v>0</v>
      </c>
      <c r="F15" s="1">
        <v>0</v>
      </c>
      <c r="G15" s="9">
        <f>SUM(FL_FINANCIAL)</f>
        <v>0</v>
      </c>
      <c r="I15" s="13" t="s">
        <v>26</v>
      </c>
      <c r="J15" s="16">
        <v>776736.9800000001</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1472917.5463450828</v>
      </c>
      <c r="C19" s="1">
        <v>27571943.965317987</v>
      </c>
      <c r="D19" s="1">
        <v>-104763.61166306857</v>
      </c>
      <c r="E19" s="1">
        <v>0</v>
      </c>
      <c r="F19" s="1">
        <v>0</v>
      </c>
      <c r="G19" s="9">
        <f>SUM(IL_FINANCIAL)</f>
        <v>28940097.899999999</v>
      </c>
      <c r="I19" s="13" t="s">
        <v>33</v>
      </c>
      <c r="J19" s="16">
        <v>31395970.34</v>
      </c>
      <c r="L19" s="6">
        <v>4451000</v>
      </c>
      <c r="M19" s="1">
        <v>3470000</v>
      </c>
      <c r="O19" s="1">
        <v>59749000</v>
      </c>
      <c r="P19" s="1">
        <v>39945000</v>
      </c>
      <c r="R19" s="1">
        <v>1300000</v>
      </c>
      <c r="S19" s="1">
        <v>1500000</v>
      </c>
      <c r="U19" s="1">
        <v>8000000</v>
      </c>
      <c r="V19" s="9">
        <v>2700000</v>
      </c>
    </row>
    <row r="20" spans="1:22">
      <c r="A20" s="1" t="s">
        <v>34</v>
      </c>
      <c r="B20" s="6">
        <v>6576.2247838514159</v>
      </c>
      <c r="C20" s="1">
        <v>555216.63375590381</v>
      </c>
      <c r="D20" s="1">
        <v>418.14146024488764</v>
      </c>
      <c r="E20" s="1">
        <v>0</v>
      </c>
      <c r="F20" s="1">
        <v>0</v>
      </c>
      <c r="G20" s="9">
        <f>SUM(IN_FINANCIAL)</f>
        <v>562211.00000000012</v>
      </c>
      <c r="I20" s="13" t="s">
        <v>35</v>
      </c>
      <c r="J20" s="16">
        <v>15711384</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38146878</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33226067.659999996</v>
      </c>
      <c r="L26" s="6"/>
      <c r="V26" s="9"/>
    </row>
    <row r="27" spans="1:22">
      <c r="A27" s="1" t="s">
        <v>47</v>
      </c>
      <c r="B27" s="6">
        <v>0</v>
      </c>
      <c r="C27" s="1">
        <v>0</v>
      </c>
      <c r="D27" s="1">
        <v>0</v>
      </c>
      <c r="E27" s="1">
        <v>0</v>
      </c>
      <c r="F27" s="1">
        <v>0</v>
      </c>
      <c r="G27" s="9">
        <f>SUM(MA_FINANCIAL)</f>
        <v>0</v>
      </c>
      <c r="I27" s="13" t="s">
        <v>48</v>
      </c>
      <c r="J27" s="16">
        <f>SUM(ALL_BLOCKS)</f>
        <v>33226067.659999996</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3055</v>
      </c>
      <c r="D48" s="1">
        <v>0</v>
      </c>
      <c r="E48" s="1">
        <v>0</v>
      </c>
      <c r="F48" s="1">
        <v>0</v>
      </c>
      <c r="G48" s="9">
        <f>SUM(SD_FINANCIAL)</f>
        <v>3055</v>
      </c>
      <c r="L48" s="6"/>
      <c r="V48" s="9"/>
    </row>
    <row r="49" spans="1:22">
      <c r="A49" s="1" t="s">
        <v>70</v>
      </c>
      <c r="B49" s="6">
        <v>0</v>
      </c>
      <c r="C49" s="1">
        <v>0</v>
      </c>
      <c r="D49" s="1">
        <v>0</v>
      </c>
      <c r="E49" s="1">
        <v>0</v>
      </c>
      <c r="F49" s="1">
        <v>0</v>
      </c>
      <c r="G49" s="9">
        <f>SUM(TN_FINANCIAL)</f>
        <v>0</v>
      </c>
      <c r="L49" s="6"/>
      <c r="V49" s="9"/>
    </row>
    <row r="50" spans="1:22">
      <c r="A50" s="1" t="s">
        <v>71</v>
      </c>
      <c r="B50" s="6">
        <v>22198.152930566066</v>
      </c>
      <c r="C50" s="1">
        <v>257758.92027783114</v>
      </c>
      <c r="D50" s="1">
        <v>3.9267916027889713</v>
      </c>
      <c r="E50" s="1">
        <v>0</v>
      </c>
      <c r="F50" s="1">
        <v>0</v>
      </c>
      <c r="G50" s="9">
        <f>SUM(TX_FINANCIAL)</f>
        <v>279961</v>
      </c>
      <c r="L50" s="6">
        <v>8142</v>
      </c>
      <c r="M50" s="1">
        <v>4861.5120000000006</v>
      </c>
      <c r="O50" s="1">
        <v>742939</v>
      </c>
      <c r="P50" s="1">
        <v>445278.48800000001</v>
      </c>
      <c r="R50" s="1">
        <v>0</v>
      </c>
      <c r="S50" s="1">
        <v>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1793887.6697184704</v>
      </c>
      <c r="C60" s="1">
        <f>SUM(ALLOCATED)</f>
        <v>31550504.988168035</v>
      </c>
      <c r="D60" s="1">
        <f>SUM(HEALTH)</f>
        <v>-118324.99788650456</v>
      </c>
      <c r="E60" s="1">
        <f>SUM(UNALLOCATED)</f>
        <v>0</v>
      </c>
      <c r="F60" s="1">
        <f>SUM(LTC)</f>
        <v>0</v>
      </c>
      <c r="G60" s="9">
        <f>SUM(ALL_BLOCKS)</f>
        <v>33226067.659999996</v>
      </c>
      <c r="L60" s="6">
        <f>SUM(LIFE_CALLED)</f>
        <v>4459142</v>
      </c>
      <c r="M60" s="1">
        <f>SUM(LIFE_REFUNDED)</f>
        <v>3474861.5120000001</v>
      </c>
      <c r="O60" s="1">
        <f>SUM(ALLOC_CALLED)</f>
        <v>65758257</v>
      </c>
      <c r="P60" s="1">
        <f>SUM(ALLOC_REFUNDED)</f>
        <v>40390278.487999998</v>
      </c>
      <c r="R60" s="1">
        <f>SUM(HEALTH_CALLED)</f>
        <v>1310907</v>
      </c>
      <c r="S60" s="1">
        <f>SUM(HEALTH_REFUNDED)</f>
        <v>1500000</v>
      </c>
      <c r="U60" s="1">
        <f>SUM(UNALLOC_CALLED)</f>
        <v>8000000</v>
      </c>
      <c r="V60" s="9">
        <f>SUM(UNALLOC_REFUNDED)</f>
        <v>2700000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91</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670529.1031422877</v>
      </c>
      <c r="C6" s="1">
        <v>173831.61490444213</v>
      </c>
      <c r="D6" s="1">
        <v>0</v>
      </c>
      <c r="E6" s="1">
        <v>0</v>
      </c>
      <c r="F6" s="1">
        <v>0</v>
      </c>
      <c r="G6" s="9">
        <f>SUM(AL_FINANCIAL)</f>
        <v>844360.7180467298</v>
      </c>
      <c r="L6" s="6">
        <v>1534000</v>
      </c>
      <c r="M6" s="1">
        <v>0</v>
      </c>
      <c r="O6" s="1">
        <v>183188</v>
      </c>
      <c r="P6" s="1">
        <v>0</v>
      </c>
      <c r="R6" s="1">
        <v>0</v>
      </c>
      <c r="S6" s="1">
        <v>0</v>
      </c>
      <c r="U6" s="1">
        <v>0</v>
      </c>
      <c r="V6" s="9">
        <v>0</v>
      </c>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361746.83957609197</v>
      </c>
      <c r="C9" s="1">
        <v>93781.219958093789</v>
      </c>
      <c r="D9" s="1">
        <v>0</v>
      </c>
      <c r="E9" s="1">
        <v>0</v>
      </c>
      <c r="F9" s="1">
        <v>0</v>
      </c>
      <c r="G9" s="9">
        <f>SUM(AR_FINANCIAL)</f>
        <v>455528.05953418574</v>
      </c>
      <c r="I9" s="13"/>
      <c r="J9" s="16"/>
      <c r="L9" s="6">
        <v>900802</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55014949.354009047</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805562.59000000008</v>
      </c>
      <c r="L14" s="6"/>
      <c r="V14" s="9"/>
    </row>
    <row r="15" spans="1:22">
      <c r="A15" s="1" t="s">
        <v>25</v>
      </c>
      <c r="B15" s="6">
        <v>0</v>
      </c>
      <c r="C15" s="1">
        <v>0</v>
      </c>
      <c r="D15" s="1">
        <v>0</v>
      </c>
      <c r="E15" s="1">
        <v>0</v>
      </c>
      <c r="F15" s="1">
        <v>0</v>
      </c>
      <c r="G15" s="9">
        <f>SUM(FL_FINANCIAL)</f>
        <v>0</v>
      </c>
      <c r="I15" s="13" t="s">
        <v>26</v>
      </c>
      <c r="J15" s="16">
        <v>970547.95813583059</v>
      </c>
      <c r="L15" s="6"/>
      <c r="V15" s="9"/>
    </row>
    <row r="16" spans="1:22">
      <c r="A16" s="1" t="s">
        <v>27</v>
      </c>
      <c r="B16" s="6">
        <v>85860.879994854389</v>
      </c>
      <c r="C16" s="1">
        <v>22259.041936700043</v>
      </c>
      <c r="D16" s="1">
        <v>0</v>
      </c>
      <c r="E16" s="1">
        <v>0</v>
      </c>
      <c r="F16" s="1">
        <v>0</v>
      </c>
      <c r="G16" s="9">
        <f>SUM(GA_FINANCIAL)</f>
        <v>108119.92193155443</v>
      </c>
      <c r="I16" s="13" t="s">
        <v>28</v>
      </c>
      <c r="J16" s="16">
        <v>0</v>
      </c>
      <c r="L16" s="6">
        <v>183899</v>
      </c>
      <c r="M16" s="1">
        <v>0</v>
      </c>
      <c r="O16" s="1">
        <v>15255</v>
      </c>
      <c r="P16" s="1">
        <v>403.45</v>
      </c>
      <c r="R16" s="1">
        <v>0</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5725000</v>
      </c>
      <c r="L19" s="6"/>
      <c r="V19" s="9"/>
    </row>
    <row r="20" spans="1:22">
      <c r="A20" s="1" t="s">
        <v>34</v>
      </c>
      <c r="B20" s="6">
        <v>0</v>
      </c>
      <c r="C20" s="1">
        <v>0</v>
      </c>
      <c r="D20" s="1">
        <v>0</v>
      </c>
      <c r="E20" s="1">
        <v>0</v>
      </c>
      <c r="F20" s="1">
        <v>0</v>
      </c>
      <c r="G20" s="9">
        <f>SUM(IN_FINANCIAL)</f>
        <v>0</v>
      </c>
      <c r="I20" s="13" t="s">
        <v>35</v>
      </c>
      <c r="J20" s="16">
        <v>-7993993.0602189256</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11334052</v>
      </c>
      <c r="L22" s="6"/>
      <c r="V22" s="9"/>
    </row>
    <row r="23" spans="1:22">
      <c r="A23" s="1" t="s">
        <v>40</v>
      </c>
      <c r="B23" s="6">
        <v>9789.107106343854</v>
      </c>
      <c r="C23" s="1">
        <v>2537.7814158906203</v>
      </c>
      <c r="D23" s="1">
        <v>0</v>
      </c>
      <c r="E23" s="1">
        <v>0</v>
      </c>
      <c r="F23" s="1">
        <v>0</v>
      </c>
      <c r="G23" s="9">
        <f>SUM(KY_FINANCIAL)</f>
        <v>12326.888522234474</v>
      </c>
      <c r="I23" s="13" t="s">
        <v>41</v>
      </c>
      <c r="J23" s="16"/>
      <c r="L23" s="6"/>
      <c r="V23" s="9"/>
    </row>
    <row r="24" spans="1:22">
      <c r="A24" s="1" t="s">
        <v>42</v>
      </c>
      <c r="B24" s="6">
        <v>2381376.6847318634</v>
      </c>
      <c r="C24" s="1">
        <v>617361.0554154925</v>
      </c>
      <c r="D24" s="1">
        <v>1882.7534864500162</v>
      </c>
      <c r="E24" s="1">
        <v>0</v>
      </c>
      <c r="F24" s="1">
        <v>0</v>
      </c>
      <c r="G24" s="9">
        <f>SUM(LA_FINANCIAL)</f>
        <v>3000620.4936338058</v>
      </c>
      <c r="I24" s="13" t="s">
        <v>43</v>
      </c>
      <c r="J24" s="16">
        <v>22579211.701163307</v>
      </c>
      <c r="L24" s="6">
        <v>2113595</v>
      </c>
      <c r="M24" s="1">
        <v>0</v>
      </c>
      <c r="O24" s="1">
        <v>4148464</v>
      </c>
      <c r="P24" s="1">
        <v>0</v>
      </c>
      <c r="R24" s="1">
        <v>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25146789.261200499</v>
      </c>
      <c r="L26" s="6"/>
      <c r="V26" s="9"/>
    </row>
    <row r="27" spans="1:22">
      <c r="A27" s="1" t="s">
        <v>47</v>
      </c>
      <c r="B27" s="6">
        <v>0</v>
      </c>
      <c r="C27" s="1">
        <v>0</v>
      </c>
      <c r="D27" s="1">
        <v>0</v>
      </c>
      <c r="E27" s="1">
        <v>0</v>
      </c>
      <c r="F27" s="1">
        <v>0</v>
      </c>
      <c r="G27" s="9">
        <f>SUM(MA_FINANCIAL)</f>
        <v>0</v>
      </c>
      <c r="I27" s="13" t="s">
        <v>48</v>
      </c>
      <c r="J27" s="16">
        <f>SUM(ALL_BLOCKS)</f>
        <v>25146789.261200495</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10174496.949729908</v>
      </c>
      <c r="C30" s="1">
        <v>2633564.0353225218</v>
      </c>
      <c r="D30" s="1">
        <v>64476.653640933619</v>
      </c>
      <c r="E30" s="1">
        <v>0</v>
      </c>
      <c r="F30" s="1">
        <v>0</v>
      </c>
      <c r="G30" s="9">
        <f>SUM(MS_FINANCIAL)</f>
        <v>12872537.638693362</v>
      </c>
      <c r="L30" s="6">
        <v>11860647</v>
      </c>
      <c r="M30" s="1">
        <v>0</v>
      </c>
      <c r="O30" s="1">
        <v>4785032</v>
      </c>
      <c r="P30" s="1">
        <v>0</v>
      </c>
      <c r="R30" s="1">
        <v>0</v>
      </c>
      <c r="S30" s="1">
        <v>0</v>
      </c>
      <c r="U30" s="1">
        <v>3735647</v>
      </c>
      <c r="V30" s="9">
        <v>0</v>
      </c>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v>16000</v>
      </c>
      <c r="M33" s="1">
        <v>0</v>
      </c>
      <c r="O33" s="1">
        <v>4090</v>
      </c>
      <c r="P33" s="1">
        <v>0</v>
      </c>
      <c r="R33" s="1">
        <v>0</v>
      </c>
      <c r="S33" s="1">
        <v>0</v>
      </c>
      <c r="U33" s="1">
        <v>0</v>
      </c>
      <c r="V33" s="9">
        <v>0</v>
      </c>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1666537.4384627505</v>
      </c>
      <c r="C39" s="1">
        <v>432042.23779264966</v>
      </c>
      <c r="D39" s="1">
        <v>0</v>
      </c>
      <c r="E39" s="1">
        <v>0</v>
      </c>
      <c r="F39" s="1">
        <v>0</v>
      </c>
      <c r="G39" s="9">
        <f>SUM(NC_FINANCIAL)</f>
        <v>2098579.6762554003</v>
      </c>
      <c r="L39" s="6">
        <v>4275000</v>
      </c>
      <c r="M39" s="1">
        <v>0</v>
      </c>
      <c r="O39" s="1">
        <v>225000</v>
      </c>
      <c r="P39" s="1">
        <v>0</v>
      </c>
      <c r="R39" s="1">
        <v>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64911.460058100813</v>
      </c>
      <c r="C42" s="1">
        <v>16828.00026848416</v>
      </c>
      <c r="D42" s="1">
        <v>0</v>
      </c>
      <c r="E42" s="1">
        <v>0</v>
      </c>
      <c r="F42" s="1">
        <v>0</v>
      </c>
      <c r="G42" s="9">
        <f>SUM(OK_FINANCIAL)</f>
        <v>81739.460326584973</v>
      </c>
      <c r="L42" s="6">
        <v>0</v>
      </c>
      <c r="M42" s="1">
        <v>0</v>
      </c>
      <c r="O42" s="1">
        <v>320000</v>
      </c>
      <c r="P42" s="1">
        <v>50000</v>
      </c>
      <c r="R42" s="1">
        <v>0</v>
      </c>
      <c r="S42" s="1">
        <v>0</v>
      </c>
      <c r="U42" s="1">
        <v>0</v>
      </c>
      <c r="V42" s="9">
        <v>0</v>
      </c>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-2.9103830456733704E-11</v>
      </c>
      <c r="C47" s="1">
        <v>-7.2759576141834259E-12</v>
      </c>
      <c r="D47" s="1">
        <v>0</v>
      </c>
      <c r="E47" s="1">
        <v>0</v>
      </c>
      <c r="F47" s="1">
        <v>0</v>
      </c>
      <c r="G47" s="9">
        <f>SUM(SC_FINANCIAL)</f>
        <v>-3.637978807091713E-11</v>
      </c>
      <c r="L47" s="6"/>
      <c r="V47" s="9"/>
    </row>
    <row r="48" spans="1:22">
      <c r="A48" s="1" t="s">
        <v>69</v>
      </c>
      <c r="B48" s="6">
        <v>0</v>
      </c>
      <c r="C48" s="1">
        <v>0</v>
      </c>
      <c r="D48" s="1">
        <v>0</v>
      </c>
      <c r="E48" s="1">
        <v>0</v>
      </c>
      <c r="F48" s="1">
        <v>0</v>
      </c>
      <c r="G48" s="9">
        <f>SUM(SD_FINANCIAL)</f>
        <v>0</v>
      </c>
      <c r="L48" s="6"/>
      <c r="V48" s="9"/>
    </row>
    <row r="49" spans="1:22">
      <c r="A49" s="1" t="s">
        <v>70</v>
      </c>
      <c r="B49" s="6">
        <v>3496036.4187447717</v>
      </c>
      <c r="C49" s="1">
        <v>906331.51281158731</v>
      </c>
      <c r="D49" s="1">
        <v>7790.2532901498626</v>
      </c>
      <c r="E49" s="1">
        <v>0</v>
      </c>
      <c r="F49" s="1">
        <v>0</v>
      </c>
      <c r="G49" s="9">
        <f>SUM(TN_FINANCIAL)</f>
        <v>4410158.1848465092</v>
      </c>
      <c r="L49" s="6">
        <v>7200000</v>
      </c>
      <c r="M49" s="1">
        <v>0</v>
      </c>
      <c r="O49" s="1">
        <v>1200000</v>
      </c>
      <c r="P49" s="1">
        <v>0</v>
      </c>
      <c r="R49" s="1">
        <v>0</v>
      </c>
      <c r="S49" s="1">
        <v>0</v>
      </c>
      <c r="U49" s="1">
        <v>0</v>
      </c>
      <c r="V49" s="9">
        <v>0</v>
      </c>
    </row>
    <row r="50" spans="1:22">
      <c r="A50" s="1" t="s">
        <v>71</v>
      </c>
      <c r="B50" s="6">
        <v>992512.25210331508</v>
      </c>
      <c r="C50" s="1">
        <v>270305.96730680839</v>
      </c>
      <c r="D50" s="1">
        <v>0</v>
      </c>
      <c r="E50" s="1">
        <v>0</v>
      </c>
      <c r="F50" s="1">
        <v>0</v>
      </c>
      <c r="G50" s="9">
        <f>SUM(TX_FINANCIAL)</f>
        <v>1262818.2194101235</v>
      </c>
      <c r="L50" s="6">
        <v>651924</v>
      </c>
      <c r="M50" s="1">
        <v>280000</v>
      </c>
      <c r="O50" s="1">
        <v>96657</v>
      </c>
      <c r="P50" s="1">
        <v>0</v>
      </c>
      <c r="R50" s="1">
        <v>0</v>
      </c>
      <c r="S50" s="1">
        <v>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19903797.133650288</v>
      </c>
      <c r="C60" s="1">
        <f>SUM(ALLOCATED)</f>
        <v>5168842.4671326708</v>
      </c>
      <c r="D60" s="1">
        <f>SUM(HEALTH)</f>
        <v>74149.660417533494</v>
      </c>
      <c r="E60" s="1">
        <f>SUM(UNALLOCATED)</f>
        <v>0</v>
      </c>
      <c r="F60" s="1">
        <f>SUM(LTC)</f>
        <v>0</v>
      </c>
      <c r="G60" s="9">
        <f>SUM(ALL_BLOCKS)</f>
        <v>25146789.261200495</v>
      </c>
      <c r="L60" s="6">
        <f>SUM(LIFE_CALLED)</f>
        <v>28735867</v>
      </c>
      <c r="M60" s="1">
        <f>SUM(LIFE_REFUNDED)</f>
        <v>280000</v>
      </c>
      <c r="O60" s="1">
        <f>SUM(ALLOC_CALLED)</f>
        <v>10977686</v>
      </c>
      <c r="P60" s="1">
        <f>SUM(ALLOC_REFUNDED)</f>
        <v>50403.45</v>
      </c>
      <c r="R60" s="1">
        <f>SUM(HEALTH_CALLED)</f>
        <v>0</v>
      </c>
      <c r="S60" s="1">
        <f>SUM(HEALTH_REFUNDED)</f>
        <v>0</v>
      </c>
      <c r="U60" s="1">
        <f>SUM(UNALLOC_CALLED)</f>
        <v>3735647</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92</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-223902.85478518539</v>
      </c>
      <c r="C8" s="1">
        <v>0</v>
      </c>
      <c r="D8" s="1">
        <v>317571.35157951259</v>
      </c>
      <c r="E8" s="1">
        <v>0</v>
      </c>
      <c r="F8" s="1">
        <v>0</v>
      </c>
      <c r="G8" s="9">
        <f>SUM(AZ_FINANCIAL)</f>
        <v>93668.496794327191</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8900858</v>
      </c>
      <c r="L10" s="6"/>
      <c r="V10" s="9"/>
    </row>
    <row r="11" spans="1:22">
      <c r="A11" s="1" t="s">
        <v>18</v>
      </c>
      <c r="B11" s="6">
        <v>145.7704555260498</v>
      </c>
      <c r="C11" s="1">
        <v>0</v>
      </c>
      <c r="D11" s="1">
        <v>-2097.6377546297335</v>
      </c>
      <c r="E11" s="1">
        <v>0</v>
      </c>
      <c r="F11" s="1">
        <v>0</v>
      </c>
      <c r="G11" s="9">
        <f>SUM(CO_FINANCIAL)</f>
        <v>-1951.8672991036838</v>
      </c>
      <c r="I11" s="13"/>
      <c r="J11" s="16"/>
      <c r="L11" s="6">
        <v>0</v>
      </c>
      <c r="M11" s="1">
        <v>0</v>
      </c>
      <c r="O11" s="1">
        <v>0</v>
      </c>
      <c r="P11" s="1">
        <v>0</v>
      </c>
      <c r="R11" s="1">
        <v>25000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6337185</v>
      </c>
      <c r="L13" s="6"/>
      <c r="V13" s="9"/>
    </row>
    <row r="14" spans="1:22">
      <c r="A14" s="1" t="s">
        <v>23</v>
      </c>
      <c r="B14" s="6">
        <v>0</v>
      </c>
      <c r="C14" s="1">
        <v>0</v>
      </c>
      <c r="D14" s="1">
        <v>0</v>
      </c>
      <c r="E14" s="1">
        <v>0</v>
      </c>
      <c r="F14" s="1">
        <v>0</v>
      </c>
      <c r="G14" s="9">
        <f>SUM(DC_FINANCIAL)</f>
        <v>0</v>
      </c>
      <c r="I14" s="13" t="s">
        <v>24</v>
      </c>
      <c r="J14" s="16">
        <v>1046036</v>
      </c>
      <c r="L14" s="6"/>
      <c r="V14" s="9"/>
    </row>
    <row r="15" spans="1:22">
      <c r="A15" s="1" t="s">
        <v>25</v>
      </c>
      <c r="B15" s="6">
        <v>1378.7553524862542</v>
      </c>
      <c r="C15" s="1">
        <v>0</v>
      </c>
      <c r="D15" s="1">
        <v>92455.873826278723</v>
      </c>
      <c r="E15" s="1">
        <v>0</v>
      </c>
      <c r="F15" s="1">
        <v>0</v>
      </c>
      <c r="G15" s="9">
        <f>SUM(FL_FINANCIAL)</f>
        <v>93834.629178764982</v>
      </c>
      <c r="I15" s="13" t="s">
        <v>26</v>
      </c>
      <c r="J15" s="16">
        <v>5110951.6399999997</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6323702</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-571866</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30087.987611139582</v>
      </c>
      <c r="C24" s="1">
        <v>0</v>
      </c>
      <c r="D24" s="1">
        <v>3465502.6715593976</v>
      </c>
      <c r="E24" s="1">
        <v>0</v>
      </c>
      <c r="F24" s="1">
        <v>0</v>
      </c>
      <c r="G24" s="9">
        <f>SUM(LA_FINANCIAL)</f>
        <v>3495590.6591705373</v>
      </c>
      <c r="I24" s="13" t="s">
        <v>43</v>
      </c>
      <c r="J24" s="16">
        <v>1806541</v>
      </c>
      <c r="L24" s="6">
        <v>3959</v>
      </c>
      <c r="M24" s="1">
        <v>0</v>
      </c>
      <c r="O24" s="1">
        <v>0</v>
      </c>
      <c r="P24" s="1">
        <v>0</v>
      </c>
      <c r="R24" s="1">
        <v>4945041</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13836653.640000001</v>
      </c>
      <c r="L26" s="6"/>
      <c r="V26" s="9"/>
    </row>
    <row r="27" spans="1:22">
      <c r="A27" s="1" t="s">
        <v>47</v>
      </c>
      <c r="B27" s="6">
        <v>0</v>
      </c>
      <c r="C27" s="1">
        <v>0</v>
      </c>
      <c r="D27" s="1">
        <v>0</v>
      </c>
      <c r="E27" s="1">
        <v>0</v>
      </c>
      <c r="F27" s="1">
        <v>0</v>
      </c>
      <c r="G27" s="9">
        <f>SUM(MA_FINANCIAL)</f>
        <v>0</v>
      </c>
      <c r="I27" s="13" t="s">
        <v>48</v>
      </c>
      <c r="J27" s="16">
        <f>SUM(ALL_BLOCKS)</f>
        <v>13836653.639999999</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33830.296048170072</v>
      </c>
      <c r="E31" s="1">
        <v>0</v>
      </c>
      <c r="F31" s="1">
        <v>0</v>
      </c>
      <c r="G31" s="9">
        <f>SUM(MO_FINANCIAL)</f>
        <v>33830.296048170072</v>
      </c>
      <c r="L31" s="6"/>
      <c r="V31" s="9"/>
    </row>
    <row r="32" spans="1:22">
      <c r="A32" s="1" t="s">
        <v>53</v>
      </c>
      <c r="B32" s="6">
        <v>0</v>
      </c>
      <c r="C32" s="1">
        <v>0</v>
      </c>
      <c r="D32" s="1">
        <v>1321</v>
      </c>
      <c r="E32" s="1">
        <v>0</v>
      </c>
      <c r="F32" s="1">
        <v>0</v>
      </c>
      <c r="G32" s="9">
        <f>SUM(MT_FINANCIAL)</f>
        <v>1321</v>
      </c>
      <c r="L32" s="6"/>
      <c r="V32" s="9"/>
    </row>
    <row r="33" spans="1:22">
      <c r="A33" s="1" t="s">
        <v>54</v>
      </c>
      <c r="B33" s="6">
        <v>0</v>
      </c>
      <c r="C33" s="1">
        <v>0</v>
      </c>
      <c r="D33" s="1">
        <v>19264.914045081954</v>
      </c>
      <c r="E33" s="1">
        <v>0</v>
      </c>
      <c r="F33" s="1">
        <v>0</v>
      </c>
      <c r="G33" s="9">
        <f>SUM(NE_FINANCIAL)</f>
        <v>19264.914045081954</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2573.6789413000902</v>
      </c>
      <c r="C37" s="1">
        <v>0</v>
      </c>
      <c r="D37" s="1">
        <v>-27295.813144936124</v>
      </c>
      <c r="E37" s="1">
        <v>0</v>
      </c>
      <c r="F37" s="1">
        <v>0</v>
      </c>
      <c r="G37" s="9">
        <f>SUM(NM_FINANCIAL)</f>
        <v>-24722.134203636033</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3964.1519680958581</v>
      </c>
      <c r="E40" s="1">
        <v>0</v>
      </c>
      <c r="F40" s="1">
        <v>0</v>
      </c>
      <c r="G40" s="9">
        <f>SUM(ND_FINANCIAL)</f>
        <v>3964.1519680958581</v>
      </c>
      <c r="L40" s="6"/>
      <c r="V40" s="9"/>
    </row>
    <row r="41" spans="1:22">
      <c r="A41" s="1" t="s">
        <v>62</v>
      </c>
      <c r="B41" s="6">
        <v>0</v>
      </c>
      <c r="C41" s="1">
        <v>0</v>
      </c>
      <c r="D41" s="1">
        <v>0</v>
      </c>
      <c r="E41" s="1">
        <v>0</v>
      </c>
      <c r="F41" s="1">
        <v>0</v>
      </c>
      <c r="G41" s="9">
        <f>SUM(OH_FINANCIAL)</f>
        <v>0</v>
      </c>
      <c r="L41" s="6"/>
      <c r="V41" s="9"/>
    </row>
    <row r="42" spans="1:22">
      <c r="A42" s="1" t="s">
        <v>63</v>
      </c>
      <c r="B42" s="6">
        <v>-4362.7381532942954</v>
      </c>
      <c r="C42" s="1">
        <v>0</v>
      </c>
      <c r="D42" s="1">
        <v>355841.23552704928</v>
      </c>
      <c r="E42" s="1">
        <v>0</v>
      </c>
      <c r="F42" s="1">
        <v>0</v>
      </c>
      <c r="G42" s="9">
        <f>SUM(OK_FINANCIAL)</f>
        <v>351478.49737375497</v>
      </c>
      <c r="L42" s="6">
        <v>8000</v>
      </c>
      <c r="M42" s="1">
        <v>4500</v>
      </c>
      <c r="O42" s="1">
        <v>0</v>
      </c>
      <c r="P42" s="1">
        <v>0</v>
      </c>
      <c r="R42" s="1">
        <v>792000</v>
      </c>
      <c r="S42" s="1">
        <v>445500</v>
      </c>
      <c r="U42" s="1">
        <v>0</v>
      </c>
      <c r="V42" s="9">
        <v>0</v>
      </c>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5910.754231949968</v>
      </c>
      <c r="E48" s="1">
        <v>0</v>
      </c>
      <c r="F48" s="1">
        <v>0</v>
      </c>
      <c r="G48" s="9">
        <f>SUM(SD_FINANCIAL)</f>
        <v>5910.754231949968</v>
      </c>
      <c r="L48" s="6"/>
      <c r="V48" s="9"/>
    </row>
    <row r="49" spans="1:22">
      <c r="A49" s="1" t="s">
        <v>70</v>
      </c>
      <c r="B49" s="6">
        <v>0</v>
      </c>
      <c r="C49" s="1">
        <v>0</v>
      </c>
      <c r="D49" s="1">
        <v>0</v>
      </c>
      <c r="E49" s="1">
        <v>0</v>
      </c>
      <c r="F49" s="1">
        <v>0</v>
      </c>
      <c r="G49" s="9">
        <f>SUM(TN_FINANCIAL)</f>
        <v>0</v>
      </c>
      <c r="L49" s="6"/>
      <c r="V49" s="9"/>
    </row>
    <row r="50" spans="1:22">
      <c r="A50" s="1" t="s">
        <v>71</v>
      </c>
      <c r="B50" s="6">
        <v>193052.40973005656</v>
      </c>
      <c r="C50" s="1">
        <v>0</v>
      </c>
      <c r="D50" s="1">
        <v>9552818.2464481257</v>
      </c>
      <c r="E50" s="1">
        <v>0</v>
      </c>
      <c r="F50" s="1">
        <v>0</v>
      </c>
      <c r="G50" s="9">
        <f>SUM(TX_FINANCIAL)</f>
        <v>9745870.656178182</v>
      </c>
      <c r="L50" s="6">
        <v>58755</v>
      </c>
      <c r="M50" s="1">
        <v>11987.105000000001</v>
      </c>
      <c r="O50" s="1">
        <v>0</v>
      </c>
      <c r="P50" s="1">
        <v>0</v>
      </c>
      <c r="R50" s="1">
        <v>11692213</v>
      </c>
      <c r="S50" s="1">
        <v>2385439.895</v>
      </c>
      <c r="U50" s="1">
        <v>0</v>
      </c>
      <c r="V50" s="9">
        <v>0</v>
      </c>
    </row>
    <row r="51" spans="1:22">
      <c r="A51" s="1" t="s">
        <v>72</v>
      </c>
      <c r="B51" s="6">
        <v>0</v>
      </c>
      <c r="C51" s="1">
        <v>0</v>
      </c>
      <c r="D51" s="1">
        <v>18593.58651387451</v>
      </c>
      <c r="E51" s="1">
        <v>0</v>
      </c>
      <c r="F51" s="1">
        <v>0</v>
      </c>
      <c r="G51" s="9">
        <f>SUM(UT_FINANCIAL)</f>
        <v>18593.58651387451</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-1026.9908479711739</v>
      </c>
      <c r="C60" s="1">
        <f>SUM(ALLOCATED)</f>
        <v>0</v>
      </c>
      <c r="D60" s="1">
        <f>SUM(HEALTH)</f>
        <v>13837680.63084797</v>
      </c>
      <c r="E60" s="1">
        <f>SUM(UNALLOCATED)</f>
        <v>0</v>
      </c>
      <c r="F60" s="1">
        <f>SUM(LTC)</f>
        <v>0</v>
      </c>
      <c r="G60" s="9">
        <f>SUM(ALL_BLOCKS)</f>
        <v>13836653.639999999</v>
      </c>
      <c r="L60" s="6">
        <f>SUM(LIFE_CALLED)</f>
        <v>70714</v>
      </c>
      <c r="M60" s="1">
        <f>SUM(LIFE_REFUNDED)</f>
        <v>16487.105000000003</v>
      </c>
      <c r="O60" s="1">
        <f>SUM(ALLOC_CALLED)</f>
        <v>0</v>
      </c>
      <c r="P60" s="1">
        <f>SUM(ALLOC_REFUNDED)</f>
        <v>0</v>
      </c>
      <c r="R60" s="1">
        <f>SUM(HEALTH_CALLED)</f>
        <v>17454254</v>
      </c>
      <c r="S60" s="1">
        <f>SUM(HEALTH_REFUNDED)</f>
        <v>2830939.895</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93</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2636556.2285358198</v>
      </c>
      <c r="D6" s="1">
        <v>0</v>
      </c>
      <c r="E6" s="1">
        <v>0</v>
      </c>
      <c r="F6" s="1">
        <v>0</v>
      </c>
      <c r="G6" s="9">
        <f>SUM(AL_FINANCIAL)</f>
        <v>2636556.2285358198</v>
      </c>
      <c r="L6" s="6"/>
      <c r="V6" s="9"/>
    </row>
    <row r="7" spans="1:22">
      <c r="A7" s="1" t="s">
        <v>12</v>
      </c>
      <c r="B7" s="6">
        <v>0</v>
      </c>
      <c r="C7" s="1">
        <v>18428.855511195878</v>
      </c>
      <c r="D7" s="1">
        <v>0</v>
      </c>
      <c r="E7" s="1">
        <v>0</v>
      </c>
      <c r="F7" s="1">
        <v>0</v>
      </c>
      <c r="G7" s="9">
        <f>SUM(AK_FINANCIAL)</f>
        <v>18428.855511195878</v>
      </c>
      <c r="I7" s="12"/>
      <c r="J7" s="15"/>
      <c r="L7" s="6"/>
      <c r="V7" s="9"/>
    </row>
    <row r="8" spans="1:22">
      <c r="A8" s="1" t="s">
        <v>13</v>
      </c>
      <c r="B8" s="6">
        <v>0</v>
      </c>
      <c r="C8" s="1">
        <v>6279156.7768153306</v>
      </c>
      <c r="D8" s="1">
        <v>0</v>
      </c>
      <c r="E8" s="1">
        <v>0</v>
      </c>
      <c r="F8" s="1">
        <v>0</v>
      </c>
      <c r="G8" s="9">
        <f>SUM(AZ_FINANCIAL)</f>
        <v>6279156.7768153306</v>
      </c>
      <c r="I8" s="13" t="s">
        <v>14</v>
      </c>
      <c r="J8" s="16"/>
      <c r="L8" s="6"/>
      <c r="V8" s="9"/>
    </row>
    <row r="9" spans="1:22">
      <c r="A9" s="1" t="s">
        <v>15</v>
      </c>
      <c r="B9" s="6">
        <v>0</v>
      </c>
      <c r="C9" s="1">
        <v>3605409.8907665219</v>
      </c>
      <c r="D9" s="1">
        <v>0</v>
      </c>
      <c r="E9" s="1">
        <v>0</v>
      </c>
      <c r="F9" s="1">
        <v>0</v>
      </c>
      <c r="G9" s="9">
        <f>SUM(AR_FINANCIAL)</f>
        <v>3605409.8907665219</v>
      </c>
      <c r="I9" s="13"/>
      <c r="J9" s="16"/>
      <c r="L9" s="6"/>
      <c r="V9" s="9"/>
    </row>
    <row r="10" spans="1:22">
      <c r="A10" s="1" t="s">
        <v>16</v>
      </c>
      <c r="B10" s="6">
        <v>0</v>
      </c>
      <c r="C10" s="1">
        <v>0</v>
      </c>
      <c r="D10" s="1">
        <v>0</v>
      </c>
      <c r="E10" s="1">
        <v>0</v>
      </c>
      <c r="F10" s="1">
        <v>0</v>
      </c>
      <c r="G10" s="9">
        <f>SUM(CA_FINANCIAL)</f>
        <v>0</v>
      </c>
      <c r="I10" s="13" t="s">
        <v>17</v>
      </c>
      <c r="J10" s="16">
        <v>469244803.90501571</v>
      </c>
      <c r="L10" s="6"/>
      <c r="V10" s="9"/>
    </row>
    <row r="11" spans="1:22">
      <c r="A11" s="1" t="s">
        <v>18</v>
      </c>
      <c r="B11" s="6">
        <v>0</v>
      </c>
      <c r="C11" s="1">
        <v>2068172.4666661876</v>
      </c>
      <c r="D11" s="1">
        <v>0</v>
      </c>
      <c r="E11" s="1">
        <v>0</v>
      </c>
      <c r="F11" s="1">
        <v>0</v>
      </c>
      <c r="G11" s="9">
        <f>SUM(CO_FINANCIAL)</f>
        <v>2068172.4666661876</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377331.88547443511</v>
      </c>
      <c r="D13" s="1">
        <v>0</v>
      </c>
      <c r="E13" s="1">
        <v>0</v>
      </c>
      <c r="F13" s="1">
        <v>0</v>
      </c>
      <c r="G13" s="9">
        <f>SUM(DE_FINANCIAL)</f>
        <v>377331.88547443511</v>
      </c>
      <c r="I13" s="13" t="s">
        <v>22</v>
      </c>
      <c r="J13" s="16">
        <v>0</v>
      </c>
      <c r="L13" s="6"/>
      <c r="V13" s="9"/>
    </row>
    <row r="14" spans="1:22">
      <c r="A14" s="1" t="s">
        <v>23</v>
      </c>
      <c r="B14" s="6">
        <v>0</v>
      </c>
      <c r="C14" s="1">
        <v>183473.70748570346</v>
      </c>
      <c r="D14" s="1">
        <v>0</v>
      </c>
      <c r="E14" s="1">
        <v>0</v>
      </c>
      <c r="F14" s="1">
        <v>0</v>
      </c>
      <c r="G14" s="9">
        <f>SUM(DC_FINANCIAL)</f>
        <v>183473.70748570346</v>
      </c>
      <c r="I14" s="13" t="s">
        <v>24</v>
      </c>
      <c r="J14" s="16">
        <v>0</v>
      </c>
      <c r="L14" s="6"/>
      <c r="V14" s="9"/>
    </row>
    <row r="15" spans="1:22">
      <c r="A15" s="1" t="s">
        <v>25</v>
      </c>
      <c r="B15" s="6">
        <v>0</v>
      </c>
      <c r="C15" s="1">
        <v>53701972.132296436</v>
      </c>
      <c r="D15" s="1">
        <v>0</v>
      </c>
      <c r="E15" s="1">
        <v>0</v>
      </c>
      <c r="F15" s="1">
        <v>0</v>
      </c>
      <c r="G15" s="9">
        <f>SUM(FL_FINANCIAL)</f>
        <v>53701972.132296436</v>
      </c>
      <c r="I15" s="13" t="s">
        <v>26</v>
      </c>
      <c r="J15" s="16">
        <v>2433583.0000000005</v>
      </c>
      <c r="L15" s="6"/>
      <c r="V15" s="9"/>
    </row>
    <row r="16" spans="1:22">
      <c r="A16" s="1" t="s">
        <v>27</v>
      </c>
      <c r="B16" s="6">
        <v>0</v>
      </c>
      <c r="C16" s="1">
        <v>8402356.4167485256</v>
      </c>
      <c r="D16" s="1">
        <v>0</v>
      </c>
      <c r="E16" s="1">
        <v>0</v>
      </c>
      <c r="F16" s="1">
        <v>0</v>
      </c>
      <c r="G16" s="9">
        <f>SUM(GA_FINANCIAL)</f>
        <v>8402356.4167485256</v>
      </c>
      <c r="I16" s="13" t="s">
        <v>28</v>
      </c>
      <c r="J16" s="16">
        <v>319244803.90501583</v>
      </c>
      <c r="L16" s="6"/>
      <c r="V16" s="9"/>
    </row>
    <row r="17" spans="1:22">
      <c r="A17" s="1" t="s">
        <v>29</v>
      </c>
      <c r="B17" s="6">
        <v>0</v>
      </c>
      <c r="C17" s="1">
        <v>293469.89018127311</v>
      </c>
      <c r="D17" s="1">
        <v>0</v>
      </c>
      <c r="E17" s="1">
        <v>0</v>
      </c>
      <c r="F17" s="1">
        <v>0</v>
      </c>
      <c r="G17" s="9">
        <f>SUM(HI_FINANCIAL)</f>
        <v>293469.89018127311</v>
      </c>
      <c r="I17" s="13"/>
      <c r="J17" s="16"/>
      <c r="L17" s="6"/>
      <c r="V17" s="9"/>
    </row>
    <row r="18" spans="1:22">
      <c r="A18" s="1" t="s">
        <v>30</v>
      </c>
      <c r="B18" s="6">
        <v>0</v>
      </c>
      <c r="C18" s="1">
        <v>1461715.3350743898</v>
      </c>
      <c r="D18" s="1">
        <v>0</v>
      </c>
      <c r="E18" s="1">
        <v>0</v>
      </c>
      <c r="F18" s="1">
        <v>0</v>
      </c>
      <c r="G18" s="9">
        <f>SUM(ID_FINANCIAL)</f>
        <v>1461715.3350743898</v>
      </c>
      <c r="I18" s="13" t="s">
        <v>31</v>
      </c>
      <c r="J18" s="16"/>
      <c r="L18" s="6"/>
      <c r="V18" s="9"/>
    </row>
    <row r="19" spans="1:22">
      <c r="A19" s="1" t="s">
        <v>32</v>
      </c>
      <c r="B19" s="6">
        <v>0</v>
      </c>
      <c r="C19" s="1">
        <v>9330550.0647096708</v>
      </c>
      <c r="D19" s="1">
        <v>0</v>
      </c>
      <c r="E19" s="1">
        <v>0</v>
      </c>
      <c r="F19" s="1">
        <v>0</v>
      </c>
      <c r="G19" s="9">
        <f>SUM(IL_FINANCIAL)</f>
        <v>9330550.0647096708</v>
      </c>
      <c r="I19" s="13" t="s">
        <v>33</v>
      </c>
      <c r="J19" s="16">
        <v>150000000.00000003</v>
      </c>
      <c r="L19" s="6"/>
      <c r="V19" s="9"/>
    </row>
    <row r="20" spans="1:22">
      <c r="A20" s="1" t="s">
        <v>34</v>
      </c>
      <c r="B20" s="6">
        <v>0</v>
      </c>
      <c r="C20" s="1">
        <v>14037810.319701055</v>
      </c>
      <c r="D20" s="1">
        <v>0</v>
      </c>
      <c r="E20" s="1">
        <v>0</v>
      </c>
      <c r="F20" s="1">
        <v>0</v>
      </c>
      <c r="G20" s="9">
        <f>SUM(IN_FINANCIAL)</f>
        <v>14037810.319701055</v>
      </c>
      <c r="I20" s="13" t="s">
        <v>35</v>
      </c>
      <c r="J20" s="16">
        <v>319244803.90501583</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6992407.8605671348</v>
      </c>
      <c r="D22" s="1">
        <v>0</v>
      </c>
      <c r="E22" s="1">
        <v>0</v>
      </c>
      <c r="F22" s="1">
        <v>0</v>
      </c>
      <c r="G22" s="9">
        <f>SUM(KS_FINANCIAL)</f>
        <v>6992407.8605671348</v>
      </c>
      <c r="I22" s="13" t="s">
        <v>39</v>
      </c>
      <c r="J22" s="16">
        <v>0</v>
      </c>
      <c r="L22" s="6"/>
      <c r="V22" s="9"/>
    </row>
    <row r="23" spans="1:22">
      <c r="A23" s="1" t="s">
        <v>40</v>
      </c>
      <c r="B23" s="6">
        <v>0</v>
      </c>
      <c r="C23" s="1">
        <v>20766771.447087303</v>
      </c>
      <c r="D23" s="1">
        <v>0</v>
      </c>
      <c r="E23" s="1">
        <v>0</v>
      </c>
      <c r="F23" s="1">
        <v>0</v>
      </c>
      <c r="G23" s="9">
        <f>SUM(KY_FINANCIAL)</f>
        <v>20766771.447087303</v>
      </c>
      <c r="I23" s="13" t="s">
        <v>41</v>
      </c>
      <c r="J23" s="16"/>
      <c r="L23" s="6"/>
      <c r="V23" s="9"/>
    </row>
    <row r="24" spans="1:22">
      <c r="A24" s="1" t="s">
        <v>42</v>
      </c>
      <c r="B24" s="6">
        <v>0</v>
      </c>
      <c r="C24" s="1">
        <v>5223828.587357006</v>
      </c>
      <c r="D24" s="1">
        <v>0</v>
      </c>
      <c r="E24" s="1">
        <v>0</v>
      </c>
      <c r="F24" s="1">
        <v>0</v>
      </c>
      <c r="G24" s="9">
        <f>SUM(LA_FINANCIAL)</f>
        <v>5223828.587357006</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3968775.1118867369</v>
      </c>
      <c r="D26" s="1">
        <v>0</v>
      </c>
      <c r="E26" s="1">
        <v>0</v>
      </c>
      <c r="F26" s="1">
        <v>0</v>
      </c>
      <c r="G26" s="9">
        <f>SUM(MD_FINANCIAL)</f>
        <v>3968775.1118867369</v>
      </c>
      <c r="I26" s="13" t="s">
        <v>46</v>
      </c>
      <c r="J26" s="16">
        <f>SUM(ADD_FINANCIAL)-SUM(LESS_FINANCIAL)</f>
        <v>321678386.90501571</v>
      </c>
      <c r="L26" s="6"/>
      <c r="V26" s="9"/>
    </row>
    <row r="27" spans="1:22">
      <c r="A27" s="1" t="s">
        <v>47</v>
      </c>
      <c r="B27" s="6">
        <v>0</v>
      </c>
      <c r="C27" s="1">
        <v>0</v>
      </c>
      <c r="D27" s="1">
        <v>0</v>
      </c>
      <c r="E27" s="1">
        <v>0</v>
      </c>
      <c r="F27" s="1">
        <v>0</v>
      </c>
      <c r="G27" s="9">
        <f>SUM(MA_FINANCIAL)</f>
        <v>0</v>
      </c>
      <c r="I27" s="13" t="s">
        <v>48</v>
      </c>
      <c r="J27" s="16">
        <f>SUM(ALL_BLOCKS)</f>
        <v>321678386.90501571</v>
      </c>
      <c r="L27" s="6"/>
      <c r="V27" s="9"/>
    </row>
    <row r="28" spans="1:22">
      <c r="A28" s="1" t="s">
        <v>49</v>
      </c>
      <c r="B28" s="6">
        <v>0</v>
      </c>
      <c r="C28" s="1">
        <v>7223252.090368364</v>
      </c>
      <c r="D28" s="1">
        <v>0</v>
      </c>
      <c r="E28" s="1">
        <v>0</v>
      </c>
      <c r="F28" s="1">
        <v>0</v>
      </c>
      <c r="G28" s="9">
        <f>SUM(MI_FINANCIAL)</f>
        <v>7223252.090368364</v>
      </c>
      <c r="I28" s="14"/>
      <c r="J28" s="17"/>
      <c r="L28" s="6"/>
      <c r="V28" s="9"/>
    </row>
    <row r="29" spans="1:22">
      <c r="A29" s="1" t="s">
        <v>50</v>
      </c>
      <c r="B29" s="6">
        <v>0</v>
      </c>
      <c r="C29" s="1">
        <v>3034425.7664372483</v>
      </c>
      <c r="D29" s="1">
        <v>0</v>
      </c>
      <c r="E29" s="1">
        <v>0</v>
      </c>
      <c r="F29" s="1">
        <v>0</v>
      </c>
      <c r="G29" s="9">
        <f>SUM(MN_FINANCIAL)</f>
        <v>3034425.7664372483</v>
      </c>
      <c r="L29" s="6"/>
      <c r="V29" s="9"/>
    </row>
    <row r="30" spans="1:22">
      <c r="A30" s="1" t="s">
        <v>51</v>
      </c>
      <c r="B30" s="6">
        <v>0</v>
      </c>
      <c r="C30" s="1">
        <v>2648876.5014065714</v>
      </c>
      <c r="D30" s="1">
        <v>0</v>
      </c>
      <c r="E30" s="1">
        <v>0</v>
      </c>
      <c r="F30" s="1">
        <v>0</v>
      </c>
      <c r="G30" s="9">
        <f>SUM(MS_FINANCIAL)</f>
        <v>2648876.5014065714</v>
      </c>
      <c r="L30" s="6"/>
      <c r="V30" s="9"/>
    </row>
    <row r="31" spans="1:22">
      <c r="A31" s="1" t="s">
        <v>52</v>
      </c>
      <c r="B31" s="6">
        <v>0</v>
      </c>
      <c r="C31" s="1">
        <v>8536416.8935866002</v>
      </c>
      <c r="D31" s="1">
        <v>0</v>
      </c>
      <c r="E31" s="1">
        <v>0</v>
      </c>
      <c r="F31" s="1">
        <v>0</v>
      </c>
      <c r="G31" s="9">
        <f>SUM(MO_FINANCIAL)</f>
        <v>8536416.8935866002</v>
      </c>
      <c r="L31" s="6"/>
      <c r="V31" s="9"/>
    </row>
    <row r="32" spans="1:22">
      <c r="A32" s="1" t="s">
        <v>53</v>
      </c>
      <c r="B32" s="6">
        <v>0</v>
      </c>
      <c r="C32" s="1">
        <v>158878.95109241788</v>
      </c>
      <c r="D32" s="1">
        <v>0</v>
      </c>
      <c r="E32" s="1">
        <v>0</v>
      </c>
      <c r="F32" s="1">
        <v>0</v>
      </c>
      <c r="G32" s="9">
        <f>SUM(MT_FINANCIAL)</f>
        <v>158878.95109241788</v>
      </c>
      <c r="L32" s="6"/>
      <c r="V32" s="9"/>
    </row>
    <row r="33" spans="1:22">
      <c r="A33" s="1" t="s">
        <v>54</v>
      </c>
      <c r="B33" s="6">
        <v>0</v>
      </c>
      <c r="C33" s="1">
        <v>3877351.4133977131</v>
      </c>
      <c r="D33" s="1">
        <v>0</v>
      </c>
      <c r="E33" s="1">
        <v>0</v>
      </c>
      <c r="F33" s="1">
        <v>0</v>
      </c>
      <c r="G33" s="9">
        <f>SUM(NE_FINANCIAL)</f>
        <v>3877351.4133977131</v>
      </c>
      <c r="L33" s="6"/>
      <c r="V33" s="9"/>
    </row>
    <row r="34" spans="1:22">
      <c r="A34" s="1" t="s">
        <v>55</v>
      </c>
      <c r="B34" s="6">
        <v>0</v>
      </c>
      <c r="C34" s="1">
        <v>1419787.2307444289</v>
      </c>
      <c r="D34" s="1">
        <v>0</v>
      </c>
      <c r="E34" s="1">
        <v>0</v>
      </c>
      <c r="F34" s="1">
        <v>0</v>
      </c>
      <c r="G34" s="9">
        <f>SUM(NV_FINANCIAL)</f>
        <v>1419787.2307444289</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1175209.2986165013</v>
      </c>
      <c r="D37" s="1">
        <v>0</v>
      </c>
      <c r="E37" s="1">
        <v>0</v>
      </c>
      <c r="F37" s="1">
        <v>0</v>
      </c>
      <c r="G37" s="9">
        <f>SUM(NM_FINANCIAL)</f>
        <v>1175209.2986165013</v>
      </c>
      <c r="L37" s="6"/>
      <c r="V37" s="9"/>
    </row>
    <row r="38" spans="1:22">
      <c r="A38" s="1" t="s">
        <v>59</v>
      </c>
      <c r="B38" s="6">
        <v>0</v>
      </c>
      <c r="C38" s="1">
        <v>0</v>
      </c>
      <c r="D38" s="1">
        <v>0</v>
      </c>
      <c r="E38" s="1">
        <v>0</v>
      </c>
      <c r="F38" s="1">
        <v>0</v>
      </c>
      <c r="G38" s="9">
        <f>SUM(NY_FINANCIAL)</f>
        <v>0</v>
      </c>
      <c r="L38" s="6"/>
      <c r="V38" s="9"/>
    </row>
    <row r="39" spans="1:22">
      <c r="A39" s="1" t="s">
        <v>60</v>
      </c>
      <c r="B39" s="6">
        <v>0</v>
      </c>
      <c r="C39" s="1">
        <v>10864227.157473108</v>
      </c>
      <c r="D39" s="1">
        <v>0</v>
      </c>
      <c r="E39" s="1">
        <v>0</v>
      </c>
      <c r="F39" s="1">
        <v>0</v>
      </c>
      <c r="G39" s="9">
        <f>SUM(NC_FINANCIAL)</f>
        <v>10864227.157473108</v>
      </c>
      <c r="L39" s="6"/>
      <c r="V39" s="9"/>
    </row>
    <row r="40" spans="1:22">
      <c r="A40" s="1" t="s">
        <v>61</v>
      </c>
      <c r="B40" s="6">
        <v>0</v>
      </c>
      <c r="C40" s="1">
        <v>5905996.6181370933</v>
      </c>
      <c r="D40" s="1">
        <v>0</v>
      </c>
      <c r="E40" s="1">
        <v>0</v>
      </c>
      <c r="F40" s="1">
        <v>0</v>
      </c>
      <c r="G40" s="9">
        <f>SUM(ND_FINANCIAL)</f>
        <v>5905996.6181370933</v>
      </c>
      <c r="L40" s="6"/>
      <c r="V40" s="9"/>
    </row>
    <row r="41" spans="1:22">
      <c r="A41" s="1" t="s">
        <v>62</v>
      </c>
      <c r="B41" s="6">
        <v>0</v>
      </c>
      <c r="C41" s="1">
        <v>10445118.575847734</v>
      </c>
      <c r="D41" s="1">
        <v>0</v>
      </c>
      <c r="E41" s="1">
        <v>0</v>
      </c>
      <c r="F41" s="1">
        <v>0</v>
      </c>
      <c r="G41" s="9">
        <f>SUM(OH_FINANCIAL)</f>
        <v>10445118.575847734</v>
      </c>
      <c r="L41" s="6"/>
      <c r="V41" s="9"/>
    </row>
    <row r="42" spans="1:22">
      <c r="A42" s="1" t="s">
        <v>63</v>
      </c>
      <c r="B42" s="6">
        <v>0</v>
      </c>
      <c r="C42" s="1">
        <v>2954781.2953551672</v>
      </c>
      <c r="D42" s="1">
        <v>0</v>
      </c>
      <c r="E42" s="1">
        <v>0</v>
      </c>
      <c r="F42" s="1">
        <v>0</v>
      </c>
      <c r="G42" s="9">
        <f>SUM(OK_FINANCIAL)</f>
        <v>2954781.2953551672</v>
      </c>
      <c r="L42" s="6"/>
      <c r="V42" s="9"/>
    </row>
    <row r="43" spans="1:22">
      <c r="A43" s="1" t="s">
        <v>64</v>
      </c>
      <c r="B43" s="6">
        <v>0</v>
      </c>
      <c r="C43" s="1">
        <v>0</v>
      </c>
      <c r="D43" s="1">
        <v>0</v>
      </c>
      <c r="E43" s="1">
        <v>0</v>
      </c>
      <c r="F43" s="1">
        <v>0</v>
      </c>
      <c r="G43" s="9">
        <f>SUM(OR_FINANCIAL)</f>
        <v>0</v>
      </c>
      <c r="L43" s="6"/>
      <c r="V43" s="9"/>
    </row>
    <row r="44" spans="1:22">
      <c r="A44" s="1" t="s">
        <v>65</v>
      </c>
      <c r="B44" s="6">
        <v>0</v>
      </c>
      <c r="C44" s="1">
        <v>13142284.15360426</v>
      </c>
      <c r="D44" s="1">
        <v>0</v>
      </c>
      <c r="E44" s="1">
        <v>0</v>
      </c>
      <c r="F44" s="1">
        <v>0</v>
      </c>
      <c r="G44" s="9">
        <f>SUM(PA_FINANCIAL)</f>
        <v>13142284.15360426</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6604719.0886147358</v>
      </c>
      <c r="D47" s="1">
        <v>0</v>
      </c>
      <c r="E47" s="1">
        <v>0</v>
      </c>
      <c r="F47" s="1">
        <v>0</v>
      </c>
      <c r="G47" s="9">
        <f>SUM(SC_FINANCIAL)</f>
        <v>6604719.0886147358</v>
      </c>
      <c r="L47" s="6">
        <v>0</v>
      </c>
      <c r="M47" s="1">
        <v>0</v>
      </c>
      <c r="O47" s="1">
        <v>0</v>
      </c>
      <c r="P47" s="1">
        <v>0</v>
      </c>
      <c r="R47" s="1">
        <v>0</v>
      </c>
      <c r="S47" s="1">
        <v>0</v>
      </c>
      <c r="U47" s="1">
        <v>0</v>
      </c>
      <c r="V47" s="9">
        <v>0</v>
      </c>
    </row>
    <row r="48" spans="1:22">
      <c r="A48" s="1" t="s">
        <v>69</v>
      </c>
      <c r="B48" s="6">
        <v>0</v>
      </c>
      <c r="C48" s="1">
        <v>1842968.1513190717</v>
      </c>
      <c r="D48" s="1">
        <v>0</v>
      </c>
      <c r="E48" s="1">
        <v>0</v>
      </c>
      <c r="F48" s="1">
        <v>0</v>
      </c>
      <c r="G48" s="9">
        <f>SUM(SD_FINANCIAL)</f>
        <v>1842968.1513190717</v>
      </c>
      <c r="L48" s="6"/>
      <c r="V48" s="9"/>
    </row>
    <row r="49" spans="1:22">
      <c r="A49" s="1" t="s">
        <v>70</v>
      </c>
      <c r="B49" s="6">
        <v>0</v>
      </c>
      <c r="C49" s="1">
        <v>21604464.821806706</v>
      </c>
      <c r="D49" s="1">
        <v>0</v>
      </c>
      <c r="E49" s="1">
        <v>0</v>
      </c>
      <c r="F49" s="1">
        <v>0</v>
      </c>
      <c r="G49" s="9">
        <f>SUM(TN_FINANCIAL)</f>
        <v>21604464.821806706</v>
      </c>
      <c r="L49" s="6"/>
      <c r="V49" s="9"/>
    </row>
    <row r="50" spans="1:22">
      <c r="A50" s="1" t="s">
        <v>71</v>
      </c>
      <c r="B50" s="6">
        <v>0</v>
      </c>
      <c r="C50" s="1">
        <v>35380311.839093566</v>
      </c>
      <c r="D50" s="1">
        <v>0</v>
      </c>
      <c r="E50" s="1">
        <v>0</v>
      </c>
      <c r="F50" s="1">
        <v>0</v>
      </c>
      <c r="G50" s="9">
        <f>SUM(TX_FINANCIAL)</f>
        <v>35380311.839093566</v>
      </c>
      <c r="L50" s="6"/>
      <c r="V50" s="9"/>
    </row>
    <row r="51" spans="1:22">
      <c r="A51" s="1" t="s">
        <v>72</v>
      </c>
      <c r="B51" s="6">
        <v>0</v>
      </c>
      <c r="C51" s="1">
        <v>19077091.671632256</v>
      </c>
      <c r="D51" s="1">
        <v>0</v>
      </c>
      <c r="E51" s="1">
        <v>0</v>
      </c>
      <c r="F51" s="1">
        <v>0</v>
      </c>
      <c r="G51" s="9">
        <f>SUM(UT_FINANCIAL)</f>
        <v>19077091.671632256</v>
      </c>
      <c r="L51" s="6"/>
      <c r="V51" s="9"/>
    </row>
    <row r="52" spans="1:22">
      <c r="A52" s="1" t="s">
        <v>73</v>
      </c>
      <c r="B52" s="6">
        <v>0</v>
      </c>
      <c r="C52" s="1">
        <v>0</v>
      </c>
      <c r="D52" s="1">
        <v>0</v>
      </c>
      <c r="E52" s="1">
        <v>0</v>
      </c>
      <c r="F52" s="1">
        <v>0</v>
      </c>
      <c r="G52" s="9">
        <f>SUM(VT_FINANCIAL)</f>
        <v>0</v>
      </c>
      <c r="L52" s="6"/>
      <c r="V52" s="9"/>
    </row>
    <row r="53" spans="1:22">
      <c r="A53" s="1" t="s">
        <v>74</v>
      </c>
      <c r="B53" s="6">
        <v>0</v>
      </c>
      <c r="C53" s="1">
        <v>7602645.0691246549</v>
      </c>
      <c r="D53" s="1">
        <v>0</v>
      </c>
      <c r="E53" s="1">
        <v>0</v>
      </c>
      <c r="F53" s="1">
        <v>0</v>
      </c>
      <c r="G53" s="9">
        <f>SUM(VA_FINANCIAL)</f>
        <v>7602645.0691246549</v>
      </c>
      <c r="L53" s="6"/>
      <c r="V53" s="9"/>
    </row>
    <row r="54" spans="1:22">
      <c r="A54" s="1" t="s">
        <v>75</v>
      </c>
      <c r="B54" s="6">
        <v>0</v>
      </c>
      <c r="C54" s="1">
        <v>16024932.860462632</v>
      </c>
      <c r="D54" s="1">
        <v>0</v>
      </c>
      <c r="E54" s="1">
        <v>0</v>
      </c>
      <c r="F54" s="1">
        <v>0</v>
      </c>
      <c r="G54" s="9">
        <f>SUM(WA_FINANCIAL)</f>
        <v>16024932.860462632</v>
      </c>
      <c r="L54" s="6"/>
      <c r="V54" s="9"/>
    </row>
    <row r="55" spans="1:22">
      <c r="A55" s="1" t="s">
        <v>76</v>
      </c>
      <c r="B55" s="6">
        <v>0</v>
      </c>
      <c r="C55" s="1">
        <v>1818053.7948614154</v>
      </c>
      <c r="D55" s="1">
        <v>0</v>
      </c>
      <c r="E55" s="1">
        <v>0</v>
      </c>
      <c r="F55" s="1">
        <v>0</v>
      </c>
      <c r="G55" s="9">
        <f>SUM(WV_FINANCIAL)</f>
        <v>1818053.7948614154</v>
      </c>
      <c r="L55" s="6"/>
      <c r="V55" s="9"/>
    </row>
    <row r="56" spans="1:22">
      <c r="A56" s="1" t="s">
        <v>77</v>
      </c>
      <c r="B56" s="6">
        <v>0</v>
      </c>
      <c r="C56" s="1">
        <v>0</v>
      </c>
      <c r="D56" s="1">
        <v>0</v>
      </c>
      <c r="E56" s="1">
        <v>0</v>
      </c>
      <c r="F56" s="1">
        <v>0</v>
      </c>
      <c r="G56" s="9">
        <f>SUM(WI_FINANCIAL)</f>
        <v>0</v>
      </c>
      <c r="L56" s="6"/>
      <c r="V56" s="9"/>
    </row>
    <row r="57" spans="1:22">
      <c r="A57" s="1" t="s">
        <v>78</v>
      </c>
      <c r="B57" s="6">
        <v>0</v>
      </c>
      <c r="C57" s="1">
        <v>988406.68516877957</v>
      </c>
      <c r="D57" s="1">
        <v>0</v>
      </c>
      <c r="E57" s="1">
        <v>0</v>
      </c>
      <c r="F57" s="1">
        <v>0</v>
      </c>
      <c r="G57" s="9">
        <f>SUM(WY_FINANCIAL)</f>
        <v>988406.68516877957</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321678386.90501571</v>
      </c>
      <c r="D60" s="1">
        <f>SUM(HEALTH)</f>
        <v>0</v>
      </c>
      <c r="E60" s="1">
        <f>SUM(UNALLOCATED)</f>
        <v>0</v>
      </c>
      <c r="F60" s="1">
        <f>SUM(LTC)</f>
        <v>0</v>
      </c>
      <c r="G60" s="9">
        <f>SUM(ALL_BLOCKS)</f>
        <v>321678386.90501571</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94</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36428.174697515737</v>
      </c>
      <c r="E6" s="1">
        <v>0</v>
      </c>
      <c r="F6" s="1">
        <v>0</v>
      </c>
      <c r="G6" s="9">
        <f>SUM(AL_FINANCIAL)</f>
        <v>36428.174697515737</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43059.278464134957</v>
      </c>
      <c r="E8" s="1">
        <v>0</v>
      </c>
      <c r="F8" s="1">
        <v>0</v>
      </c>
      <c r="G8" s="9">
        <f>SUM(AZ_FINANCIAL)</f>
        <v>43059.278464134957</v>
      </c>
      <c r="I8" s="13" t="s">
        <v>14</v>
      </c>
      <c r="J8" s="16"/>
      <c r="L8" s="6"/>
      <c r="V8" s="9"/>
    </row>
    <row r="9" spans="1:22">
      <c r="A9" s="1" t="s">
        <v>15</v>
      </c>
      <c r="B9" s="6">
        <v>10582.577602051215</v>
      </c>
      <c r="C9" s="1">
        <v>0</v>
      </c>
      <c r="D9" s="1">
        <v>1716389.6634682189</v>
      </c>
      <c r="E9" s="1">
        <v>0</v>
      </c>
      <c r="F9" s="1">
        <v>0</v>
      </c>
      <c r="G9" s="9">
        <f>SUM(AR_FINANCIAL)</f>
        <v>1726972.2410702701</v>
      </c>
      <c r="I9" s="13"/>
      <c r="J9" s="16"/>
      <c r="L9" s="6">
        <v>0</v>
      </c>
      <c r="M9" s="1">
        <v>0</v>
      </c>
      <c r="O9" s="1">
        <v>0</v>
      </c>
      <c r="P9" s="1">
        <v>0</v>
      </c>
      <c r="R9" s="1">
        <v>3284134</v>
      </c>
      <c r="S9" s="1">
        <v>0</v>
      </c>
      <c r="U9" s="1">
        <v>0</v>
      </c>
      <c r="V9" s="9">
        <v>0</v>
      </c>
    </row>
    <row r="10" spans="1:22">
      <c r="A10" s="1" t="s">
        <v>16</v>
      </c>
      <c r="B10" s="6">
        <v>0</v>
      </c>
      <c r="C10" s="1">
        <v>0</v>
      </c>
      <c r="D10" s="1">
        <v>0</v>
      </c>
      <c r="E10" s="1">
        <v>0</v>
      </c>
      <c r="F10" s="1">
        <v>0</v>
      </c>
      <c r="G10" s="9">
        <f>SUM(CA_FINANCIAL)</f>
        <v>0</v>
      </c>
      <c r="I10" s="13" t="s">
        <v>17</v>
      </c>
      <c r="J10" s="16">
        <v>51277703.869999968</v>
      </c>
      <c r="L10" s="6"/>
      <c r="V10" s="9"/>
    </row>
    <row r="11" spans="1:22">
      <c r="A11" s="1" t="s">
        <v>18</v>
      </c>
      <c r="B11" s="6">
        <v>0</v>
      </c>
      <c r="C11" s="1">
        <v>0</v>
      </c>
      <c r="D11" s="1">
        <v>55823.737676768462</v>
      </c>
      <c r="E11" s="1">
        <v>0</v>
      </c>
      <c r="F11" s="1">
        <v>0</v>
      </c>
      <c r="G11" s="9">
        <f>SUM(CO_FINANCIAL)</f>
        <v>55823.737676768462</v>
      </c>
      <c r="I11" s="13"/>
      <c r="J11" s="16"/>
      <c r="L11" s="6">
        <v>0</v>
      </c>
      <c r="M11" s="1">
        <v>0</v>
      </c>
      <c r="O11" s="1">
        <v>0</v>
      </c>
      <c r="P11" s="1">
        <v>0</v>
      </c>
      <c r="R11" s="1">
        <v>106857</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51277703.869999968</v>
      </c>
      <c r="L13" s="6"/>
      <c r="V13" s="9"/>
    </row>
    <row r="14" spans="1:22">
      <c r="A14" s="1" t="s">
        <v>23</v>
      </c>
      <c r="B14" s="6">
        <v>0</v>
      </c>
      <c r="C14" s="1">
        <v>0</v>
      </c>
      <c r="D14" s="1">
        <v>0</v>
      </c>
      <c r="E14" s="1">
        <v>0</v>
      </c>
      <c r="F14" s="1">
        <v>0</v>
      </c>
      <c r="G14" s="9">
        <f>SUM(DC_FINANCIAL)</f>
        <v>0</v>
      </c>
      <c r="I14" s="13" t="s">
        <v>24</v>
      </c>
      <c r="J14" s="16">
        <v>1055443.5100000002</v>
      </c>
      <c r="L14" s="6"/>
      <c r="V14" s="9"/>
    </row>
    <row r="15" spans="1:22">
      <c r="A15" s="1" t="s">
        <v>25</v>
      </c>
      <c r="B15" s="6">
        <v>0</v>
      </c>
      <c r="C15" s="1">
        <v>0</v>
      </c>
      <c r="D15" s="1">
        <v>0</v>
      </c>
      <c r="E15" s="1">
        <v>0</v>
      </c>
      <c r="F15" s="1">
        <v>0</v>
      </c>
      <c r="G15" s="9">
        <f>SUM(FL_FINANCIAL)</f>
        <v>0</v>
      </c>
      <c r="I15" s="13" t="s">
        <v>26</v>
      </c>
      <c r="J15" s="16">
        <v>1015019.9099999998</v>
      </c>
      <c r="L15" s="6"/>
      <c r="V15" s="9"/>
    </row>
    <row r="16" spans="1:22">
      <c r="A16" s="1" t="s">
        <v>27</v>
      </c>
      <c r="B16" s="6">
        <v>0</v>
      </c>
      <c r="C16" s="1">
        <v>0</v>
      </c>
      <c r="D16" s="1">
        <v>1806208.4180910168</v>
      </c>
      <c r="E16" s="1">
        <v>0</v>
      </c>
      <c r="F16" s="1">
        <v>0</v>
      </c>
      <c r="G16" s="9">
        <f>SUM(GA_FINANCIAL)</f>
        <v>1806208.4180910168</v>
      </c>
      <c r="I16" s="13" t="s">
        <v>28</v>
      </c>
      <c r="J16" s="16">
        <v>0</v>
      </c>
      <c r="L16" s="6">
        <v>0</v>
      </c>
      <c r="M16" s="1">
        <v>0</v>
      </c>
      <c r="O16" s="1">
        <v>0</v>
      </c>
      <c r="P16" s="1">
        <v>0</v>
      </c>
      <c r="R16" s="1">
        <v>1957882</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2669.4134667182661</v>
      </c>
      <c r="E18" s="1">
        <v>0</v>
      </c>
      <c r="F18" s="1">
        <v>0</v>
      </c>
      <c r="G18" s="9">
        <f>SUM(ID_FINANCIAL)</f>
        <v>2669.4134667182661</v>
      </c>
      <c r="I18" s="13" t="s">
        <v>31</v>
      </c>
      <c r="J18" s="16"/>
      <c r="L18" s="6">
        <v>0</v>
      </c>
      <c r="M18" s="1">
        <v>0</v>
      </c>
      <c r="O18" s="1">
        <v>0</v>
      </c>
      <c r="P18" s="1">
        <v>0</v>
      </c>
      <c r="R18" s="1">
        <v>13000</v>
      </c>
      <c r="S18" s="1">
        <v>0</v>
      </c>
      <c r="U18" s="1">
        <v>0</v>
      </c>
      <c r="V18" s="9">
        <v>0</v>
      </c>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10050563.41584296</v>
      </c>
      <c r="E20" s="1">
        <v>0</v>
      </c>
      <c r="F20" s="1">
        <v>0</v>
      </c>
      <c r="G20" s="9">
        <f>SUM(IN_FINANCIAL)</f>
        <v>10050563.41584296</v>
      </c>
      <c r="I20" s="13" t="s">
        <v>35</v>
      </c>
      <c r="J20" s="16">
        <v>51277703.869999968</v>
      </c>
      <c r="L20" s="6">
        <v>0</v>
      </c>
      <c r="M20" s="1">
        <v>0</v>
      </c>
      <c r="O20" s="1">
        <v>0</v>
      </c>
      <c r="P20" s="1">
        <v>0</v>
      </c>
      <c r="R20" s="1">
        <v>17500000</v>
      </c>
      <c r="S20" s="1">
        <v>0</v>
      </c>
      <c r="U20" s="1">
        <v>0</v>
      </c>
      <c r="V20" s="9">
        <v>0</v>
      </c>
    </row>
    <row r="21" spans="1:22">
      <c r="A21" s="1" t="s">
        <v>36</v>
      </c>
      <c r="B21" s="6">
        <v>0</v>
      </c>
      <c r="C21" s="1">
        <v>0</v>
      </c>
      <c r="D21" s="1">
        <v>98107.055915977733</v>
      </c>
      <c r="E21" s="1">
        <v>0</v>
      </c>
      <c r="F21" s="1">
        <v>0</v>
      </c>
      <c r="G21" s="9">
        <f>SUM(IA_FINANCIAL)</f>
        <v>98107.055915977733</v>
      </c>
      <c r="I21" s="13" t="s">
        <v>37</v>
      </c>
      <c r="J21" s="16"/>
      <c r="L21" s="6"/>
      <c r="V21" s="9"/>
    </row>
    <row r="22" spans="1:22">
      <c r="A22" s="1" t="s">
        <v>38</v>
      </c>
      <c r="B22" s="6">
        <v>0</v>
      </c>
      <c r="C22" s="1">
        <v>0</v>
      </c>
      <c r="D22" s="1">
        <v>920471.76055953407</v>
      </c>
      <c r="E22" s="1">
        <v>0</v>
      </c>
      <c r="F22" s="1">
        <v>0</v>
      </c>
      <c r="G22" s="9">
        <f>SUM(KS_FINANCIAL)</f>
        <v>920471.76055953407</v>
      </c>
      <c r="I22" s="13" t="s">
        <v>39</v>
      </c>
      <c r="J22" s="16">
        <v>0</v>
      </c>
      <c r="L22" s="6">
        <v>0</v>
      </c>
      <c r="M22" s="1">
        <v>0</v>
      </c>
      <c r="O22" s="1">
        <v>0</v>
      </c>
      <c r="P22" s="1">
        <v>0</v>
      </c>
      <c r="R22" s="1">
        <v>1150000</v>
      </c>
      <c r="S22" s="1">
        <v>0</v>
      </c>
      <c r="U22" s="1">
        <v>0</v>
      </c>
      <c r="V22" s="9">
        <v>0</v>
      </c>
    </row>
    <row r="23" spans="1:22">
      <c r="A23" s="1" t="s">
        <v>40</v>
      </c>
      <c r="B23" s="6">
        <v>0</v>
      </c>
      <c r="C23" s="1">
        <v>0</v>
      </c>
      <c r="D23" s="1">
        <v>156163.23530233343</v>
      </c>
      <c r="E23" s="1">
        <v>0</v>
      </c>
      <c r="F23" s="1">
        <v>0</v>
      </c>
      <c r="G23" s="9">
        <f>SUM(KY_FINANCIAL)</f>
        <v>156163.23530233343</v>
      </c>
      <c r="I23" s="13" t="s">
        <v>41</v>
      </c>
      <c r="J23" s="16"/>
      <c r="L23" s="6"/>
      <c r="V23" s="9"/>
    </row>
    <row r="24" spans="1:22">
      <c r="A24" s="1" t="s">
        <v>42</v>
      </c>
      <c r="B24" s="6">
        <v>0</v>
      </c>
      <c r="C24" s="1">
        <v>0</v>
      </c>
      <c r="D24" s="1">
        <v>21873.228267894821</v>
      </c>
      <c r="E24" s="1">
        <v>0</v>
      </c>
      <c r="F24" s="1">
        <v>0</v>
      </c>
      <c r="G24" s="9">
        <f>SUM(LA_FINANCIAL)</f>
        <v>21873.228267894821</v>
      </c>
      <c r="I24" s="13" t="s">
        <v>43</v>
      </c>
      <c r="J24" s="16">
        <v>26900838.999011036</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26447328.290988937</v>
      </c>
      <c r="L26" s="6"/>
      <c r="V26" s="9"/>
    </row>
    <row r="27" spans="1:22">
      <c r="A27" s="1" t="s">
        <v>47</v>
      </c>
      <c r="B27" s="6">
        <v>0</v>
      </c>
      <c r="C27" s="1">
        <v>0</v>
      </c>
      <c r="D27" s="1">
        <v>0</v>
      </c>
      <c r="E27" s="1">
        <v>0</v>
      </c>
      <c r="F27" s="1">
        <v>0</v>
      </c>
      <c r="G27" s="9">
        <f>SUM(MA_FINANCIAL)</f>
        <v>0</v>
      </c>
      <c r="I27" s="13" t="s">
        <v>48</v>
      </c>
      <c r="J27" s="16">
        <f>SUM(ALL_BLOCKS)</f>
        <v>26447328.290988941</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4693.4517244306926</v>
      </c>
      <c r="E30" s="1">
        <v>0</v>
      </c>
      <c r="F30" s="1">
        <v>0</v>
      </c>
      <c r="G30" s="9">
        <f>SUM(MS_FINANCIAL)</f>
        <v>4693.4517244306926</v>
      </c>
      <c r="L30" s="6"/>
      <c r="V30" s="9"/>
    </row>
    <row r="31" spans="1:22">
      <c r="A31" s="1" t="s">
        <v>52</v>
      </c>
      <c r="B31" s="6">
        <v>0</v>
      </c>
      <c r="C31" s="1">
        <v>0</v>
      </c>
      <c r="D31" s="1">
        <v>2747048.3948437632</v>
      </c>
      <c r="E31" s="1">
        <v>0</v>
      </c>
      <c r="F31" s="1">
        <v>0</v>
      </c>
      <c r="G31" s="9">
        <f>SUM(MO_FINANCIAL)</f>
        <v>2747048.3948437632</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2426888.0021896353</v>
      </c>
      <c r="E33" s="1">
        <v>0</v>
      </c>
      <c r="F33" s="1">
        <v>0</v>
      </c>
      <c r="G33" s="9">
        <f>SUM(NE_FINANCIAL)</f>
        <v>2426888.0021896353</v>
      </c>
      <c r="L33" s="6">
        <v>0</v>
      </c>
      <c r="M33" s="1">
        <v>0</v>
      </c>
      <c r="O33" s="1">
        <v>0</v>
      </c>
      <c r="P33" s="1">
        <v>0</v>
      </c>
      <c r="R33" s="1">
        <v>1000000</v>
      </c>
      <c r="S33" s="1">
        <v>0</v>
      </c>
      <c r="U33" s="1">
        <v>0</v>
      </c>
      <c r="V33" s="9">
        <v>0</v>
      </c>
    </row>
    <row r="34" spans="1:22">
      <c r="A34" s="1" t="s">
        <v>55</v>
      </c>
      <c r="B34" s="6">
        <v>-3681.5914833602556</v>
      </c>
      <c r="C34" s="1">
        <v>0</v>
      </c>
      <c r="D34" s="1">
        <v>3168364.7976642824</v>
      </c>
      <c r="E34" s="1">
        <v>0</v>
      </c>
      <c r="F34" s="1">
        <v>0</v>
      </c>
      <c r="G34" s="9">
        <f>SUM(NV_FINANCIAL)</f>
        <v>3164683.2061809222</v>
      </c>
      <c r="L34" s="6">
        <v>0</v>
      </c>
      <c r="M34" s="1">
        <v>0</v>
      </c>
      <c r="O34" s="1">
        <v>0</v>
      </c>
      <c r="P34" s="1">
        <v>0</v>
      </c>
      <c r="R34" s="1">
        <v>10000000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-99491.772587995569</v>
      </c>
      <c r="E37" s="1">
        <v>0</v>
      </c>
      <c r="F37" s="1">
        <v>0</v>
      </c>
      <c r="G37" s="9">
        <f>SUM(NM_FINANCIAL)</f>
        <v>-99491.772587995569</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-382266.11603530648</v>
      </c>
      <c r="E39" s="1">
        <v>0</v>
      </c>
      <c r="F39" s="1">
        <v>0</v>
      </c>
      <c r="G39" s="9">
        <f>SUM(NC_FINANCIAL)</f>
        <v>-382266.11603530648</v>
      </c>
      <c r="L39" s="6"/>
      <c r="V39" s="9"/>
    </row>
    <row r="40" spans="1:22">
      <c r="A40" s="1" t="s">
        <v>61</v>
      </c>
      <c r="B40" s="6">
        <v>0</v>
      </c>
      <c r="C40" s="1">
        <v>0</v>
      </c>
      <c r="D40" s="1">
        <v>631.39529757050332</v>
      </c>
      <c r="E40" s="1">
        <v>0</v>
      </c>
      <c r="F40" s="1">
        <v>0</v>
      </c>
      <c r="G40" s="9">
        <f>SUM(ND_FINANCIAL)</f>
        <v>631.39529757050332</v>
      </c>
      <c r="L40" s="6"/>
      <c r="V40" s="9"/>
    </row>
    <row r="41" spans="1:22">
      <c r="A41" s="1" t="s">
        <v>62</v>
      </c>
      <c r="B41" s="6">
        <v>0</v>
      </c>
      <c r="C41" s="1">
        <v>0</v>
      </c>
      <c r="D41" s="1">
        <v>1902142.6215274963</v>
      </c>
      <c r="E41" s="1">
        <v>0</v>
      </c>
      <c r="F41" s="1">
        <v>0</v>
      </c>
      <c r="G41" s="9">
        <f>SUM(OH_FINANCIAL)</f>
        <v>1902142.6215274963</v>
      </c>
      <c r="L41" s="6">
        <v>0</v>
      </c>
      <c r="M41" s="1">
        <v>0</v>
      </c>
      <c r="O41" s="1">
        <v>0</v>
      </c>
      <c r="P41" s="1">
        <v>0</v>
      </c>
      <c r="R41" s="1">
        <v>1000000</v>
      </c>
      <c r="S41" s="1">
        <v>0</v>
      </c>
      <c r="U41" s="1">
        <v>0</v>
      </c>
      <c r="V41" s="9">
        <v>0</v>
      </c>
    </row>
    <row r="42" spans="1:22">
      <c r="A42" s="1" t="s">
        <v>63</v>
      </c>
      <c r="B42" s="6">
        <v>0</v>
      </c>
      <c r="C42" s="1">
        <v>0</v>
      </c>
      <c r="D42" s="1">
        <v>47328.610999703975</v>
      </c>
      <c r="E42" s="1">
        <v>0</v>
      </c>
      <c r="F42" s="1">
        <v>0</v>
      </c>
      <c r="G42" s="9">
        <f>SUM(OK_FINANCIAL)</f>
        <v>47328.610999703975</v>
      </c>
      <c r="L42" s="6">
        <v>0</v>
      </c>
      <c r="M42" s="1">
        <v>0</v>
      </c>
      <c r="O42" s="1">
        <v>0</v>
      </c>
      <c r="P42" s="1">
        <v>0</v>
      </c>
      <c r="R42" s="1">
        <v>150000</v>
      </c>
      <c r="S42" s="1">
        <v>0</v>
      </c>
      <c r="U42" s="1">
        <v>0</v>
      </c>
      <c r="V42" s="9">
        <v>0</v>
      </c>
    </row>
    <row r="43" spans="1:22">
      <c r="A43" s="1" t="s">
        <v>64</v>
      </c>
      <c r="B43" s="6">
        <v>0</v>
      </c>
      <c r="C43" s="1">
        <v>0</v>
      </c>
      <c r="D43" s="1">
        <v>9597.7793326444516</v>
      </c>
      <c r="E43" s="1">
        <v>0</v>
      </c>
      <c r="F43" s="1">
        <v>0</v>
      </c>
      <c r="G43" s="9">
        <f>SUM(OR_FINANCIAL)</f>
        <v>9597.7793326444516</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-109815.52575597487</v>
      </c>
      <c r="E47" s="1">
        <v>0</v>
      </c>
      <c r="F47" s="1">
        <v>0</v>
      </c>
      <c r="G47" s="9">
        <f>SUM(SC_FINANCIAL)</f>
        <v>-109815.52575597487</v>
      </c>
      <c r="L47" s="6"/>
      <c r="V47" s="9"/>
    </row>
    <row r="48" spans="1:22">
      <c r="A48" s="1" t="s">
        <v>69</v>
      </c>
      <c r="B48" s="6">
        <v>0</v>
      </c>
      <c r="C48" s="1">
        <v>0</v>
      </c>
      <c r="D48" s="1">
        <v>8143.3854024852881</v>
      </c>
      <c r="E48" s="1">
        <v>0</v>
      </c>
      <c r="F48" s="1">
        <v>0</v>
      </c>
      <c r="G48" s="9">
        <f>SUM(SD_FINANCIAL)</f>
        <v>8143.3854024852881</v>
      </c>
      <c r="L48" s="6"/>
      <c r="V48" s="9"/>
    </row>
    <row r="49" spans="1:22">
      <c r="A49" s="1" t="s">
        <v>70</v>
      </c>
      <c r="B49" s="6">
        <v>5296.9490647595803</v>
      </c>
      <c r="C49" s="1">
        <v>0</v>
      </c>
      <c r="D49" s="1">
        <v>1527966.0951160064</v>
      </c>
      <c r="E49" s="1">
        <v>0</v>
      </c>
      <c r="F49" s="1">
        <v>0</v>
      </c>
      <c r="G49" s="9">
        <f>SUM(TN_FINANCIAL)</f>
        <v>1533263.044180766</v>
      </c>
      <c r="L49" s="6">
        <v>0</v>
      </c>
      <c r="M49" s="1">
        <v>0</v>
      </c>
      <c r="O49" s="1">
        <v>0</v>
      </c>
      <c r="P49" s="1">
        <v>0</v>
      </c>
      <c r="R49" s="1">
        <v>2500000</v>
      </c>
      <c r="S49" s="1">
        <v>0</v>
      </c>
      <c r="U49" s="1">
        <v>0</v>
      </c>
      <c r="V49" s="9">
        <v>0</v>
      </c>
    </row>
    <row r="50" spans="1:22">
      <c r="A50" s="1" t="s">
        <v>71</v>
      </c>
      <c r="B50" s="6">
        <v>0</v>
      </c>
      <c r="C50" s="1">
        <v>0</v>
      </c>
      <c r="D50" s="1">
        <v>163550.12781663865</v>
      </c>
      <c r="E50" s="1">
        <v>0</v>
      </c>
      <c r="F50" s="1">
        <v>0</v>
      </c>
      <c r="G50" s="9">
        <f>SUM(TX_FINANCIAL)</f>
        <v>163550.12781663865</v>
      </c>
      <c r="L50" s="6">
        <v>0</v>
      </c>
      <c r="M50" s="1">
        <v>0</v>
      </c>
      <c r="O50" s="1">
        <v>0</v>
      </c>
      <c r="P50" s="1">
        <v>0</v>
      </c>
      <c r="R50" s="1">
        <v>129979</v>
      </c>
      <c r="S50" s="1">
        <v>0</v>
      </c>
      <c r="U50" s="1">
        <v>0</v>
      </c>
      <c r="V50" s="9">
        <v>0</v>
      </c>
    </row>
    <row r="51" spans="1:22">
      <c r="A51" s="1" t="s">
        <v>72</v>
      </c>
      <c r="B51" s="6">
        <v>0</v>
      </c>
      <c r="C51" s="1">
        <v>0</v>
      </c>
      <c r="D51" s="1">
        <v>55102.187376867492</v>
      </c>
      <c r="E51" s="1">
        <v>0</v>
      </c>
      <c r="F51" s="1">
        <v>0</v>
      </c>
      <c r="G51" s="9">
        <f>SUM(UT_FINANCIAL)</f>
        <v>55102.187376867492</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57489.539140166176</v>
      </c>
      <c r="E57" s="1">
        <v>0</v>
      </c>
      <c r="F57" s="1">
        <v>0</v>
      </c>
      <c r="G57" s="9">
        <f>SUM(WY_FINANCIAL)</f>
        <v>57489.539140166176</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12197.93518345054</v>
      </c>
      <c r="C60" s="1">
        <f>SUM(ALLOCATED)</f>
        <v>0</v>
      </c>
      <c r="D60" s="1">
        <f>SUM(HEALTH)</f>
        <v>26435130.35580549</v>
      </c>
      <c r="E60" s="1">
        <f>SUM(UNALLOCATED)</f>
        <v>0</v>
      </c>
      <c r="F60" s="1">
        <f>SUM(LTC)</f>
        <v>0</v>
      </c>
      <c r="G60" s="9">
        <f>SUM(ALL_BLOCKS)</f>
        <v>26447328.290988941</v>
      </c>
      <c r="L60" s="6">
        <f>SUM(LIFE_CALLED)</f>
        <v>0</v>
      </c>
      <c r="M60" s="1">
        <f>SUM(LIFE_REFUNDED)</f>
        <v>0</v>
      </c>
      <c r="O60" s="1">
        <f>SUM(ALLOC_CALLED)</f>
        <v>0</v>
      </c>
      <c r="P60" s="1">
        <f>SUM(ALLOC_REFUNDED)</f>
        <v>0</v>
      </c>
      <c r="R60" s="1">
        <f>SUM(HEALTH_CALLED)</f>
        <v>38791852</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95</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24958266.93641388</v>
      </c>
      <c r="C6" s="1">
        <v>0</v>
      </c>
      <c r="D6" s="1">
        <v>44566.019999998651</v>
      </c>
      <c r="E6" s="1">
        <v>0</v>
      </c>
      <c r="F6" s="1">
        <v>0</v>
      </c>
      <c r="G6" s="9">
        <f>SUM(AL_FINANCIAL)</f>
        <v>25002832.95641388</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30326847.169999998</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8059842.169999999</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4807147.0783098908</v>
      </c>
      <c r="L15" s="6"/>
      <c r="V15" s="9"/>
    </row>
    <row r="16" spans="1:22">
      <c r="A16" s="1" t="s">
        <v>27</v>
      </c>
      <c r="B16" s="6">
        <v>0</v>
      </c>
      <c r="C16" s="1">
        <v>0</v>
      </c>
      <c r="D16" s="1">
        <v>0</v>
      </c>
      <c r="E16" s="1">
        <v>0</v>
      </c>
      <c r="F16" s="1">
        <v>0</v>
      </c>
      <c r="G16" s="9">
        <f>SUM(GA_FINANCIAL)</f>
        <v>0</v>
      </c>
      <c r="I16" s="13" t="s">
        <v>28</v>
      </c>
      <c r="J16" s="16">
        <v>22267005</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30326847.169999998</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9414106.0000000019</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25719888.248309888</v>
      </c>
      <c r="L26" s="6"/>
      <c r="V26" s="9"/>
    </row>
    <row r="27" spans="1:22">
      <c r="A27" s="1" t="s">
        <v>47</v>
      </c>
      <c r="B27" s="6">
        <v>0</v>
      </c>
      <c r="C27" s="1">
        <v>0</v>
      </c>
      <c r="D27" s="1">
        <v>0</v>
      </c>
      <c r="E27" s="1">
        <v>0</v>
      </c>
      <c r="F27" s="1">
        <v>0</v>
      </c>
      <c r="G27" s="9">
        <f>SUM(MA_FINANCIAL)</f>
        <v>0</v>
      </c>
      <c r="I27" s="13" t="s">
        <v>48</v>
      </c>
      <c r="J27" s="16">
        <f>SUM(ALL_BLOCKS)</f>
        <v>25719888.248309892</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717312.54189600982</v>
      </c>
      <c r="C49" s="1">
        <v>0</v>
      </c>
      <c r="D49" s="1">
        <v>-257.2499999999394</v>
      </c>
      <c r="E49" s="1">
        <v>0</v>
      </c>
      <c r="F49" s="1">
        <v>0</v>
      </c>
      <c r="G49" s="9">
        <f>SUM(TN_FINANCIAL)</f>
        <v>717055.29189600993</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25675579.478309892</v>
      </c>
      <c r="C60" s="1">
        <f>SUM(ALLOCATED)</f>
        <v>0</v>
      </c>
      <c r="D60" s="1">
        <f>SUM(HEALTH)</f>
        <v>44308.769999998709</v>
      </c>
      <c r="E60" s="1">
        <f>SUM(UNALLOCATED)</f>
        <v>0</v>
      </c>
      <c r="F60" s="1">
        <f>SUM(LTC)</f>
        <v>0</v>
      </c>
      <c r="G60" s="9">
        <f>SUM(ALL_BLOCKS)</f>
        <v>25719888.248309892</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96</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3874.9445934012765</v>
      </c>
      <c r="E6" s="1">
        <v>0</v>
      </c>
      <c r="F6" s="1">
        <v>0</v>
      </c>
      <c r="G6" s="9">
        <f>SUM(AL_FINANCIAL)</f>
        <v>3874.9445934012765</v>
      </c>
      <c r="L6" s="6"/>
      <c r="V6" s="9"/>
    </row>
    <row r="7" spans="1:22">
      <c r="A7" s="1" t="s">
        <v>12</v>
      </c>
      <c r="B7" s="6">
        <v>0</v>
      </c>
      <c r="C7" s="1">
        <v>0</v>
      </c>
      <c r="D7" s="1">
        <v>-3166.1138870076393</v>
      </c>
      <c r="E7" s="1">
        <v>0</v>
      </c>
      <c r="F7" s="1">
        <v>0</v>
      </c>
      <c r="G7" s="9">
        <f>SUM(AK_FINANCIAL)</f>
        <v>-3166.1138870076393</v>
      </c>
      <c r="I7" s="12"/>
      <c r="J7" s="15"/>
      <c r="L7" s="6">
        <v>0</v>
      </c>
      <c r="M7" s="1">
        <v>0</v>
      </c>
      <c r="O7" s="1">
        <v>0</v>
      </c>
      <c r="P7" s="1">
        <v>0</v>
      </c>
      <c r="R7" s="1">
        <v>25000</v>
      </c>
      <c r="S7" s="1">
        <v>20000</v>
      </c>
      <c r="U7" s="1">
        <v>0</v>
      </c>
      <c r="V7" s="9">
        <v>0</v>
      </c>
    </row>
    <row r="8" spans="1:22">
      <c r="A8" s="1" t="s">
        <v>13</v>
      </c>
      <c r="B8" s="6">
        <v>0</v>
      </c>
      <c r="C8" s="1">
        <v>0</v>
      </c>
      <c r="D8" s="1">
        <v>55238.048798403004</v>
      </c>
      <c r="E8" s="1">
        <v>0</v>
      </c>
      <c r="F8" s="1">
        <v>0</v>
      </c>
      <c r="G8" s="9">
        <f>SUM(AZ_FINANCIAL)</f>
        <v>55238.048798403004</v>
      </c>
      <c r="I8" s="13" t="s">
        <v>14</v>
      </c>
      <c r="J8" s="16"/>
      <c r="L8" s="6">
        <v>0</v>
      </c>
      <c r="M8" s="1">
        <v>0</v>
      </c>
      <c r="O8" s="1">
        <v>0</v>
      </c>
      <c r="P8" s="1">
        <v>0</v>
      </c>
      <c r="R8" s="1">
        <v>0</v>
      </c>
      <c r="S8" s="1">
        <v>0</v>
      </c>
      <c r="U8" s="1">
        <v>0</v>
      </c>
      <c r="V8" s="9">
        <v>0</v>
      </c>
    </row>
    <row r="9" spans="1:22">
      <c r="A9" s="1" t="s">
        <v>15</v>
      </c>
      <c r="B9" s="6">
        <v>0</v>
      </c>
      <c r="C9" s="1">
        <v>0</v>
      </c>
      <c r="D9" s="1">
        <v>19304.551228166325</v>
      </c>
      <c r="E9" s="1">
        <v>0</v>
      </c>
      <c r="F9" s="1">
        <v>0</v>
      </c>
      <c r="G9" s="9">
        <f>SUM(AR_FINANCIAL)</f>
        <v>19304.551228166325</v>
      </c>
      <c r="I9" s="13"/>
      <c r="J9" s="16"/>
      <c r="L9" s="6">
        <v>0</v>
      </c>
      <c r="M9" s="1">
        <v>0</v>
      </c>
      <c r="O9" s="1">
        <v>0</v>
      </c>
      <c r="P9" s="1">
        <v>0</v>
      </c>
      <c r="R9" s="1">
        <v>822261</v>
      </c>
      <c r="S9" s="1">
        <v>0</v>
      </c>
      <c r="U9" s="1">
        <v>0</v>
      </c>
      <c r="V9" s="9">
        <v>0</v>
      </c>
    </row>
    <row r="10" spans="1:22">
      <c r="A10" s="1" t="s">
        <v>16</v>
      </c>
      <c r="B10" s="6">
        <v>0</v>
      </c>
      <c r="C10" s="1">
        <v>0</v>
      </c>
      <c r="D10" s="1">
        <v>568284.05454954412</v>
      </c>
      <c r="E10" s="1">
        <v>0</v>
      </c>
      <c r="F10" s="1">
        <v>0</v>
      </c>
      <c r="G10" s="9">
        <f>SUM(CA_FINANCIAL)</f>
        <v>568284.05454954412</v>
      </c>
      <c r="I10" s="13" t="s">
        <v>17</v>
      </c>
      <c r="J10" s="16">
        <v>60742961.978204124</v>
      </c>
      <c r="L10" s="6">
        <v>0</v>
      </c>
      <c r="M10" s="1">
        <v>0</v>
      </c>
      <c r="O10" s="1">
        <v>0</v>
      </c>
      <c r="P10" s="1">
        <v>0</v>
      </c>
      <c r="R10" s="1">
        <v>4000000</v>
      </c>
      <c r="S10" s="1">
        <v>3125000</v>
      </c>
      <c r="U10" s="1">
        <v>0</v>
      </c>
      <c r="V10" s="9">
        <v>0</v>
      </c>
    </row>
    <row r="11" spans="1:22">
      <c r="A11" s="1" t="s">
        <v>18</v>
      </c>
      <c r="B11" s="6">
        <v>0</v>
      </c>
      <c r="C11" s="1">
        <v>0</v>
      </c>
      <c r="D11" s="1">
        <v>4171.9436351596378</v>
      </c>
      <c r="E11" s="1">
        <v>0</v>
      </c>
      <c r="F11" s="1">
        <v>0</v>
      </c>
      <c r="G11" s="9">
        <f>SUM(CO_FINANCIAL)</f>
        <v>4171.9436351596378</v>
      </c>
      <c r="I11" s="13"/>
      <c r="J11" s="16"/>
      <c r="L11" s="6">
        <v>0</v>
      </c>
      <c r="M11" s="1">
        <v>0</v>
      </c>
      <c r="O11" s="1">
        <v>0</v>
      </c>
      <c r="P11" s="1">
        <v>0</v>
      </c>
      <c r="R11" s="1">
        <v>768000</v>
      </c>
      <c r="S11" s="1">
        <v>777442</v>
      </c>
      <c r="U11" s="1">
        <v>0</v>
      </c>
      <c r="V11" s="9">
        <v>0</v>
      </c>
    </row>
    <row r="12" spans="1:22">
      <c r="A12" s="1" t="s">
        <v>19</v>
      </c>
      <c r="B12" s="6">
        <v>0</v>
      </c>
      <c r="C12" s="1">
        <v>0</v>
      </c>
      <c r="D12" s="1">
        <v>-9352.1965238164557</v>
      </c>
      <c r="E12" s="1">
        <v>0</v>
      </c>
      <c r="F12" s="1">
        <v>0</v>
      </c>
      <c r="G12" s="9">
        <f>SUM(CT_FINANCIAL)</f>
        <v>-9352.1965238164557</v>
      </c>
      <c r="I12" s="13" t="s">
        <v>20</v>
      </c>
      <c r="J12" s="16"/>
      <c r="L12" s="6"/>
      <c r="V12" s="9"/>
    </row>
    <row r="13" spans="1:22">
      <c r="A13" s="1" t="s">
        <v>21</v>
      </c>
      <c r="B13" s="6">
        <v>0</v>
      </c>
      <c r="C13" s="1">
        <v>0</v>
      </c>
      <c r="D13" s="1">
        <v>-78220.837883310975</v>
      </c>
      <c r="E13" s="1">
        <v>0</v>
      </c>
      <c r="F13" s="1">
        <v>0</v>
      </c>
      <c r="G13" s="9">
        <f>SUM(DE_FINANCIAL)</f>
        <v>-78220.837883310975</v>
      </c>
      <c r="I13" s="13" t="s">
        <v>22</v>
      </c>
      <c r="J13" s="16">
        <v>41580577.440000005</v>
      </c>
      <c r="L13" s="6">
        <v>0</v>
      </c>
      <c r="M13" s="1">
        <v>0</v>
      </c>
      <c r="O13" s="1">
        <v>0</v>
      </c>
      <c r="P13" s="1">
        <v>0</v>
      </c>
      <c r="R13" s="1">
        <v>375000</v>
      </c>
      <c r="S13" s="1">
        <v>0</v>
      </c>
      <c r="U13" s="1">
        <v>0</v>
      </c>
      <c r="V13" s="9">
        <v>0</v>
      </c>
    </row>
    <row r="14" spans="1:22">
      <c r="A14" s="1" t="s">
        <v>23</v>
      </c>
      <c r="B14" s="6">
        <v>0</v>
      </c>
      <c r="C14" s="1">
        <v>0</v>
      </c>
      <c r="D14" s="1">
        <v>-8620.9350126974732</v>
      </c>
      <c r="E14" s="1">
        <v>0</v>
      </c>
      <c r="F14" s="1">
        <v>0</v>
      </c>
      <c r="G14" s="9">
        <f>SUM(DC_FINANCIAL)</f>
        <v>-8620.9350126974732</v>
      </c>
      <c r="I14" s="13" t="s">
        <v>24</v>
      </c>
      <c r="J14" s="16">
        <v>3742009.03</v>
      </c>
      <c r="L14" s="6"/>
      <c r="V14" s="9"/>
    </row>
    <row r="15" spans="1:22">
      <c r="A15" s="1" t="s">
        <v>25</v>
      </c>
      <c r="B15" s="6">
        <v>0</v>
      </c>
      <c r="C15" s="1">
        <v>0</v>
      </c>
      <c r="D15" s="1">
        <v>237851.78580260929</v>
      </c>
      <c r="E15" s="1">
        <v>0</v>
      </c>
      <c r="F15" s="1">
        <v>0</v>
      </c>
      <c r="G15" s="9">
        <f>SUM(FL_FINANCIAL)</f>
        <v>237851.78580260929</v>
      </c>
      <c r="I15" s="13" t="s">
        <v>26</v>
      </c>
      <c r="J15" s="16">
        <v>2499316.1999999997</v>
      </c>
      <c r="L15" s="6"/>
      <c r="V15" s="9"/>
    </row>
    <row r="16" spans="1:22">
      <c r="A16" s="1" t="s">
        <v>27</v>
      </c>
      <c r="B16" s="6">
        <v>0</v>
      </c>
      <c r="C16" s="1">
        <v>0</v>
      </c>
      <c r="D16" s="1">
        <v>-169823.37518123584</v>
      </c>
      <c r="E16" s="1">
        <v>0</v>
      </c>
      <c r="F16" s="1">
        <v>0</v>
      </c>
      <c r="G16" s="9">
        <f>SUM(GA_FINANCIAL)</f>
        <v>-169823.37518123584</v>
      </c>
      <c r="I16" s="13" t="s">
        <v>28</v>
      </c>
      <c r="J16" s="16">
        <v>0</v>
      </c>
      <c r="L16" s="6"/>
      <c r="V16" s="9"/>
    </row>
    <row r="17" spans="1:22">
      <c r="A17" s="1" t="s">
        <v>29</v>
      </c>
      <c r="B17" s="6">
        <v>0</v>
      </c>
      <c r="C17" s="1">
        <v>0</v>
      </c>
      <c r="D17" s="1">
        <v>-88980.786807353637</v>
      </c>
      <c r="E17" s="1">
        <v>0</v>
      </c>
      <c r="F17" s="1">
        <v>0</v>
      </c>
      <c r="G17" s="9">
        <f>SUM(HI_FINANCIAL)</f>
        <v>-88980.786807353637</v>
      </c>
      <c r="I17" s="13"/>
      <c r="J17" s="16"/>
      <c r="L17" s="6"/>
      <c r="V17" s="9"/>
    </row>
    <row r="18" spans="1:22">
      <c r="A18" s="1" t="s">
        <v>30</v>
      </c>
      <c r="B18" s="6">
        <v>0</v>
      </c>
      <c r="C18" s="1">
        <v>0</v>
      </c>
      <c r="D18" s="1">
        <v>-17215.527643896865</v>
      </c>
      <c r="E18" s="1">
        <v>0</v>
      </c>
      <c r="F18" s="1">
        <v>0</v>
      </c>
      <c r="G18" s="9">
        <f>SUM(ID_FINANCIAL)</f>
        <v>-17215.527643896865</v>
      </c>
      <c r="I18" s="13" t="s">
        <v>31</v>
      </c>
      <c r="J18" s="16"/>
      <c r="L18" s="6"/>
      <c r="V18" s="9"/>
    </row>
    <row r="19" spans="1:22">
      <c r="A19" s="1" t="s">
        <v>32</v>
      </c>
      <c r="B19" s="6">
        <v>0</v>
      </c>
      <c r="C19" s="1">
        <v>0</v>
      </c>
      <c r="D19" s="1">
        <v>-200180.71585663455</v>
      </c>
      <c r="E19" s="1">
        <v>0</v>
      </c>
      <c r="F19" s="1">
        <v>0</v>
      </c>
      <c r="G19" s="9">
        <f>SUM(IL_FINANCIAL)</f>
        <v>-200180.71585663455</v>
      </c>
      <c r="I19" s="13" t="s">
        <v>33</v>
      </c>
      <c r="J19" s="16">
        <v>19253402.569149315</v>
      </c>
      <c r="L19" s="6">
        <v>500000</v>
      </c>
      <c r="M19" s="1">
        <v>600000</v>
      </c>
      <c r="O19" s="1">
        <v>100000</v>
      </c>
      <c r="P19" s="1">
        <v>50000</v>
      </c>
      <c r="R19" s="1">
        <v>4000000</v>
      </c>
      <c r="S19" s="1">
        <v>4350000</v>
      </c>
      <c r="U19" s="1">
        <v>0</v>
      </c>
      <c r="V19" s="9">
        <v>0</v>
      </c>
    </row>
    <row r="20" spans="1:22">
      <c r="A20" s="1" t="s">
        <v>34</v>
      </c>
      <c r="B20" s="6">
        <v>0</v>
      </c>
      <c r="C20" s="1">
        <v>0</v>
      </c>
      <c r="D20" s="1">
        <v>-81617.468767016195</v>
      </c>
      <c r="E20" s="1">
        <v>0</v>
      </c>
      <c r="F20" s="1">
        <v>0</v>
      </c>
      <c r="G20" s="9">
        <f>SUM(IN_FINANCIAL)</f>
        <v>-81617.468767016195</v>
      </c>
      <c r="I20" s="13" t="s">
        <v>35</v>
      </c>
      <c r="J20" s="16">
        <v>41580577.440000005</v>
      </c>
      <c r="L20" s="6">
        <v>0</v>
      </c>
      <c r="M20" s="1">
        <v>0</v>
      </c>
      <c r="O20" s="1">
        <v>0</v>
      </c>
      <c r="P20" s="1">
        <v>0</v>
      </c>
      <c r="R20" s="1">
        <v>1899405</v>
      </c>
      <c r="S20" s="1">
        <v>0</v>
      </c>
      <c r="U20" s="1">
        <v>0</v>
      </c>
      <c r="V20" s="9">
        <v>0</v>
      </c>
    </row>
    <row r="21" spans="1:22">
      <c r="A21" s="1" t="s">
        <v>36</v>
      </c>
      <c r="B21" s="6">
        <v>0</v>
      </c>
      <c r="C21" s="1">
        <v>0</v>
      </c>
      <c r="D21" s="1">
        <v>-33887.072379988938</v>
      </c>
      <c r="E21" s="1">
        <v>0</v>
      </c>
      <c r="F21" s="1">
        <v>0</v>
      </c>
      <c r="G21" s="9">
        <f>SUM(IA_FINANCIAL)</f>
        <v>-33887.072379988938</v>
      </c>
      <c r="I21" s="13" t="s">
        <v>37</v>
      </c>
      <c r="J21" s="16"/>
      <c r="L21" s="6"/>
      <c r="V21" s="9"/>
    </row>
    <row r="22" spans="1:22">
      <c r="A22" s="1" t="s">
        <v>38</v>
      </c>
      <c r="B22" s="6">
        <v>0</v>
      </c>
      <c r="C22" s="1">
        <v>0</v>
      </c>
      <c r="D22" s="1">
        <v>300577.7467150609</v>
      </c>
      <c r="E22" s="1">
        <v>0</v>
      </c>
      <c r="F22" s="1">
        <v>0</v>
      </c>
      <c r="G22" s="9">
        <f>SUM(KS_FINANCIAL)</f>
        <v>300577.7467150609</v>
      </c>
      <c r="I22" s="13" t="s">
        <v>39</v>
      </c>
      <c r="J22" s="16">
        <v>0</v>
      </c>
      <c r="L22" s="6"/>
      <c r="V22" s="9"/>
    </row>
    <row r="23" spans="1:22">
      <c r="A23" s="1" t="s">
        <v>40</v>
      </c>
      <c r="B23" s="6">
        <v>0</v>
      </c>
      <c r="C23" s="1">
        <v>0</v>
      </c>
      <c r="D23" s="1">
        <v>18668.675945510331</v>
      </c>
      <c r="E23" s="1">
        <v>0</v>
      </c>
      <c r="F23" s="1">
        <v>0</v>
      </c>
      <c r="G23" s="9">
        <f>SUM(KY_FINANCIAL)</f>
        <v>18668.675945510331</v>
      </c>
      <c r="I23" s="13" t="s">
        <v>41</v>
      </c>
      <c r="J23" s="16"/>
      <c r="L23" s="6"/>
      <c r="V23" s="9"/>
    </row>
    <row r="24" spans="1:22">
      <c r="A24" s="1" t="s">
        <v>42</v>
      </c>
      <c r="B24" s="6">
        <v>0</v>
      </c>
      <c r="C24" s="1">
        <v>0</v>
      </c>
      <c r="D24" s="1">
        <v>-61397.366331062745</v>
      </c>
      <c r="E24" s="1">
        <v>0</v>
      </c>
      <c r="F24" s="1">
        <v>0</v>
      </c>
      <c r="G24" s="9">
        <f>SUM(LA_FINANCIAL)</f>
        <v>-61397.366331062745</v>
      </c>
      <c r="I24" s="13" t="s">
        <v>43</v>
      </c>
      <c r="J24" s="16">
        <v>47911525.687784433</v>
      </c>
      <c r="L24" s="6">
        <v>8479</v>
      </c>
      <c r="M24" s="1">
        <v>0</v>
      </c>
      <c r="O24" s="1">
        <v>0</v>
      </c>
      <c r="P24" s="1">
        <v>0</v>
      </c>
      <c r="R24" s="1">
        <v>893521</v>
      </c>
      <c r="S24" s="1">
        <v>0</v>
      </c>
      <c r="U24" s="1">
        <v>0</v>
      </c>
      <c r="V24" s="9">
        <v>0</v>
      </c>
    </row>
    <row r="25" spans="1:22">
      <c r="A25" s="1" t="s">
        <v>44</v>
      </c>
      <c r="B25" s="6">
        <v>0</v>
      </c>
      <c r="C25" s="1">
        <v>0</v>
      </c>
      <c r="D25" s="1">
        <v>-6398.9049238634225</v>
      </c>
      <c r="E25" s="1">
        <v>0</v>
      </c>
      <c r="F25" s="1">
        <v>0</v>
      </c>
      <c r="G25" s="9">
        <f>SUM(ME_FINANCIAL)</f>
        <v>-6398.9049238634225</v>
      </c>
      <c r="I25" s="13"/>
      <c r="J25" s="16"/>
      <c r="L25" s="6"/>
      <c r="V25" s="9"/>
    </row>
    <row r="26" spans="1:22">
      <c r="A26" s="1" t="s">
        <v>45</v>
      </c>
      <c r="B26" s="6">
        <v>0</v>
      </c>
      <c r="C26" s="1">
        <v>0</v>
      </c>
      <c r="D26" s="1">
        <v>-1009.7255070811152</v>
      </c>
      <c r="E26" s="1">
        <v>0</v>
      </c>
      <c r="F26" s="1">
        <v>0</v>
      </c>
      <c r="G26" s="9">
        <f>SUM(MD_FINANCIAL)</f>
        <v>-1009.7255070811152</v>
      </c>
      <c r="I26" s="13" t="s">
        <v>46</v>
      </c>
      <c r="J26" s="16">
        <f>SUM(ADD_FINANCIAL)-SUM(LESS_FINANCIAL)</f>
        <v>-180641.04872961342</v>
      </c>
      <c r="L26" s="6"/>
      <c r="V26" s="9"/>
    </row>
    <row r="27" spans="1:22">
      <c r="A27" s="1" t="s">
        <v>47</v>
      </c>
      <c r="B27" s="6">
        <v>0</v>
      </c>
      <c r="C27" s="1">
        <v>0</v>
      </c>
      <c r="D27" s="1">
        <v>6300.6936214035959</v>
      </c>
      <c r="E27" s="1">
        <v>0</v>
      </c>
      <c r="F27" s="1">
        <v>0</v>
      </c>
      <c r="G27" s="9">
        <f>SUM(MA_FINANCIAL)</f>
        <v>6300.6936214035959</v>
      </c>
      <c r="I27" s="13" t="s">
        <v>48</v>
      </c>
      <c r="J27" s="16">
        <f>SUM(ALL_BLOCKS)</f>
        <v>-180641.04872965094</v>
      </c>
      <c r="L27" s="6"/>
      <c r="V27" s="9"/>
    </row>
    <row r="28" spans="1:22">
      <c r="A28" s="1" t="s">
        <v>49</v>
      </c>
      <c r="B28" s="6">
        <v>10961</v>
      </c>
      <c r="C28" s="1">
        <v>0</v>
      </c>
      <c r="D28" s="1">
        <v>-265205.13900687784</v>
      </c>
      <c r="E28" s="1">
        <v>0</v>
      </c>
      <c r="F28" s="1">
        <v>0</v>
      </c>
      <c r="G28" s="9">
        <f>SUM(MI_FINANCIAL)</f>
        <v>-254244.13900687784</v>
      </c>
      <c r="I28" s="14"/>
      <c r="J28" s="17"/>
      <c r="L28" s="6"/>
      <c r="V28" s="9"/>
    </row>
    <row r="29" spans="1:22">
      <c r="A29" s="1" t="s">
        <v>50</v>
      </c>
      <c r="B29" s="6">
        <v>0</v>
      </c>
      <c r="C29" s="1">
        <v>0</v>
      </c>
      <c r="D29" s="1">
        <v>-27620.434546913762</v>
      </c>
      <c r="E29" s="1">
        <v>0</v>
      </c>
      <c r="F29" s="1">
        <v>0</v>
      </c>
      <c r="G29" s="9">
        <f>SUM(MN_FINANCIAL)</f>
        <v>-27620.434546913762</v>
      </c>
      <c r="L29" s="6">
        <v>0</v>
      </c>
      <c r="M29" s="1">
        <v>0</v>
      </c>
      <c r="O29" s="1">
        <v>0</v>
      </c>
      <c r="P29" s="1">
        <v>0</v>
      </c>
      <c r="R29" s="1">
        <v>300000</v>
      </c>
      <c r="S29" s="1">
        <v>0</v>
      </c>
      <c r="U29" s="1">
        <v>0</v>
      </c>
      <c r="V29" s="9">
        <v>0</v>
      </c>
    </row>
    <row r="30" spans="1:22">
      <c r="A30" s="1" t="s">
        <v>51</v>
      </c>
      <c r="B30" s="6">
        <v>0</v>
      </c>
      <c r="C30" s="1">
        <v>0</v>
      </c>
      <c r="D30" s="1">
        <v>38456.264529145905</v>
      </c>
      <c r="E30" s="1">
        <v>0</v>
      </c>
      <c r="F30" s="1">
        <v>0</v>
      </c>
      <c r="G30" s="9">
        <f>SUM(MS_FINANCIAL)</f>
        <v>38456.264529145905</v>
      </c>
      <c r="L30" s="6"/>
      <c r="V30" s="9"/>
    </row>
    <row r="31" spans="1:22">
      <c r="A31" s="1" t="s">
        <v>52</v>
      </c>
      <c r="B31" s="6">
        <v>0</v>
      </c>
      <c r="C31" s="1">
        <v>0</v>
      </c>
      <c r="D31" s="1">
        <v>33611.529028830701</v>
      </c>
      <c r="E31" s="1">
        <v>0</v>
      </c>
      <c r="F31" s="1">
        <v>0</v>
      </c>
      <c r="G31" s="9">
        <f>SUM(MO_FINANCIAL)</f>
        <v>33611.529028830701</v>
      </c>
      <c r="L31" s="6"/>
      <c r="V31" s="9"/>
    </row>
    <row r="32" spans="1:22">
      <c r="A32" s="1" t="s">
        <v>53</v>
      </c>
      <c r="B32" s="6">
        <v>0</v>
      </c>
      <c r="C32" s="1">
        <v>0</v>
      </c>
      <c r="D32" s="1">
        <v>-10628.114116534009</v>
      </c>
      <c r="E32" s="1">
        <v>0</v>
      </c>
      <c r="F32" s="1">
        <v>0</v>
      </c>
      <c r="G32" s="9">
        <f>SUM(MT_FINANCIAL)</f>
        <v>-10628.114116534009</v>
      </c>
      <c r="L32" s="6">
        <v>0</v>
      </c>
      <c r="M32" s="1">
        <v>0</v>
      </c>
      <c r="O32" s="1">
        <v>0</v>
      </c>
      <c r="P32" s="1">
        <v>0</v>
      </c>
      <c r="R32" s="1">
        <v>120000</v>
      </c>
      <c r="S32" s="1">
        <v>0</v>
      </c>
      <c r="U32" s="1">
        <v>0</v>
      </c>
      <c r="V32" s="9">
        <v>0</v>
      </c>
    </row>
    <row r="33" spans="1:22">
      <c r="A33" s="1" t="s">
        <v>54</v>
      </c>
      <c r="B33" s="6">
        <v>0</v>
      </c>
      <c r="C33" s="1">
        <v>0</v>
      </c>
      <c r="D33" s="1">
        <v>-15623.362177608295</v>
      </c>
      <c r="E33" s="1">
        <v>0</v>
      </c>
      <c r="F33" s="1">
        <v>0</v>
      </c>
      <c r="G33" s="9">
        <f>SUM(NE_FINANCIAL)</f>
        <v>-15623.362177608295</v>
      </c>
      <c r="L33" s="6"/>
      <c r="V33" s="9"/>
    </row>
    <row r="34" spans="1:22">
      <c r="A34" s="1" t="s">
        <v>55</v>
      </c>
      <c r="B34" s="6">
        <v>0</v>
      </c>
      <c r="C34" s="1">
        <v>0</v>
      </c>
      <c r="D34" s="1">
        <v>14589.027110384894</v>
      </c>
      <c r="E34" s="1">
        <v>0</v>
      </c>
      <c r="F34" s="1">
        <v>0</v>
      </c>
      <c r="G34" s="9">
        <f>SUM(NV_FINANCIAL)</f>
        <v>14589.027110384894</v>
      </c>
      <c r="L34" s="6">
        <v>0</v>
      </c>
      <c r="M34" s="1">
        <v>0</v>
      </c>
      <c r="O34" s="1">
        <v>0</v>
      </c>
      <c r="P34" s="1">
        <v>0</v>
      </c>
      <c r="R34" s="1">
        <v>759000</v>
      </c>
      <c r="S34" s="1">
        <v>0</v>
      </c>
      <c r="U34" s="1">
        <v>0</v>
      </c>
      <c r="V34" s="9">
        <v>0</v>
      </c>
    </row>
    <row r="35" spans="1:22">
      <c r="A35" s="1" t="s">
        <v>56</v>
      </c>
      <c r="B35" s="6">
        <v>0</v>
      </c>
      <c r="C35" s="1">
        <v>0</v>
      </c>
      <c r="D35" s="1">
        <v>-6041.26163744925</v>
      </c>
      <c r="E35" s="1">
        <v>0</v>
      </c>
      <c r="F35" s="1">
        <v>0</v>
      </c>
      <c r="G35" s="9">
        <f>SUM(NH_FINANCIAL)</f>
        <v>-6041.26163744925</v>
      </c>
      <c r="L35" s="6"/>
      <c r="V35" s="9"/>
    </row>
    <row r="36" spans="1:22">
      <c r="A36" s="1" t="s">
        <v>57</v>
      </c>
      <c r="B36" s="6">
        <v>0</v>
      </c>
      <c r="C36" s="1">
        <v>0</v>
      </c>
      <c r="D36" s="1">
        <v>-51625.752553811762</v>
      </c>
      <c r="E36" s="1">
        <v>0</v>
      </c>
      <c r="F36" s="1">
        <v>0</v>
      </c>
      <c r="G36" s="9">
        <f>SUM(NJ_FINANCIAL)</f>
        <v>-51625.752553811762</v>
      </c>
      <c r="L36" s="6">
        <v>0</v>
      </c>
      <c r="M36" s="1">
        <v>0</v>
      </c>
      <c r="O36" s="1">
        <v>0</v>
      </c>
      <c r="P36" s="1">
        <v>0</v>
      </c>
      <c r="R36" s="1">
        <v>75000</v>
      </c>
      <c r="S36" s="1">
        <v>0</v>
      </c>
      <c r="U36" s="1">
        <v>0</v>
      </c>
      <c r="V36" s="9">
        <v>0</v>
      </c>
    </row>
    <row r="37" spans="1:22">
      <c r="A37" s="1" t="s">
        <v>58</v>
      </c>
      <c r="B37" s="6">
        <v>0</v>
      </c>
      <c r="C37" s="1">
        <v>0</v>
      </c>
      <c r="D37" s="1">
        <v>-110124.61545875872</v>
      </c>
      <c r="E37" s="1">
        <v>0</v>
      </c>
      <c r="F37" s="1">
        <v>0</v>
      </c>
      <c r="G37" s="9">
        <f>SUM(NM_FINANCIAL)</f>
        <v>-110124.61545875872</v>
      </c>
      <c r="L37" s="6"/>
      <c r="V37" s="9"/>
    </row>
    <row r="38" spans="1:22">
      <c r="A38" s="1" t="s">
        <v>59</v>
      </c>
      <c r="B38" s="6">
        <v>0</v>
      </c>
      <c r="C38" s="1">
        <v>0</v>
      </c>
      <c r="D38" s="1">
        <v>-148294.45468900117</v>
      </c>
      <c r="E38" s="1">
        <v>0</v>
      </c>
      <c r="F38" s="1">
        <v>0</v>
      </c>
      <c r="G38" s="9">
        <f>SUM(NY_FINANCIAL)</f>
        <v>-148294.45468900117</v>
      </c>
      <c r="L38" s="6"/>
      <c r="V38" s="9"/>
    </row>
    <row r="39" spans="1:22">
      <c r="A39" s="1" t="s">
        <v>60</v>
      </c>
      <c r="B39" s="6">
        <v>0</v>
      </c>
      <c r="C39" s="1">
        <v>0</v>
      </c>
      <c r="D39" s="1">
        <v>44794.752755964641</v>
      </c>
      <c r="E39" s="1">
        <v>0</v>
      </c>
      <c r="F39" s="1">
        <v>0</v>
      </c>
      <c r="G39" s="9">
        <f>SUM(NC_FINANCIAL)</f>
        <v>44794.752755964641</v>
      </c>
      <c r="L39" s="6">
        <v>190000</v>
      </c>
      <c r="M39" s="1">
        <v>0</v>
      </c>
      <c r="O39" s="1">
        <v>0</v>
      </c>
      <c r="P39" s="1">
        <v>0</v>
      </c>
      <c r="R39" s="1">
        <v>310000</v>
      </c>
      <c r="S39" s="1">
        <v>0</v>
      </c>
      <c r="U39" s="1">
        <v>0</v>
      </c>
      <c r="V39" s="9">
        <v>0</v>
      </c>
    </row>
    <row r="40" spans="1:22">
      <c r="A40" s="1" t="s">
        <v>61</v>
      </c>
      <c r="B40" s="6">
        <v>0</v>
      </c>
      <c r="C40" s="1">
        <v>0</v>
      </c>
      <c r="D40" s="1">
        <v>1025.1314272001364</v>
      </c>
      <c r="E40" s="1">
        <v>0</v>
      </c>
      <c r="F40" s="1">
        <v>0</v>
      </c>
      <c r="G40" s="9">
        <f>SUM(ND_FINANCIAL)</f>
        <v>1025.1314272001364</v>
      </c>
      <c r="L40" s="6"/>
      <c r="V40" s="9"/>
    </row>
    <row r="41" spans="1:22">
      <c r="A41" s="1" t="s">
        <v>62</v>
      </c>
      <c r="B41" s="6">
        <v>0</v>
      </c>
      <c r="C41" s="1">
        <v>0</v>
      </c>
      <c r="D41" s="1">
        <v>-19388.193628902081</v>
      </c>
      <c r="E41" s="1">
        <v>0</v>
      </c>
      <c r="F41" s="1">
        <v>0</v>
      </c>
      <c r="G41" s="9">
        <f>SUM(OH_FINANCIAL)</f>
        <v>-19388.193628902081</v>
      </c>
      <c r="L41" s="6"/>
      <c r="V41" s="9"/>
    </row>
    <row r="42" spans="1:22">
      <c r="A42" s="1" t="s">
        <v>63</v>
      </c>
      <c r="B42" s="6">
        <v>0</v>
      </c>
      <c r="C42" s="1">
        <v>0</v>
      </c>
      <c r="D42" s="1">
        <v>19124.527547587408</v>
      </c>
      <c r="E42" s="1">
        <v>0</v>
      </c>
      <c r="F42" s="1">
        <v>0</v>
      </c>
      <c r="G42" s="9">
        <f>SUM(OK_FINANCIAL)</f>
        <v>19124.527547587408</v>
      </c>
      <c r="L42" s="6">
        <v>40000</v>
      </c>
      <c r="M42" s="1">
        <v>42800</v>
      </c>
      <c r="O42" s="1">
        <v>0</v>
      </c>
      <c r="P42" s="1">
        <v>0</v>
      </c>
      <c r="R42" s="1">
        <v>1960000</v>
      </c>
      <c r="S42" s="1">
        <v>2032200</v>
      </c>
      <c r="U42" s="1">
        <v>0</v>
      </c>
      <c r="V42" s="9">
        <v>0</v>
      </c>
    </row>
    <row r="43" spans="1:22">
      <c r="A43" s="1" t="s">
        <v>64</v>
      </c>
      <c r="B43" s="6">
        <v>0</v>
      </c>
      <c r="C43" s="1">
        <v>0</v>
      </c>
      <c r="D43" s="1">
        <v>21952.044262305018</v>
      </c>
      <c r="E43" s="1">
        <v>0</v>
      </c>
      <c r="F43" s="1">
        <v>0</v>
      </c>
      <c r="G43" s="9">
        <f>SUM(OR_FINANCIAL)</f>
        <v>21952.044262305018</v>
      </c>
      <c r="L43" s="6"/>
      <c r="V43" s="9"/>
    </row>
    <row r="44" spans="1:22">
      <c r="A44" s="1" t="s">
        <v>65</v>
      </c>
      <c r="B44" s="6">
        <v>0</v>
      </c>
      <c r="C44" s="1">
        <v>0</v>
      </c>
      <c r="D44" s="1">
        <v>10456.801959780511</v>
      </c>
      <c r="E44" s="1">
        <v>0</v>
      </c>
      <c r="F44" s="1">
        <v>0</v>
      </c>
      <c r="G44" s="9">
        <f>SUM(PA_FINANCIAL)</f>
        <v>10456.801959780511</v>
      </c>
      <c r="L44" s="6"/>
      <c r="V44" s="9"/>
    </row>
    <row r="45" spans="1:22">
      <c r="A45" s="1" t="s">
        <v>66</v>
      </c>
      <c r="B45" s="6">
        <v>0</v>
      </c>
      <c r="C45" s="1">
        <v>0</v>
      </c>
      <c r="D45" s="1">
        <v>-7567.2698410309822</v>
      </c>
      <c r="E45" s="1">
        <v>0</v>
      </c>
      <c r="F45" s="1">
        <v>0</v>
      </c>
      <c r="G45" s="9">
        <f>SUM(PR_FINANCIAL)</f>
        <v>-7567.2698410309822</v>
      </c>
      <c r="L45" s="6">
        <v>0</v>
      </c>
      <c r="M45" s="1">
        <v>0</v>
      </c>
      <c r="O45" s="1">
        <v>0</v>
      </c>
      <c r="P45" s="1">
        <v>0</v>
      </c>
      <c r="R45" s="1">
        <v>108788</v>
      </c>
      <c r="S45" s="1">
        <v>0</v>
      </c>
      <c r="U45" s="1">
        <v>0</v>
      </c>
      <c r="V45" s="9">
        <v>0</v>
      </c>
    </row>
    <row r="46" spans="1:22">
      <c r="A46" s="1" t="s">
        <v>67</v>
      </c>
      <c r="B46" s="6">
        <v>0</v>
      </c>
      <c r="C46" s="1">
        <v>0</v>
      </c>
      <c r="D46" s="1">
        <v>-3988.27860882506</v>
      </c>
      <c r="E46" s="1">
        <v>0</v>
      </c>
      <c r="F46" s="1">
        <v>0</v>
      </c>
      <c r="G46" s="9">
        <f>SUM(RI_FINANCIAL)</f>
        <v>-3988.27860882506</v>
      </c>
      <c r="L46" s="6"/>
      <c r="V46" s="9"/>
    </row>
    <row r="47" spans="1:22">
      <c r="A47" s="1" t="s">
        <v>68</v>
      </c>
      <c r="B47" s="6">
        <v>4801</v>
      </c>
      <c r="C47" s="1">
        <v>0</v>
      </c>
      <c r="D47" s="1">
        <v>58303.789837433491</v>
      </c>
      <c r="E47" s="1">
        <v>0</v>
      </c>
      <c r="F47" s="1">
        <v>0</v>
      </c>
      <c r="G47" s="9">
        <f>SUM(SC_FINANCIAL)</f>
        <v>63104.789837433491</v>
      </c>
      <c r="L47" s="6"/>
      <c r="V47" s="9"/>
    </row>
    <row r="48" spans="1:22">
      <c r="A48" s="1" t="s">
        <v>69</v>
      </c>
      <c r="B48" s="6">
        <v>0</v>
      </c>
      <c r="C48" s="1">
        <v>0</v>
      </c>
      <c r="D48" s="1">
        <v>-20438.225363189376</v>
      </c>
      <c r="E48" s="1">
        <v>0</v>
      </c>
      <c r="F48" s="1">
        <v>0</v>
      </c>
      <c r="G48" s="9">
        <f>SUM(SD_FINANCIAL)</f>
        <v>-20438.225363189376</v>
      </c>
      <c r="L48" s="6"/>
      <c r="V48" s="9"/>
    </row>
    <row r="49" spans="1:22">
      <c r="A49" s="1" t="s">
        <v>70</v>
      </c>
      <c r="B49" s="6">
        <v>0</v>
      </c>
      <c r="C49" s="1">
        <v>0</v>
      </c>
      <c r="D49" s="1">
        <v>75717.26813775138</v>
      </c>
      <c r="E49" s="1">
        <v>0</v>
      </c>
      <c r="F49" s="1">
        <v>0</v>
      </c>
      <c r="G49" s="9">
        <f>SUM(TN_FINANCIAL)</f>
        <v>75717.26813775138</v>
      </c>
      <c r="L49" s="6"/>
      <c r="V49" s="9"/>
    </row>
    <row r="50" spans="1:22">
      <c r="A50" s="1" t="s">
        <v>71</v>
      </c>
      <c r="B50" s="6">
        <v>0</v>
      </c>
      <c r="C50" s="1">
        <v>0</v>
      </c>
      <c r="D50" s="1">
        <v>85484.769795624539</v>
      </c>
      <c r="E50" s="1">
        <v>0</v>
      </c>
      <c r="F50" s="1">
        <v>0</v>
      </c>
      <c r="G50" s="9">
        <f>SUM(TX_FINANCIAL)</f>
        <v>85484.769795624539</v>
      </c>
      <c r="L50" s="6">
        <v>50085</v>
      </c>
      <c r="M50" s="1">
        <v>42523</v>
      </c>
      <c r="O50" s="1">
        <v>0</v>
      </c>
      <c r="P50" s="1">
        <v>0</v>
      </c>
      <c r="R50" s="1">
        <v>2548542</v>
      </c>
      <c r="S50" s="1">
        <v>2160728</v>
      </c>
      <c r="U50" s="1">
        <v>0</v>
      </c>
      <c r="V50" s="9">
        <v>0</v>
      </c>
    </row>
    <row r="51" spans="1:22">
      <c r="A51" s="1" t="s">
        <v>72</v>
      </c>
      <c r="B51" s="6">
        <v>0</v>
      </c>
      <c r="C51" s="1">
        <v>0</v>
      </c>
      <c r="D51" s="1">
        <v>-27279.835202616767</v>
      </c>
      <c r="E51" s="1">
        <v>0</v>
      </c>
      <c r="F51" s="1">
        <v>0</v>
      </c>
      <c r="G51" s="9">
        <f>SUM(UT_FINANCIAL)</f>
        <v>-27279.835202616767</v>
      </c>
      <c r="L51" s="6"/>
      <c r="V51" s="9"/>
    </row>
    <row r="52" spans="1:22">
      <c r="A52" s="1" t="s">
        <v>73</v>
      </c>
      <c r="B52" s="6">
        <v>0</v>
      </c>
      <c r="C52" s="1">
        <v>0</v>
      </c>
      <c r="D52" s="1">
        <v>1860.167806972473</v>
      </c>
      <c r="E52" s="1">
        <v>0</v>
      </c>
      <c r="F52" s="1">
        <v>0</v>
      </c>
      <c r="G52" s="9">
        <f>SUM(VT_FINANCIAL)</f>
        <v>1860.167806972473</v>
      </c>
      <c r="L52" s="6">
        <v>0</v>
      </c>
      <c r="M52" s="1">
        <v>0</v>
      </c>
      <c r="O52" s="1">
        <v>0</v>
      </c>
      <c r="P52" s="1">
        <v>0</v>
      </c>
      <c r="R52" s="1">
        <v>150000</v>
      </c>
      <c r="S52" s="1">
        <v>0</v>
      </c>
      <c r="U52" s="1">
        <v>0</v>
      </c>
      <c r="V52" s="9">
        <v>0</v>
      </c>
    </row>
    <row r="53" spans="1:22">
      <c r="A53" s="1" t="s">
        <v>74</v>
      </c>
      <c r="B53" s="6">
        <v>0</v>
      </c>
      <c r="C53" s="1">
        <v>0</v>
      </c>
      <c r="D53" s="1">
        <v>-108913.589677535</v>
      </c>
      <c r="E53" s="1">
        <v>0</v>
      </c>
      <c r="F53" s="1">
        <v>0</v>
      </c>
      <c r="G53" s="9">
        <f>SUM(VA_FINANCIAL)</f>
        <v>-108913.589677535</v>
      </c>
      <c r="L53" s="6">
        <v>5000</v>
      </c>
      <c r="M53" s="1">
        <v>1948</v>
      </c>
      <c r="O53" s="1">
        <v>0</v>
      </c>
      <c r="P53" s="1">
        <v>0</v>
      </c>
      <c r="R53" s="1">
        <v>320000</v>
      </c>
      <c r="S53" s="1">
        <v>0</v>
      </c>
      <c r="U53" s="1">
        <v>0</v>
      </c>
      <c r="V53" s="9">
        <v>0</v>
      </c>
    </row>
    <row r="54" spans="1:22">
      <c r="A54" s="1" t="s">
        <v>75</v>
      </c>
      <c r="B54" s="6">
        <v>0</v>
      </c>
      <c r="C54" s="1">
        <v>0</v>
      </c>
      <c r="D54" s="1">
        <v>5614.8567424908979</v>
      </c>
      <c r="E54" s="1">
        <v>0</v>
      </c>
      <c r="F54" s="1">
        <v>0</v>
      </c>
      <c r="G54" s="9">
        <f>SUM(WA_FINANCIAL)</f>
        <v>5614.8567424908979</v>
      </c>
      <c r="L54" s="6">
        <v>0</v>
      </c>
      <c r="M54" s="1">
        <v>0</v>
      </c>
      <c r="O54" s="1">
        <v>0</v>
      </c>
      <c r="P54" s="1">
        <v>0</v>
      </c>
      <c r="R54" s="1">
        <v>200000</v>
      </c>
      <c r="S54" s="1">
        <v>190535</v>
      </c>
      <c r="U54" s="1">
        <v>0</v>
      </c>
      <c r="V54" s="9">
        <v>0</v>
      </c>
    </row>
    <row r="55" spans="1:22">
      <c r="A55" s="1" t="s">
        <v>76</v>
      </c>
      <c r="B55" s="6">
        <v>0</v>
      </c>
      <c r="C55" s="1">
        <v>0</v>
      </c>
      <c r="D55" s="1">
        <v>-31602.985871662269</v>
      </c>
      <c r="E55" s="1">
        <v>0</v>
      </c>
      <c r="F55" s="1">
        <v>0</v>
      </c>
      <c r="G55" s="9">
        <f>SUM(WV_FINANCIAL)</f>
        <v>-31602.985871662269</v>
      </c>
      <c r="L55" s="6">
        <v>0</v>
      </c>
      <c r="M55" s="1">
        <v>0</v>
      </c>
      <c r="O55" s="1">
        <v>0</v>
      </c>
      <c r="P55" s="1">
        <v>0</v>
      </c>
      <c r="R55" s="1">
        <v>0</v>
      </c>
      <c r="S55" s="1">
        <v>671547</v>
      </c>
      <c r="U55" s="1">
        <v>0</v>
      </c>
      <c r="V55" s="9">
        <v>0</v>
      </c>
    </row>
    <row r="56" spans="1:22">
      <c r="A56" s="1" t="s">
        <v>77</v>
      </c>
      <c r="B56" s="6">
        <v>0</v>
      </c>
      <c r="C56" s="1">
        <v>0</v>
      </c>
      <c r="D56" s="1">
        <v>-201020.48196128983</v>
      </c>
      <c r="E56" s="1">
        <v>0</v>
      </c>
      <c r="F56" s="1">
        <v>0</v>
      </c>
      <c r="G56" s="9">
        <f>SUM(WI_FINANCIAL)</f>
        <v>-201020.48196128983</v>
      </c>
      <c r="L56" s="6"/>
      <c r="V56" s="9"/>
    </row>
    <row r="57" spans="1:22">
      <c r="A57" s="1" t="s">
        <v>78</v>
      </c>
      <c r="B57" s="6">
        <v>0</v>
      </c>
      <c r="C57" s="1">
        <v>0</v>
      </c>
      <c r="D57" s="1">
        <v>-19780.770372225728</v>
      </c>
      <c r="E57" s="1">
        <v>0</v>
      </c>
      <c r="F57" s="1">
        <v>0</v>
      </c>
      <c r="G57" s="9">
        <f>SUM(WY_FINANCIAL)</f>
        <v>-19780.770372225728</v>
      </c>
      <c r="L57" s="6">
        <v>0</v>
      </c>
      <c r="M57" s="1">
        <v>0</v>
      </c>
      <c r="O57" s="1">
        <v>0</v>
      </c>
      <c r="P57" s="1">
        <v>0</v>
      </c>
      <c r="R57" s="1">
        <v>30000</v>
      </c>
      <c r="S57" s="1">
        <v>34679</v>
      </c>
      <c r="U57" s="1">
        <v>0</v>
      </c>
      <c r="V57" s="9">
        <v>0</v>
      </c>
    </row>
    <row r="58" spans="1:22">
      <c r="A58" s="1" t="s">
        <v>79</v>
      </c>
      <c r="B58" s="6">
        <v>1</v>
      </c>
      <c r="C58" s="1">
        <v>0</v>
      </c>
      <c r="D58" s="1">
        <v>13346.366858816447</v>
      </c>
      <c r="E58" s="1">
        <v>0</v>
      </c>
      <c r="F58" s="1">
        <v>0</v>
      </c>
      <c r="G58" s="9">
        <f>SUM(OT_FINANCIAL)</f>
        <v>13347.366858816447</v>
      </c>
      <c r="L58" s="6"/>
      <c r="V58" s="9"/>
    </row>
    <row r="59" spans="1:22">
      <c r="B59" s="6"/>
      <c r="G59" s="9"/>
      <c r="L59" s="6"/>
      <c r="V59" s="9"/>
    </row>
    <row r="60" spans="1:22">
      <c r="A60" s="1" t="s">
        <v>8</v>
      </c>
      <c r="B60" s="6">
        <f>SUM(LIFE)</f>
        <v>15763</v>
      </c>
      <c r="C60" s="1">
        <f>SUM(ALLOCATED)</f>
        <v>0</v>
      </c>
      <c r="D60" s="1">
        <f>SUM(HEALTH)</f>
        <v>-196404.04872965094</v>
      </c>
      <c r="E60" s="1">
        <f>SUM(UNALLOCATED)</f>
        <v>0</v>
      </c>
      <c r="F60" s="1">
        <f>SUM(LTC)</f>
        <v>0</v>
      </c>
      <c r="G60" s="9">
        <f>SUM(ALL_BLOCKS)</f>
        <v>-180641.04872965094</v>
      </c>
      <c r="L60" s="6">
        <f>SUM(LIFE_CALLED)</f>
        <v>793564</v>
      </c>
      <c r="M60" s="1">
        <f>SUM(LIFE_REFUNDED)</f>
        <v>687271</v>
      </c>
      <c r="O60" s="1">
        <f>SUM(ALLOC_CALLED)</f>
        <v>100000</v>
      </c>
      <c r="P60" s="1">
        <f>SUM(ALLOC_REFUNDED)</f>
        <v>50000</v>
      </c>
      <c r="R60" s="1">
        <f>SUM(HEALTH_CALLED)</f>
        <v>19664517</v>
      </c>
      <c r="S60" s="1">
        <f>SUM(HEALTH_REFUNDED)</f>
        <v>13362131</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97</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755.85902940957112</v>
      </c>
      <c r="C6" s="1">
        <v>348372.2610126998</v>
      </c>
      <c r="D6" s="1">
        <v>0</v>
      </c>
      <c r="E6" s="1">
        <v>0</v>
      </c>
      <c r="F6" s="1">
        <v>0</v>
      </c>
      <c r="G6" s="9">
        <f>SUM(AL_FINANCIAL)</f>
        <v>349128.1200421094</v>
      </c>
      <c r="L6" s="6"/>
      <c r="V6" s="9"/>
    </row>
    <row r="7" spans="1:22">
      <c r="A7" s="1" t="s">
        <v>12</v>
      </c>
      <c r="B7" s="6">
        <v>0</v>
      </c>
      <c r="C7" s="1">
        <v>0</v>
      </c>
      <c r="D7" s="1">
        <v>0</v>
      </c>
      <c r="E7" s="1">
        <v>0</v>
      </c>
      <c r="F7" s="1">
        <v>0</v>
      </c>
      <c r="G7" s="9">
        <f>SUM(AK_FINANCIAL)</f>
        <v>0</v>
      </c>
      <c r="I7" s="12"/>
      <c r="J7" s="15"/>
      <c r="L7" s="6"/>
      <c r="V7" s="9"/>
    </row>
    <row r="8" spans="1:22">
      <c r="A8" s="1" t="s">
        <v>13</v>
      </c>
      <c r="B8" s="6">
        <v>0</v>
      </c>
      <c r="C8" s="1">
        <v>329065.34963694878</v>
      </c>
      <c r="D8" s="1">
        <v>0</v>
      </c>
      <c r="E8" s="1">
        <v>0</v>
      </c>
      <c r="F8" s="1">
        <v>0</v>
      </c>
      <c r="G8" s="9">
        <f>SUM(AZ_FINANCIAL)</f>
        <v>329065.34963694878</v>
      </c>
      <c r="I8" s="13" t="s">
        <v>14</v>
      </c>
      <c r="J8" s="16"/>
      <c r="L8" s="6">
        <v>0</v>
      </c>
      <c r="M8" s="1">
        <v>0</v>
      </c>
      <c r="O8" s="1">
        <v>146693</v>
      </c>
      <c r="P8" s="1">
        <v>0</v>
      </c>
      <c r="R8" s="1">
        <v>0</v>
      </c>
      <c r="S8" s="1">
        <v>0</v>
      </c>
      <c r="U8" s="1">
        <v>0</v>
      </c>
      <c r="V8" s="9">
        <v>0</v>
      </c>
    </row>
    <row r="9" spans="1:22">
      <c r="A9" s="1" t="s">
        <v>15</v>
      </c>
      <c r="B9" s="6">
        <v>0</v>
      </c>
      <c r="C9" s="1">
        <v>18635.954677155893</v>
      </c>
      <c r="D9" s="1">
        <v>0</v>
      </c>
      <c r="E9" s="1">
        <v>0</v>
      </c>
      <c r="F9" s="1">
        <v>0</v>
      </c>
      <c r="G9" s="9">
        <f>SUM(AR_FINANCIAL)</f>
        <v>18635.954677155893</v>
      </c>
      <c r="I9" s="13"/>
      <c r="J9" s="16"/>
      <c r="L9" s="6">
        <v>30189</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72284955.26000002</v>
      </c>
      <c r="L10" s="6"/>
      <c r="V10" s="9"/>
    </row>
    <row r="11" spans="1:22">
      <c r="A11" s="1" t="s">
        <v>18</v>
      </c>
      <c r="B11" s="6">
        <v>0</v>
      </c>
      <c r="C11" s="1">
        <v>160869.0091768913</v>
      </c>
      <c r="D11" s="1">
        <v>0</v>
      </c>
      <c r="E11" s="1">
        <v>0</v>
      </c>
      <c r="F11" s="1">
        <v>0</v>
      </c>
      <c r="G11" s="9">
        <f>SUM(CO_FINANCIAL)</f>
        <v>160869.0091768913</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44358.215981348243</v>
      </c>
      <c r="D13" s="1">
        <v>0</v>
      </c>
      <c r="E13" s="1">
        <v>0</v>
      </c>
      <c r="F13" s="1">
        <v>0</v>
      </c>
      <c r="G13" s="9">
        <f>SUM(DE_FINANCIAL)</f>
        <v>44358.215981348243</v>
      </c>
      <c r="I13" s="13" t="s">
        <v>22</v>
      </c>
      <c r="J13" s="16">
        <v>0</v>
      </c>
      <c r="L13" s="6">
        <v>0</v>
      </c>
      <c r="M13" s="1">
        <v>0</v>
      </c>
      <c r="O13" s="1">
        <v>90000</v>
      </c>
      <c r="P13" s="1">
        <v>0</v>
      </c>
      <c r="R13" s="1">
        <v>0</v>
      </c>
      <c r="S13" s="1">
        <v>0</v>
      </c>
      <c r="U13" s="1">
        <v>0</v>
      </c>
      <c r="V13" s="9">
        <v>0</v>
      </c>
    </row>
    <row r="14" spans="1:22">
      <c r="A14" s="1" t="s">
        <v>23</v>
      </c>
      <c r="B14" s="6">
        <v>0</v>
      </c>
      <c r="C14" s="1">
        <v>0</v>
      </c>
      <c r="D14" s="1">
        <v>0</v>
      </c>
      <c r="E14" s="1">
        <v>0</v>
      </c>
      <c r="F14" s="1">
        <v>0</v>
      </c>
      <c r="G14" s="9">
        <f>SUM(DC_FINANCIAL)</f>
        <v>0</v>
      </c>
      <c r="I14" s="13" t="s">
        <v>24</v>
      </c>
      <c r="J14" s="16">
        <v>713474.99999999988</v>
      </c>
      <c r="L14" s="6"/>
      <c r="V14" s="9"/>
    </row>
    <row r="15" spans="1:22">
      <c r="A15" s="1" t="s">
        <v>25</v>
      </c>
      <c r="B15" s="6">
        <v>41977.330263891592</v>
      </c>
      <c r="C15" s="1">
        <v>6294088.6484518275</v>
      </c>
      <c r="D15" s="1">
        <v>0</v>
      </c>
      <c r="E15" s="1">
        <v>0</v>
      </c>
      <c r="F15" s="1">
        <v>0</v>
      </c>
      <c r="G15" s="9">
        <f>SUM(FL_FINANCIAL)</f>
        <v>6336065.9787157187</v>
      </c>
      <c r="I15" s="13" t="s">
        <v>26</v>
      </c>
      <c r="J15" s="16">
        <v>711510.88000000012</v>
      </c>
      <c r="L15" s="6">
        <v>0</v>
      </c>
      <c r="M15" s="1">
        <v>0</v>
      </c>
      <c r="O15" s="1">
        <v>7300000</v>
      </c>
      <c r="P15" s="1">
        <v>0</v>
      </c>
      <c r="R15" s="1">
        <v>0</v>
      </c>
      <c r="S15" s="1">
        <v>0</v>
      </c>
      <c r="U15" s="1">
        <v>0</v>
      </c>
      <c r="V15" s="9">
        <v>0</v>
      </c>
    </row>
    <row r="16" spans="1:22">
      <c r="A16" s="1" t="s">
        <v>27</v>
      </c>
      <c r="B16" s="6">
        <v>129.59414199467932</v>
      </c>
      <c r="C16" s="1">
        <v>633116.43986575794</v>
      </c>
      <c r="D16" s="1">
        <v>0</v>
      </c>
      <c r="E16" s="1">
        <v>0</v>
      </c>
      <c r="F16" s="1">
        <v>0</v>
      </c>
      <c r="G16" s="9">
        <f>SUM(GA_FINANCIAL)</f>
        <v>633246.03400775266</v>
      </c>
      <c r="I16" s="13" t="s">
        <v>28</v>
      </c>
      <c r="J16" s="16">
        <v>0</v>
      </c>
      <c r="L16" s="6">
        <v>2974</v>
      </c>
      <c r="M16" s="1">
        <v>0</v>
      </c>
      <c r="O16" s="1">
        <v>757110</v>
      </c>
      <c r="P16" s="1">
        <v>5197.47</v>
      </c>
      <c r="R16" s="1">
        <v>0</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0</v>
      </c>
      <c r="C18" s="1">
        <v>4674.2761615150266</v>
      </c>
      <c r="D18" s="1">
        <v>0</v>
      </c>
      <c r="E18" s="1">
        <v>0</v>
      </c>
      <c r="F18" s="1">
        <v>0</v>
      </c>
      <c r="G18" s="9">
        <f>SUM(ID_FINANCIAL)</f>
        <v>4674.2761615150266</v>
      </c>
      <c r="I18" s="13" t="s">
        <v>31</v>
      </c>
      <c r="J18" s="16"/>
      <c r="L18" s="6">
        <v>0</v>
      </c>
      <c r="M18" s="1">
        <v>0</v>
      </c>
      <c r="O18" s="1">
        <v>8000</v>
      </c>
      <c r="P18" s="1">
        <v>0</v>
      </c>
      <c r="R18" s="1">
        <v>0</v>
      </c>
      <c r="S18" s="1">
        <v>0</v>
      </c>
      <c r="U18" s="1">
        <v>0</v>
      </c>
      <c r="V18" s="9">
        <v>0</v>
      </c>
    </row>
    <row r="19" spans="1:22">
      <c r="A19" s="1" t="s">
        <v>32</v>
      </c>
      <c r="B19" s="6">
        <v>0</v>
      </c>
      <c r="C19" s="1">
        <v>0</v>
      </c>
      <c r="D19" s="1">
        <v>0</v>
      </c>
      <c r="E19" s="1">
        <v>0</v>
      </c>
      <c r="F19" s="1">
        <v>0</v>
      </c>
      <c r="G19" s="9">
        <f>SUM(IL_FINANCIAL)</f>
        <v>0</v>
      </c>
      <c r="I19" s="13" t="s">
        <v>33</v>
      </c>
      <c r="J19" s="16">
        <v>43973889.679381259</v>
      </c>
      <c r="L19" s="6"/>
      <c r="V19" s="9"/>
    </row>
    <row r="20" spans="1:22">
      <c r="A20" s="1" t="s">
        <v>34</v>
      </c>
      <c r="B20" s="6">
        <v>0</v>
      </c>
      <c r="C20" s="1">
        <v>315025.02542989142</v>
      </c>
      <c r="D20" s="1">
        <v>0</v>
      </c>
      <c r="E20" s="1">
        <v>0</v>
      </c>
      <c r="F20" s="1">
        <v>0</v>
      </c>
      <c r="G20" s="9">
        <f>SUM(IN_FINANCIAL)</f>
        <v>315025.02542989142</v>
      </c>
      <c r="I20" s="13" t="s">
        <v>35</v>
      </c>
      <c r="J20" s="16">
        <v>3744837.3099767314</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5169108.2706420003</v>
      </c>
      <c r="L22" s="6"/>
      <c r="V22" s="9"/>
    </row>
    <row r="23" spans="1:22">
      <c r="A23" s="1" t="s">
        <v>40</v>
      </c>
      <c r="B23" s="6">
        <v>232.2158259633776</v>
      </c>
      <c r="C23" s="1">
        <v>273730.87188487727</v>
      </c>
      <c r="D23" s="1">
        <v>0</v>
      </c>
      <c r="E23" s="1">
        <v>0</v>
      </c>
      <c r="F23" s="1">
        <v>0</v>
      </c>
      <c r="G23" s="9">
        <f>SUM(KY_FINANCIAL)</f>
        <v>273963.08771084063</v>
      </c>
      <c r="I23" s="13" t="s">
        <v>41</v>
      </c>
      <c r="J23" s="16"/>
      <c r="L23" s="6">
        <v>0</v>
      </c>
      <c r="M23" s="1">
        <v>0</v>
      </c>
      <c r="O23" s="1">
        <v>350000</v>
      </c>
      <c r="P23" s="1">
        <v>0</v>
      </c>
      <c r="R23" s="1">
        <v>0</v>
      </c>
      <c r="S23" s="1">
        <v>0</v>
      </c>
      <c r="U23" s="1">
        <v>0</v>
      </c>
      <c r="V23" s="9">
        <v>0</v>
      </c>
    </row>
    <row r="24" spans="1:22">
      <c r="A24" s="1" t="s">
        <v>42</v>
      </c>
      <c r="B24" s="6">
        <v>0</v>
      </c>
      <c r="C24" s="1">
        <v>149758.74701574814</v>
      </c>
      <c r="D24" s="1">
        <v>0</v>
      </c>
      <c r="E24" s="1">
        <v>0</v>
      </c>
      <c r="F24" s="1">
        <v>0</v>
      </c>
      <c r="G24" s="9">
        <f>SUM(LA_FINANCIAL)</f>
        <v>149758.74701574814</v>
      </c>
      <c r="I24" s="13" t="s">
        <v>43</v>
      </c>
      <c r="J24" s="16">
        <v>4496991.9999999991</v>
      </c>
      <c r="L24" s="6">
        <v>0</v>
      </c>
      <c r="M24" s="1">
        <v>0</v>
      </c>
      <c r="O24" s="1">
        <v>245000</v>
      </c>
      <c r="P24" s="1">
        <v>0</v>
      </c>
      <c r="R24" s="1">
        <v>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240785.38541890634</v>
      </c>
      <c r="D26" s="1">
        <v>0</v>
      </c>
      <c r="E26" s="1">
        <v>0</v>
      </c>
      <c r="F26" s="1">
        <v>0</v>
      </c>
      <c r="G26" s="9">
        <f>SUM(MD_FINANCIAL)</f>
        <v>240785.38541890634</v>
      </c>
      <c r="I26" s="13" t="s">
        <v>46</v>
      </c>
      <c r="J26" s="16">
        <f>SUM(ADD_FINANCIAL)-SUM(LESS_FINANCIAL)</f>
        <v>16325113.880000025</v>
      </c>
      <c r="L26" s="6">
        <v>0</v>
      </c>
      <c r="M26" s="1">
        <v>0</v>
      </c>
      <c r="O26" s="1">
        <v>375000</v>
      </c>
      <c r="P26" s="1">
        <v>0</v>
      </c>
      <c r="R26" s="1">
        <v>0</v>
      </c>
      <c r="S26" s="1">
        <v>0</v>
      </c>
      <c r="U26" s="1">
        <v>0</v>
      </c>
      <c r="V26" s="9">
        <v>0</v>
      </c>
    </row>
    <row r="27" spans="1:22">
      <c r="A27" s="1" t="s">
        <v>47</v>
      </c>
      <c r="B27" s="6">
        <v>0</v>
      </c>
      <c r="C27" s="1">
        <v>0</v>
      </c>
      <c r="D27" s="1">
        <v>0</v>
      </c>
      <c r="E27" s="1">
        <v>0</v>
      </c>
      <c r="F27" s="1">
        <v>0</v>
      </c>
      <c r="G27" s="9">
        <f>SUM(MA_FINANCIAL)</f>
        <v>0</v>
      </c>
      <c r="I27" s="13" t="s">
        <v>48</v>
      </c>
      <c r="J27" s="16">
        <f>SUM(ALL_BLOCKS)</f>
        <v>16325113.880000001</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80131.980319196722</v>
      </c>
      <c r="D30" s="1">
        <v>0</v>
      </c>
      <c r="E30" s="1">
        <v>0</v>
      </c>
      <c r="F30" s="1">
        <v>0</v>
      </c>
      <c r="G30" s="9">
        <f>SUM(MS_FINANCIAL)</f>
        <v>80131.980319196722</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20601.513067498177</v>
      </c>
      <c r="D34" s="1">
        <v>0</v>
      </c>
      <c r="E34" s="1">
        <v>0</v>
      </c>
      <c r="F34" s="1">
        <v>0</v>
      </c>
      <c r="G34" s="9">
        <f>SUM(NV_FINANCIAL)</f>
        <v>20601.513067498177</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38525.144288472831</v>
      </c>
      <c r="D37" s="1">
        <v>0</v>
      </c>
      <c r="E37" s="1">
        <v>0</v>
      </c>
      <c r="F37" s="1">
        <v>0</v>
      </c>
      <c r="G37" s="9">
        <f>SUM(NM_FINANCIAL)</f>
        <v>38525.144288472831</v>
      </c>
      <c r="L37" s="6">
        <v>0</v>
      </c>
      <c r="M37" s="1">
        <v>0</v>
      </c>
      <c r="O37" s="1">
        <v>69889</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449.16766928768322</v>
      </c>
      <c r="C39" s="1">
        <v>1014267.8946200148</v>
      </c>
      <c r="D39" s="1">
        <v>0</v>
      </c>
      <c r="E39" s="1">
        <v>0</v>
      </c>
      <c r="F39" s="1">
        <v>0</v>
      </c>
      <c r="G39" s="9">
        <f>SUM(NC_FINANCIAL)</f>
        <v>1014717.0622893025</v>
      </c>
      <c r="L39" s="6">
        <v>0</v>
      </c>
      <c r="M39" s="1">
        <v>0</v>
      </c>
      <c r="O39" s="1">
        <v>1300000</v>
      </c>
      <c r="P39" s="1">
        <v>350000</v>
      </c>
      <c r="R39" s="1">
        <v>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2049.0499319271426</v>
      </c>
      <c r="C41" s="1">
        <v>2669552.9420914156</v>
      </c>
      <c r="D41" s="1">
        <v>0</v>
      </c>
      <c r="E41" s="1">
        <v>0</v>
      </c>
      <c r="F41" s="1">
        <v>0</v>
      </c>
      <c r="G41" s="9">
        <f>SUM(OH_FINANCIAL)</f>
        <v>2671601.9920233428</v>
      </c>
      <c r="L41" s="6">
        <v>0</v>
      </c>
      <c r="M41" s="1">
        <v>0</v>
      </c>
      <c r="O41" s="1">
        <v>3200000</v>
      </c>
      <c r="P41" s="1">
        <v>0</v>
      </c>
      <c r="R41" s="1">
        <v>0</v>
      </c>
      <c r="S41" s="1">
        <v>0</v>
      </c>
      <c r="U41" s="1">
        <v>0</v>
      </c>
      <c r="V41" s="9">
        <v>0</v>
      </c>
    </row>
    <row r="42" spans="1:22">
      <c r="A42" s="1" t="s">
        <v>63</v>
      </c>
      <c r="B42" s="6">
        <v>0</v>
      </c>
      <c r="C42" s="1">
        <v>257636.85080485744</v>
      </c>
      <c r="D42" s="1">
        <v>0</v>
      </c>
      <c r="E42" s="1">
        <v>0</v>
      </c>
      <c r="F42" s="1">
        <v>0</v>
      </c>
      <c r="G42" s="9">
        <f>SUM(OK_FINANCIAL)</f>
        <v>257636.85080485744</v>
      </c>
      <c r="L42" s="6">
        <v>0</v>
      </c>
      <c r="M42" s="1">
        <v>0</v>
      </c>
      <c r="O42" s="1">
        <v>6200</v>
      </c>
      <c r="P42" s="1">
        <v>60000</v>
      </c>
      <c r="R42" s="1">
        <v>0</v>
      </c>
      <c r="S42" s="1">
        <v>0</v>
      </c>
      <c r="U42" s="1">
        <v>0</v>
      </c>
      <c r="V42" s="9">
        <v>0</v>
      </c>
    </row>
    <row r="43" spans="1:22">
      <c r="A43" s="1" t="s">
        <v>64</v>
      </c>
      <c r="B43" s="6">
        <v>0</v>
      </c>
      <c r="C43" s="1">
        <v>5620.2147375166278</v>
      </c>
      <c r="D43" s="1">
        <v>0</v>
      </c>
      <c r="E43" s="1">
        <v>0</v>
      </c>
      <c r="F43" s="1">
        <v>0</v>
      </c>
      <c r="G43" s="9">
        <f>SUM(OR_FINANCIAL)</f>
        <v>5620.2147375166278</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2238.2533323820116</v>
      </c>
      <c r="C47" s="1">
        <v>61279.011316424338</v>
      </c>
      <c r="D47" s="1">
        <v>0</v>
      </c>
      <c r="E47" s="1">
        <v>0</v>
      </c>
      <c r="F47" s="1">
        <v>0</v>
      </c>
      <c r="G47" s="9">
        <f>SUM(SC_FINANCIAL)</f>
        <v>63517.264648806347</v>
      </c>
      <c r="L47" s="6"/>
      <c r="V47" s="9"/>
    </row>
    <row r="48" spans="1:22">
      <c r="A48" s="1" t="s">
        <v>69</v>
      </c>
      <c r="B48" s="6">
        <v>0</v>
      </c>
      <c r="C48" s="1">
        <v>0</v>
      </c>
      <c r="D48" s="1">
        <v>0</v>
      </c>
      <c r="E48" s="1">
        <v>0</v>
      </c>
      <c r="F48" s="1">
        <v>0</v>
      </c>
      <c r="G48" s="9">
        <f>SUM(SD_FINANCIAL)</f>
        <v>0</v>
      </c>
      <c r="L48" s="6"/>
      <c r="V48" s="9"/>
    </row>
    <row r="49" spans="1:22">
      <c r="A49" s="1" t="s">
        <v>70</v>
      </c>
      <c r="B49" s="6">
        <v>0</v>
      </c>
      <c r="C49" s="1">
        <v>122278.53772362793</v>
      </c>
      <c r="D49" s="1">
        <v>0</v>
      </c>
      <c r="E49" s="1">
        <v>0</v>
      </c>
      <c r="F49" s="1">
        <v>0</v>
      </c>
      <c r="G49" s="9">
        <f>SUM(TN_FINANCIAL)</f>
        <v>122278.53772362793</v>
      </c>
      <c r="L49" s="6"/>
      <c r="V49" s="9"/>
    </row>
    <row r="50" spans="1:22">
      <c r="A50" s="1" t="s">
        <v>71</v>
      </c>
      <c r="B50" s="6">
        <v>0</v>
      </c>
      <c r="C50" s="1">
        <v>2700639.5278583383</v>
      </c>
      <c r="D50" s="1">
        <v>0</v>
      </c>
      <c r="E50" s="1">
        <v>0</v>
      </c>
      <c r="F50" s="1">
        <v>0</v>
      </c>
      <c r="G50" s="9">
        <f>SUM(TX_FINANCIAL)</f>
        <v>2700639.5278583383</v>
      </c>
      <c r="L50" s="6">
        <v>306204</v>
      </c>
      <c r="M50" s="1">
        <v>49490.362081562751</v>
      </c>
      <c r="O50" s="1">
        <v>2944373</v>
      </c>
      <c r="P50" s="1">
        <v>475885.63791843725</v>
      </c>
      <c r="R50" s="1">
        <v>0</v>
      </c>
      <c r="S50" s="1">
        <v>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707.87667526424627</v>
      </c>
      <c r="C53" s="1">
        <v>381978.62940766744</v>
      </c>
      <c r="D53" s="1">
        <v>0</v>
      </c>
      <c r="E53" s="1">
        <v>0</v>
      </c>
      <c r="F53" s="1">
        <v>0</v>
      </c>
      <c r="G53" s="9">
        <f>SUM(VA_FINANCIAL)</f>
        <v>382686.50608293171</v>
      </c>
      <c r="L53" s="6">
        <v>1300</v>
      </c>
      <c r="M53" s="1">
        <v>0</v>
      </c>
      <c r="O53" s="1">
        <v>456000</v>
      </c>
      <c r="P53" s="1">
        <v>0</v>
      </c>
      <c r="R53" s="1">
        <v>0</v>
      </c>
      <c r="S53" s="1">
        <v>0</v>
      </c>
      <c r="U53" s="1">
        <v>0</v>
      </c>
      <c r="V53" s="9">
        <v>0</v>
      </c>
    </row>
    <row r="54" spans="1:22">
      <c r="A54" s="1" t="s">
        <v>75</v>
      </c>
      <c r="B54" s="6">
        <v>0</v>
      </c>
      <c r="C54" s="1">
        <v>4233.0127565402727</v>
      </c>
      <c r="D54" s="1">
        <v>0</v>
      </c>
      <c r="E54" s="1">
        <v>0</v>
      </c>
      <c r="F54" s="1">
        <v>0</v>
      </c>
      <c r="G54" s="9">
        <f>SUM(WA_FINANCIAL)</f>
        <v>4233.0127565402727</v>
      </c>
      <c r="L54" s="6"/>
      <c r="V54" s="9"/>
    </row>
    <row r="55" spans="1:22">
      <c r="A55" s="1" t="s">
        <v>76</v>
      </c>
      <c r="B55" s="6">
        <v>91.565198556084653</v>
      </c>
      <c r="C55" s="1">
        <v>107257.52422618613</v>
      </c>
      <c r="D55" s="1">
        <v>0</v>
      </c>
      <c r="E55" s="1">
        <v>0</v>
      </c>
      <c r="F55" s="1">
        <v>0</v>
      </c>
      <c r="G55" s="9">
        <f>SUM(WV_FINANCIAL)</f>
        <v>107349.08942474221</v>
      </c>
      <c r="L55" s="6">
        <v>0</v>
      </c>
      <c r="M55" s="1">
        <v>0</v>
      </c>
      <c r="O55" s="1">
        <v>0</v>
      </c>
      <c r="P55" s="1">
        <v>147404</v>
      </c>
      <c r="R55" s="1">
        <v>0</v>
      </c>
      <c r="S55" s="1">
        <v>0</v>
      </c>
      <c r="U55" s="1">
        <v>0</v>
      </c>
      <c r="V55" s="9">
        <v>0</v>
      </c>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48630.912068676385</v>
      </c>
      <c r="C60" s="1">
        <f>SUM(ALLOCATED)</f>
        <v>16276482.967931326</v>
      </c>
      <c r="D60" s="1">
        <f>SUM(HEALTH)</f>
        <v>0</v>
      </c>
      <c r="E60" s="1">
        <f>SUM(UNALLOCATED)</f>
        <v>0</v>
      </c>
      <c r="F60" s="1">
        <f>SUM(LTC)</f>
        <v>0</v>
      </c>
      <c r="G60" s="9">
        <f>SUM(ALL_BLOCKS)</f>
        <v>16325113.880000001</v>
      </c>
      <c r="L60" s="6">
        <f>SUM(LIFE_CALLED)</f>
        <v>340667</v>
      </c>
      <c r="M60" s="1">
        <f>SUM(LIFE_REFUNDED)</f>
        <v>49490.362081562751</v>
      </c>
      <c r="O60" s="1">
        <f>SUM(ALLOC_CALLED)</f>
        <v>17248265</v>
      </c>
      <c r="P60" s="1">
        <f>SUM(ALLOC_REFUNDED)</f>
        <v>1038487.1079184372</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98</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6012746.9092889763</v>
      </c>
      <c r="C6" s="1">
        <v>7332220.9271604177</v>
      </c>
      <c r="D6" s="1">
        <v>11205.333977178834</v>
      </c>
      <c r="E6" s="1">
        <v>0</v>
      </c>
      <c r="F6" s="1">
        <v>0</v>
      </c>
      <c r="G6" s="9">
        <f>SUM(AL_FINANCIAL)</f>
        <v>13356173.170426574</v>
      </c>
      <c r="L6" s="6"/>
      <c r="V6" s="9"/>
    </row>
    <row r="7" spans="1:22">
      <c r="A7" s="1" t="s">
        <v>12</v>
      </c>
      <c r="B7" s="6">
        <v>100567.69941834056</v>
      </c>
      <c r="C7" s="1">
        <v>859793.52329287108</v>
      </c>
      <c r="D7" s="1">
        <v>0</v>
      </c>
      <c r="E7" s="1">
        <v>0</v>
      </c>
      <c r="F7" s="1">
        <v>0</v>
      </c>
      <c r="G7" s="9">
        <f>SUM(AK_FINANCIAL)</f>
        <v>960361.22271121165</v>
      </c>
      <c r="I7" s="12"/>
      <c r="J7" s="15"/>
      <c r="L7" s="6"/>
      <c r="V7" s="9"/>
    </row>
    <row r="8" spans="1:22">
      <c r="A8" s="1" t="s">
        <v>13</v>
      </c>
      <c r="B8" s="6">
        <v>900860.75471904373</v>
      </c>
      <c r="C8" s="1">
        <v>12978636.289622899</v>
      </c>
      <c r="D8" s="1">
        <v>1295.3839357270485</v>
      </c>
      <c r="E8" s="1">
        <v>0</v>
      </c>
      <c r="F8" s="1">
        <v>0</v>
      </c>
      <c r="G8" s="9">
        <f>SUM(AZ_FINANCIAL)</f>
        <v>13880792.428277669</v>
      </c>
      <c r="I8" s="13" t="s">
        <v>14</v>
      </c>
      <c r="J8" s="16"/>
      <c r="L8" s="6"/>
      <c r="V8" s="9"/>
    </row>
    <row r="9" spans="1:22">
      <c r="A9" s="1" t="s">
        <v>15</v>
      </c>
      <c r="B9" s="6">
        <v>773398.29962174222</v>
      </c>
      <c r="C9" s="1">
        <v>2533867.4764092066</v>
      </c>
      <c r="D9" s="1">
        <v>432.08679317553106</v>
      </c>
      <c r="E9" s="1">
        <v>0</v>
      </c>
      <c r="F9" s="1">
        <v>0</v>
      </c>
      <c r="G9" s="9">
        <f>SUM(AR_FINANCIAL)</f>
        <v>3307697.8628241243</v>
      </c>
      <c r="I9" s="13"/>
      <c r="J9" s="16"/>
      <c r="L9" s="6"/>
      <c r="V9" s="9"/>
    </row>
    <row r="10" spans="1:22">
      <c r="A10" s="1" t="s">
        <v>16</v>
      </c>
      <c r="B10" s="6">
        <v>15565825.287290547</v>
      </c>
      <c r="C10" s="1">
        <v>27008010.443008754</v>
      </c>
      <c r="D10" s="1">
        <v>310383.80717075575</v>
      </c>
      <c r="E10" s="1">
        <v>0</v>
      </c>
      <c r="F10" s="1">
        <v>0</v>
      </c>
      <c r="G10" s="9">
        <f>SUM(CA_FINANCIAL)</f>
        <v>42884219.537470058</v>
      </c>
      <c r="I10" s="13" t="s">
        <v>17</v>
      </c>
      <c r="J10" s="16">
        <v>1275261107.2480211</v>
      </c>
      <c r="L10" s="6"/>
      <c r="V10" s="9"/>
    </row>
    <row r="11" spans="1:22">
      <c r="A11" s="1" t="s">
        <v>18</v>
      </c>
      <c r="B11" s="6">
        <v>899554.42902676738</v>
      </c>
      <c r="C11" s="1">
        <v>8230005.9363572197</v>
      </c>
      <c r="D11" s="1">
        <v>510.96673513455295</v>
      </c>
      <c r="E11" s="1">
        <v>0</v>
      </c>
      <c r="F11" s="1">
        <v>0</v>
      </c>
      <c r="G11" s="9">
        <f>SUM(CO_FINANCIAL)</f>
        <v>9130071.3321191203</v>
      </c>
      <c r="I11" s="13"/>
      <c r="J11" s="16"/>
      <c r="L11" s="6"/>
      <c r="V11" s="9"/>
    </row>
    <row r="12" spans="1:22">
      <c r="A12" s="1" t="s">
        <v>19</v>
      </c>
      <c r="B12" s="6">
        <v>363412.03684513026</v>
      </c>
      <c r="C12" s="1">
        <v>36045940.398413084</v>
      </c>
      <c r="D12" s="1">
        <v>0</v>
      </c>
      <c r="E12" s="1">
        <v>0</v>
      </c>
      <c r="F12" s="1">
        <v>0</v>
      </c>
      <c r="G12" s="9">
        <f>SUM(CT_FINANCIAL)</f>
        <v>36409352.435258217</v>
      </c>
      <c r="I12" s="13" t="s">
        <v>20</v>
      </c>
      <c r="J12" s="16"/>
      <c r="L12" s="6"/>
      <c r="V12" s="9"/>
    </row>
    <row r="13" spans="1:22">
      <c r="A13" s="1" t="s">
        <v>21</v>
      </c>
      <c r="B13" s="6">
        <v>189843.24372601803</v>
      </c>
      <c r="C13" s="1">
        <v>11001584.035301037</v>
      </c>
      <c r="D13" s="1">
        <v>335.6779752256154</v>
      </c>
      <c r="E13" s="1">
        <v>0</v>
      </c>
      <c r="F13" s="1">
        <v>0</v>
      </c>
      <c r="G13" s="9">
        <f>SUM(DE_FINANCIAL)</f>
        <v>11191762.957002282</v>
      </c>
      <c r="I13" s="13" t="s">
        <v>22</v>
      </c>
      <c r="J13" s="16">
        <v>0</v>
      </c>
      <c r="L13" s="6"/>
      <c r="V13" s="9"/>
    </row>
    <row r="14" spans="1:22">
      <c r="A14" s="1" t="s">
        <v>23</v>
      </c>
      <c r="B14" s="6">
        <v>1620915.1565676383</v>
      </c>
      <c r="C14" s="1">
        <v>1042133.9295530885</v>
      </c>
      <c r="D14" s="1">
        <v>3917.7037839647542</v>
      </c>
      <c r="E14" s="1">
        <v>0</v>
      </c>
      <c r="F14" s="1">
        <v>0</v>
      </c>
      <c r="G14" s="9">
        <f>SUM(DC_FINANCIAL)</f>
        <v>2666966.7899046913</v>
      </c>
      <c r="I14" s="13" t="s">
        <v>24</v>
      </c>
      <c r="J14" s="16">
        <v>0</v>
      </c>
      <c r="L14" s="6"/>
      <c r="V14" s="9"/>
    </row>
    <row r="15" spans="1:22">
      <c r="A15" s="1" t="s">
        <v>25</v>
      </c>
      <c r="B15" s="6">
        <v>3175678.7151665483</v>
      </c>
      <c r="C15" s="1">
        <v>62209170.205344513</v>
      </c>
      <c r="D15" s="1">
        <v>5093.0149191541805</v>
      </c>
      <c r="E15" s="1">
        <v>0</v>
      </c>
      <c r="F15" s="1">
        <v>0</v>
      </c>
      <c r="G15" s="9">
        <f>SUM(FL_FINANCIAL)</f>
        <v>65389941.935430214</v>
      </c>
      <c r="I15" s="13" t="s">
        <v>26</v>
      </c>
      <c r="J15" s="16">
        <v>2433583.0000000014</v>
      </c>
      <c r="L15" s="6"/>
      <c r="V15" s="9"/>
    </row>
    <row r="16" spans="1:22">
      <c r="A16" s="1" t="s">
        <v>27</v>
      </c>
      <c r="B16" s="6">
        <v>3866242.6629091068</v>
      </c>
      <c r="C16" s="1">
        <v>13403547.578803554</v>
      </c>
      <c r="D16" s="1">
        <v>1175.3111351894263</v>
      </c>
      <c r="E16" s="1">
        <v>0</v>
      </c>
      <c r="F16" s="1">
        <v>0</v>
      </c>
      <c r="G16" s="9">
        <f>SUM(GA_FINANCIAL)</f>
        <v>17270965.552847847</v>
      </c>
      <c r="I16" s="13" t="s">
        <v>28</v>
      </c>
      <c r="J16" s="16">
        <v>1115261107.2480211</v>
      </c>
      <c r="L16" s="6"/>
      <c r="V16" s="9"/>
    </row>
    <row r="17" spans="1:22">
      <c r="A17" s="1" t="s">
        <v>29</v>
      </c>
      <c r="B17" s="6">
        <v>471405.13514664146</v>
      </c>
      <c r="C17" s="1">
        <v>1419784.3785973033</v>
      </c>
      <c r="D17" s="1">
        <v>5386.6235920016506</v>
      </c>
      <c r="E17" s="1">
        <v>0</v>
      </c>
      <c r="F17" s="1">
        <v>0</v>
      </c>
      <c r="G17" s="9">
        <f>SUM(HI_FINANCIAL)</f>
        <v>1896576.1373359463</v>
      </c>
      <c r="I17" s="13"/>
      <c r="J17" s="16"/>
      <c r="L17" s="6"/>
      <c r="V17" s="9"/>
    </row>
    <row r="18" spans="1:22">
      <c r="A18" s="1" t="s">
        <v>30</v>
      </c>
      <c r="B18" s="6">
        <v>186602.25013597737</v>
      </c>
      <c r="C18" s="1">
        <v>1729920.2796742646</v>
      </c>
      <c r="D18" s="1">
        <v>1644.2085679458341</v>
      </c>
      <c r="E18" s="1">
        <v>0</v>
      </c>
      <c r="F18" s="1">
        <v>0</v>
      </c>
      <c r="G18" s="9">
        <f>SUM(ID_FINANCIAL)</f>
        <v>1918166.7383781876</v>
      </c>
      <c r="I18" s="13" t="s">
        <v>31</v>
      </c>
      <c r="J18" s="16"/>
      <c r="L18" s="6"/>
      <c r="V18" s="9"/>
    </row>
    <row r="19" spans="1:22">
      <c r="A19" s="1" t="s">
        <v>32</v>
      </c>
      <c r="B19" s="6">
        <v>6946931.9078324679</v>
      </c>
      <c r="C19" s="1">
        <v>22166787.564067349</v>
      </c>
      <c r="D19" s="1">
        <v>2464.559964319662</v>
      </c>
      <c r="E19" s="1">
        <v>0</v>
      </c>
      <c r="F19" s="1">
        <v>0</v>
      </c>
      <c r="G19" s="9">
        <f>SUM(IL_FINANCIAL)</f>
        <v>29116184.031864133</v>
      </c>
      <c r="I19" s="13" t="s">
        <v>33</v>
      </c>
      <c r="J19" s="16">
        <v>159999999.99999994</v>
      </c>
      <c r="L19" s="6"/>
      <c r="V19" s="9"/>
    </row>
    <row r="20" spans="1:22">
      <c r="A20" s="1" t="s">
        <v>34</v>
      </c>
      <c r="B20" s="6">
        <v>1504013.5038871893</v>
      </c>
      <c r="C20" s="1">
        <v>8685816.5661385674</v>
      </c>
      <c r="D20" s="1">
        <v>573.19424490222582</v>
      </c>
      <c r="E20" s="1">
        <v>0</v>
      </c>
      <c r="F20" s="1">
        <v>0</v>
      </c>
      <c r="G20" s="9">
        <f>SUM(IN_FINANCIAL)</f>
        <v>10190403.26427066</v>
      </c>
      <c r="I20" s="13" t="s">
        <v>35</v>
      </c>
      <c r="J20" s="16">
        <v>1115261107.2480211</v>
      </c>
      <c r="L20" s="6"/>
      <c r="V20" s="9"/>
    </row>
    <row r="21" spans="1:22">
      <c r="A21" s="1" t="s">
        <v>36</v>
      </c>
      <c r="B21" s="6">
        <v>269376.74325659015</v>
      </c>
      <c r="C21" s="1">
        <v>12346602.865123004</v>
      </c>
      <c r="D21" s="1">
        <v>0</v>
      </c>
      <c r="E21" s="1">
        <v>0</v>
      </c>
      <c r="F21" s="1">
        <v>0</v>
      </c>
      <c r="G21" s="9">
        <f>SUM(IA_FINANCIAL)</f>
        <v>12615979.608379593</v>
      </c>
      <c r="I21" s="13" t="s">
        <v>37</v>
      </c>
      <c r="J21" s="16"/>
      <c r="L21" s="6"/>
      <c r="V21" s="9"/>
    </row>
    <row r="22" spans="1:22">
      <c r="A22" s="1" t="s">
        <v>38</v>
      </c>
      <c r="B22" s="6">
        <v>569780.15750988782</v>
      </c>
      <c r="C22" s="1">
        <v>15639266.772977056</v>
      </c>
      <c r="D22" s="1">
        <v>0</v>
      </c>
      <c r="E22" s="1">
        <v>0</v>
      </c>
      <c r="F22" s="1">
        <v>0</v>
      </c>
      <c r="G22" s="9">
        <f>SUM(KS_FINANCIAL)</f>
        <v>16209046.930486944</v>
      </c>
      <c r="I22" s="13" t="s">
        <v>39</v>
      </c>
      <c r="J22" s="16">
        <v>0</v>
      </c>
      <c r="L22" s="6"/>
      <c r="V22" s="9"/>
    </row>
    <row r="23" spans="1:22">
      <c r="A23" s="1" t="s">
        <v>40</v>
      </c>
      <c r="B23" s="6">
        <v>1640750.3131834792</v>
      </c>
      <c r="C23" s="1">
        <v>6462169.2411725549</v>
      </c>
      <c r="D23" s="1">
        <v>240.14560107524443</v>
      </c>
      <c r="E23" s="1">
        <v>0</v>
      </c>
      <c r="F23" s="1">
        <v>0</v>
      </c>
      <c r="G23" s="9">
        <f>SUM(KY_FINANCIAL)</f>
        <v>8103159.6999571091</v>
      </c>
      <c r="I23" s="13" t="s">
        <v>41</v>
      </c>
      <c r="J23" s="16"/>
      <c r="L23" s="6"/>
      <c r="V23" s="9"/>
    </row>
    <row r="24" spans="1:22">
      <c r="A24" s="1" t="s">
        <v>42</v>
      </c>
      <c r="B24" s="6">
        <v>720887.17571681994</v>
      </c>
      <c r="C24" s="1">
        <v>7865517.2976480909</v>
      </c>
      <c r="D24" s="1">
        <v>0</v>
      </c>
      <c r="E24" s="1">
        <v>0</v>
      </c>
      <c r="F24" s="1">
        <v>0</v>
      </c>
      <c r="G24" s="9">
        <f>SUM(LA_FINANCIAL)</f>
        <v>8586404.4733649101</v>
      </c>
      <c r="I24" s="13" t="s">
        <v>43</v>
      </c>
      <c r="J24" s="16">
        <v>0</v>
      </c>
      <c r="L24" s="6"/>
      <c r="V24" s="9"/>
    </row>
    <row r="25" spans="1:22">
      <c r="A25" s="1" t="s">
        <v>44</v>
      </c>
      <c r="B25" s="6">
        <v>28382.941921116882</v>
      </c>
      <c r="C25" s="1">
        <v>4017102.9110154714</v>
      </c>
      <c r="D25" s="1">
        <v>0</v>
      </c>
      <c r="E25" s="1">
        <v>0</v>
      </c>
      <c r="F25" s="1">
        <v>0</v>
      </c>
      <c r="G25" s="9">
        <f>SUM(ME_FINANCIAL)</f>
        <v>4045485.8529365882</v>
      </c>
      <c r="I25" s="13"/>
      <c r="J25" s="16"/>
      <c r="L25" s="6"/>
      <c r="V25" s="9"/>
    </row>
    <row r="26" spans="1:22">
      <c r="A26" s="1" t="s">
        <v>45</v>
      </c>
      <c r="B26" s="6">
        <v>22143233.746621192</v>
      </c>
      <c r="C26" s="1">
        <v>18717003.767428949</v>
      </c>
      <c r="D26" s="1">
        <v>110422.27786083566</v>
      </c>
      <c r="E26" s="1">
        <v>0</v>
      </c>
      <c r="F26" s="1">
        <v>0</v>
      </c>
      <c r="G26" s="9">
        <f>SUM(MD_FINANCIAL)</f>
        <v>40970659.791910976</v>
      </c>
      <c r="I26" s="13" t="s">
        <v>46</v>
      </c>
      <c r="J26" s="16">
        <f>SUM(ADD_FINANCIAL)-SUM(LESS_FINANCIAL)</f>
        <v>1117694690.2480211</v>
      </c>
      <c r="L26" s="6"/>
      <c r="V26" s="9"/>
    </row>
    <row r="27" spans="1:22">
      <c r="A27" s="1" t="s">
        <v>47</v>
      </c>
      <c r="B27" s="6">
        <v>469354.79524579475</v>
      </c>
      <c r="C27" s="1">
        <v>114525570.38517494</v>
      </c>
      <c r="D27" s="1">
        <v>0</v>
      </c>
      <c r="E27" s="1">
        <v>0</v>
      </c>
      <c r="F27" s="1">
        <v>0</v>
      </c>
      <c r="G27" s="9">
        <f>SUM(MA_FINANCIAL)</f>
        <v>114994925.18042074</v>
      </c>
      <c r="I27" s="13" t="s">
        <v>48</v>
      </c>
      <c r="J27" s="16">
        <f>SUM(ALL_BLOCKS)</f>
        <v>1117694690.2480211</v>
      </c>
      <c r="L27" s="6">
        <v>0</v>
      </c>
      <c r="M27" s="1">
        <v>0</v>
      </c>
      <c r="O27" s="1">
        <v>0</v>
      </c>
      <c r="P27" s="1">
        <v>0</v>
      </c>
      <c r="R27" s="1">
        <v>0</v>
      </c>
      <c r="S27" s="1">
        <v>0</v>
      </c>
      <c r="U27" s="1">
        <v>0</v>
      </c>
      <c r="V27" s="9">
        <v>0</v>
      </c>
    </row>
    <row r="28" spans="1:22">
      <c r="A28" s="1" t="s">
        <v>49</v>
      </c>
      <c r="B28" s="6">
        <v>2578899.5468752403</v>
      </c>
      <c r="C28" s="1">
        <v>73060524.888043851</v>
      </c>
      <c r="D28" s="1">
        <v>4630.252592994585</v>
      </c>
      <c r="E28" s="1">
        <v>0</v>
      </c>
      <c r="F28" s="1">
        <v>0</v>
      </c>
      <c r="G28" s="9">
        <f>SUM(MI_FINANCIAL)</f>
        <v>75644054.687512085</v>
      </c>
      <c r="I28" s="14"/>
      <c r="J28" s="17"/>
      <c r="L28" s="6"/>
      <c r="V28" s="9"/>
    </row>
    <row r="29" spans="1:22">
      <c r="A29" s="1" t="s">
        <v>50</v>
      </c>
      <c r="B29" s="6">
        <v>79277.95699423115</v>
      </c>
      <c r="C29" s="1">
        <v>12655880.113416649</v>
      </c>
      <c r="D29" s="1">
        <v>0</v>
      </c>
      <c r="E29" s="1">
        <v>0</v>
      </c>
      <c r="F29" s="1">
        <v>0</v>
      </c>
      <c r="G29" s="9">
        <f>SUM(MN_FINANCIAL)</f>
        <v>12735158.070410881</v>
      </c>
      <c r="L29" s="6"/>
      <c r="V29" s="9"/>
    </row>
    <row r="30" spans="1:22">
      <c r="A30" s="1" t="s">
        <v>51</v>
      </c>
      <c r="B30" s="6">
        <v>1695125.4407940053</v>
      </c>
      <c r="C30" s="1">
        <v>3560934.3950965102</v>
      </c>
      <c r="D30" s="1">
        <v>170.03009711166942</v>
      </c>
      <c r="E30" s="1">
        <v>0</v>
      </c>
      <c r="F30" s="1">
        <v>0</v>
      </c>
      <c r="G30" s="9">
        <f>SUM(MS_FINANCIAL)</f>
        <v>5256229.8659876278</v>
      </c>
      <c r="L30" s="6"/>
      <c r="V30" s="9"/>
    </row>
    <row r="31" spans="1:22">
      <c r="A31" s="1" t="s">
        <v>52</v>
      </c>
      <c r="B31" s="6">
        <v>1090994.5570942734</v>
      </c>
      <c r="C31" s="1">
        <v>12206936.449210802</v>
      </c>
      <c r="D31" s="1">
        <v>255.92158946704882</v>
      </c>
      <c r="E31" s="1">
        <v>0</v>
      </c>
      <c r="F31" s="1">
        <v>0</v>
      </c>
      <c r="G31" s="9">
        <f>SUM(MO_FINANCIAL)</f>
        <v>13298186.927894544</v>
      </c>
      <c r="L31" s="6"/>
      <c r="V31" s="9"/>
    </row>
    <row r="32" spans="1:22">
      <c r="A32" s="1" t="s">
        <v>53</v>
      </c>
      <c r="B32" s="6">
        <v>82500.530448568272</v>
      </c>
      <c r="C32" s="1">
        <v>919844.15651759156</v>
      </c>
      <c r="D32" s="1">
        <v>347.07174461969635</v>
      </c>
      <c r="E32" s="1">
        <v>0</v>
      </c>
      <c r="F32" s="1">
        <v>0</v>
      </c>
      <c r="G32" s="9">
        <f>SUM(MT_FINANCIAL)</f>
        <v>1002691.7587107796</v>
      </c>
      <c r="L32" s="6"/>
      <c r="V32" s="9"/>
    </row>
    <row r="33" spans="1:22">
      <c r="A33" s="1" t="s">
        <v>54</v>
      </c>
      <c r="B33" s="6">
        <v>135579.86367942978</v>
      </c>
      <c r="C33" s="1">
        <v>3589981.2716852855</v>
      </c>
      <c r="D33" s="1">
        <v>0</v>
      </c>
      <c r="E33" s="1">
        <v>0</v>
      </c>
      <c r="F33" s="1">
        <v>0</v>
      </c>
      <c r="G33" s="9">
        <f>SUM(NE_FINANCIAL)</f>
        <v>3725561.1353647155</v>
      </c>
      <c r="L33" s="6"/>
      <c r="V33" s="9"/>
    </row>
    <row r="34" spans="1:22">
      <c r="A34" s="1" t="s">
        <v>55</v>
      </c>
      <c r="B34" s="6">
        <v>503058.02742880239</v>
      </c>
      <c r="C34" s="1">
        <v>2990437.6677101315</v>
      </c>
      <c r="D34" s="1">
        <v>1126.2302824149237</v>
      </c>
      <c r="E34" s="1">
        <v>0</v>
      </c>
      <c r="F34" s="1">
        <v>0</v>
      </c>
      <c r="G34" s="9">
        <f>SUM(NV_FINANCIAL)</f>
        <v>3494621.9254213488</v>
      </c>
      <c r="L34" s="6"/>
      <c r="V34" s="9"/>
    </row>
    <row r="35" spans="1:22">
      <c r="A35" s="1" t="s">
        <v>56</v>
      </c>
      <c r="B35" s="6">
        <v>95983.035928848301</v>
      </c>
      <c r="C35" s="1">
        <v>28926138.13966269</v>
      </c>
      <c r="D35" s="1">
        <v>0</v>
      </c>
      <c r="E35" s="1">
        <v>0</v>
      </c>
      <c r="F35" s="1">
        <v>0</v>
      </c>
      <c r="G35" s="9">
        <f>SUM(NH_FINANCIAL)</f>
        <v>29022121.17559154</v>
      </c>
      <c r="L35" s="6"/>
      <c r="V35" s="9"/>
    </row>
    <row r="36" spans="1:22">
      <c r="A36" s="1" t="s">
        <v>57</v>
      </c>
      <c r="B36" s="6">
        <v>1886322.3085662024</v>
      </c>
      <c r="C36" s="1">
        <v>25628693.058490589</v>
      </c>
      <c r="D36" s="1">
        <v>1081.5316486381446</v>
      </c>
      <c r="E36" s="1">
        <v>0</v>
      </c>
      <c r="F36" s="1">
        <v>0</v>
      </c>
      <c r="G36" s="9">
        <f>SUM(NJ_FINANCIAL)</f>
        <v>27516096.89870543</v>
      </c>
      <c r="L36" s="6"/>
      <c r="V36" s="9"/>
    </row>
    <row r="37" spans="1:22">
      <c r="A37" s="1" t="s">
        <v>58</v>
      </c>
      <c r="B37" s="6">
        <v>487600.55862563371</v>
      </c>
      <c r="C37" s="1">
        <v>1585617.6416673246</v>
      </c>
      <c r="D37" s="1">
        <v>96.408817949915644</v>
      </c>
      <c r="E37" s="1">
        <v>0</v>
      </c>
      <c r="F37" s="1">
        <v>0</v>
      </c>
      <c r="G37" s="9">
        <f>SUM(NM_FINANCIAL)</f>
        <v>2073314.6091109083</v>
      </c>
      <c r="L37" s="6"/>
      <c r="V37" s="9"/>
    </row>
    <row r="38" spans="1:22">
      <c r="A38" s="1" t="s">
        <v>59</v>
      </c>
      <c r="B38" s="6">
        <v>0</v>
      </c>
      <c r="C38" s="1">
        <v>0</v>
      </c>
      <c r="D38" s="1">
        <v>0</v>
      </c>
      <c r="E38" s="1">
        <v>0</v>
      </c>
      <c r="F38" s="1">
        <v>0</v>
      </c>
      <c r="G38" s="9">
        <f>SUM(NY_FINANCIAL)</f>
        <v>0</v>
      </c>
      <c r="L38" s="6"/>
      <c r="V38" s="9"/>
    </row>
    <row r="39" spans="1:22">
      <c r="A39" s="1" t="s">
        <v>60</v>
      </c>
      <c r="B39" s="6">
        <v>7169769.5368265072</v>
      </c>
      <c r="C39" s="1">
        <v>22840383.983758435</v>
      </c>
      <c r="D39" s="1">
        <v>1762.5284808843669</v>
      </c>
      <c r="E39" s="1">
        <v>0</v>
      </c>
      <c r="F39" s="1">
        <v>0</v>
      </c>
      <c r="G39" s="9">
        <f>SUM(NC_FINANCIAL)</f>
        <v>30011916.049065825</v>
      </c>
      <c r="L39" s="6"/>
      <c r="V39" s="9"/>
    </row>
    <row r="40" spans="1:22">
      <c r="A40" s="1" t="s">
        <v>61</v>
      </c>
      <c r="B40" s="6">
        <v>44213.312780940854</v>
      </c>
      <c r="C40" s="1">
        <v>2260160.8382020229</v>
      </c>
      <c r="D40" s="1">
        <v>0</v>
      </c>
      <c r="E40" s="1">
        <v>0</v>
      </c>
      <c r="F40" s="1">
        <v>0</v>
      </c>
      <c r="G40" s="9">
        <f>SUM(ND_FINANCIAL)</f>
        <v>2304374.1509829639</v>
      </c>
      <c r="L40" s="6"/>
      <c r="V40" s="9"/>
    </row>
    <row r="41" spans="1:22">
      <c r="A41" s="1" t="s">
        <v>62</v>
      </c>
      <c r="B41" s="6">
        <v>4843631.0936439345</v>
      </c>
      <c r="C41" s="1">
        <v>57873177.31022694</v>
      </c>
      <c r="D41" s="1">
        <v>475.90898315276547</v>
      </c>
      <c r="E41" s="1">
        <v>0</v>
      </c>
      <c r="F41" s="1">
        <v>0</v>
      </c>
      <c r="G41" s="9">
        <f>SUM(OH_FINANCIAL)</f>
        <v>62717284.312854029</v>
      </c>
      <c r="L41" s="6"/>
      <c r="V41" s="9"/>
    </row>
    <row r="42" spans="1:22">
      <c r="A42" s="1" t="s">
        <v>63</v>
      </c>
      <c r="B42" s="6">
        <v>650240.75958935369</v>
      </c>
      <c r="C42" s="1">
        <v>4128554.3313526968</v>
      </c>
      <c r="D42" s="1">
        <v>228.75183168116351</v>
      </c>
      <c r="E42" s="1">
        <v>0</v>
      </c>
      <c r="F42" s="1">
        <v>0</v>
      </c>
      <c r="G42" s="9">
        <f>SUM(OK_FINANCIAL)</f>
        <v>4779023.8427737318</v>
      </c>
      <c r="L42" s="6"/>
      <c r="V42" s="9"/>
    </row>
    <row r="43" spans="1:22">
      <c r="A43" s="1" t="s">
        <v>64</v>
      </c>
      <c r="B43" s="6">
        <v>317036.27493614348</v>
      </c>
      <c r="C43" s="1">
        <v>6236819.3080022829</v>
      </c>
      <c r="D43" s="1">
        <v>318.14909923472163</v>
      </c>
      <c r="E43" s="1">
        <v>0</v>
      </c>
      <c r="F43" s="1">
        <v>0</v>
      </c>
      <c r="G43" s="9">
        <f>SUM(OR_FINANCIAL)</f>
        <v>6554173.7320376607</v>
      </c>
      <c r="L43" s="6"/>
      <c r="V43" s="9"/>
    </row>
    <row r="44" spans="1:22">
      <c r="A44" s="1" t="s">
        <v>65</v>
      </c>
      <c r="B44" s="6">
        <v>3051066.6309052147</v>
      </c>
      <c r="C44" s="1">
        <v>187449248.06578445</v>
      </c>
      <c r="D44" s="1">
        <v>3908.9393459693074</v>
      </c>
      <c r="E44" s="1">
        <v>0</v>
      </c>
      <c r="F44" s="1">
        <v>0</v>
      </c>
      <c r="G44" s="9">
        <f>SUM(PA_FINANCIAL)</f>
        <v>190504223.63603562</v>
      </c>
      <c r="L44" s="6"/>
      <c r="V44" s="9"/>
    </row>
    <row r="45" spans="1:22">
      <c r="A45" s="1" t="s">
        <v>66</v>
      </c>
      <c r="B45" s="6">
        <v>0</v>
      </c>
      <c r="C45" s="1">
        <v>0</v>
      </c>
      <c r="D45" s="1">
        <v>0</v>
      </c>
      <c r="E45" s="1">
        <v>0</v>
      </c>
      <c r="F45" s="1">
        <v>0</v>
      </c>
      <c r="G45" s="9">
        <f>SUM(PR_FINANCIAL)</f>
        <v>0</v>
      </c>
      <c r="L45" s="6"/>
      <c r="V45" s="9"/>
    </row>
    <row r="46" spans="1:22">
      <c r="A46" s="1" t="s">
        <v>67</v>
      </c>
      <c r="B46" s="6">
        <v>55629.739322894828</v>
      </c>
      <c r="C46" s="1">
        <v>63304676.856143326</v>
      </c>
      <c r="D46" s="1">
        <v>0</v>
      </c>
      <c r="E46" s="1">
        <v>0</v>
      </c>
      <c r="F46" s="1">
        <v>0</v>
      </c>
      <c r="G46" s="9">
        <f>SUM(RI_FINANCIAL)</f>
        <v>63360306.595466219</v>
      </c>
      <c r="L46" s="6"/>
      <c r="V46" s="9"/>
    </row>
    <row r="47" spans="1:22">
      <c r="A47" s="1" t="s">
        <v>68</v>
      </c>
      <c r="B47" s="6">
        <v>2371459.2978363703</v>
      </c>
      <c r="C47" s="1">
        <v>8392252.1138446275</v>
      </c>
      <c r="D47" s="1">
        <v>1202.4808929753117</v>
      </c>
      <c r="E47" s="1">
        <v>0</v>
      </c>
      <c r="F47" s="1">
        <v>0</v>
      </c>
      <c r="G47" s="9">
        <f>SUM(SC_FINANCIAL)</f>
        <v>10764913.892573973</v>
      </c>
      <c r="L47" s="6">
        <v>0</v>
      </c>
      <c r="M47" s="1">
        <v>0</v>
      </c>
      <c r="O47" s="1">
        <v>0</v>
      </c>
      <c r="P47" s="1">
        <v>0</v>
      </c>
      <c r="R47" s="1">
        <v>0</v>
      </c>
      <c r="S47" s="1">
        <v>0</v>
      </c>
      <c r="U47" s="1">
        <v>0</v>
      </c>
      <c r="V47" s="9">
        <v>0</v>
      </c>
    </row>
    <row r="48" spans="1:22">
      <c r="A48" s="1" t="s">
        <v>69</v>
      </c>
      <c r="B48" s="6">
        <v>51106.983071728879</v>
      </c>
      <c r="C48" s="1">
        <v>2136772.8121722001</v>
      </c>
      <c r="D48" s="1">
        <v>0</v>
      </c>
      <c r="E48" s="1">
        <v>0</v>
      </c>
      <c r="F48" s="1">
        <v>0</v>
      </c>
      <c r="G48" s="9">
        <f>SUM(SD_FINANCIAL)</f>
        <v>2187879.7952439291</v>
      </c>
      <c r="L48" s="6"/>
      <c r="V48" s="9"/>
    </row>
    <row r="49" spans="1:22">
      <c r="A49" s="1" t="s">
        <v>70</v>
      </c>
      <c r="B49" s="6">
        <v>2098101.1352148638</v>
      </c>
      <c r="C49" s="1">
        <v>12812068.920207595</v>
      </c>
      <c r="D49" s="1">
        <v>643.30974886580088</v>
      </c>
      <c r="E49" s="1">
        <v>0</v>
      </c>
      <c r="F49" s="1">
        <v>0</v>
      </c>
      <c r="G49" s="9">
        <f>SUM(TN_FINANCIAL)</f>
        <v>14910813.365171324</v>
      </c>
      <c r="L49" s="6"/>
      <c r="V49" s="9"/>
    </row>
    <row r="50" spans="1:22">
      <c r="A50" s="1" t="s">
        <v>71</v>
      </c>
      <c r="B50" s="6">
        <v>4244329.5634828694</v>
      </c>
      <c r="C50" s="1">
        <v>38121398.789936006</v>
      </c>
      <c r="D50" s="1">
        <v>2106.0944503058845</v>
      </c>
      <c r="E50" s="1">
        <v>0</v>
      </c>
      <c r="F50" s="1">
        <v>0</v>
      </c>
      <c r="G50" s="9">
        <f>SUM(TX_FINANCIAL)</f>
        <v>42367834.447869174</v>
      </c>
      <c r="L50" s="6"/>
      <c r="V50" s="9"/>
    </row>
    <row r="51" spans="1:22">
      <c r="A51" s="1" t="s">
        <v>72</v>
      </c>
      <c r="B51" s="6">
        <v>172277.12031401676</v>
      </c>
      <c r="C51" s="1">
        <v>2503165.2609934802</v>
      </c>
      <c r="D51" s="1">
        <v>642.43330506625603</v>
      </c>
      <c r="E51" s="1">
        <v>0</v>
      </c>
      <c r="F51" s="1">
        <v>0</v>
      </c>
      <c r="G51" s="9">
        <f>SUM(UT_FINANCIAL)</f>
        <v>2676084.8146125632</v>
      </c>
      <c r="L51" s="6"/>
      <c r="V51" s="9"/>
    </row>
    <row r="52" spans="1:22">
      <c r="A52" s="1" t="s">
        <v>73</v>
      </c>
      <c r="B52" s="6">
        <v>9328.9101948403804</v>
      </c>
      <c r="C52" s="1">
        <v>2961108.0703149005</v>
      </c>
      <c r="D52" s="1">
        <v>0</v>
      </c>
      <c r="E52" s="1">
        <v>0</v>
      </c>
      <c r="F52" s="1">
        <v>0</v>
      </c>
      <c r="G52" s="9">
        <f>SUM(VT_FINANCIAL)</f>
        <v>2970436.9805097408</v>
      </c>
      <c r="L52" s="6"/>
      <c r="V52" s="9"/>
    </row>
    <row r="53" spans="1:22">
      <c r="A53" s="1" t="s">
        <v>74</v>
      </c>
      <c r="B53" s="6">
        <v>2726872.1166779972</v>
      </c>
      <c r="C53" s="1">
        <v>9962581.1399357412</v>
      </c>
      <c r="D53" s="1">
        <v>3049.1479786159684</v>
      </c>
      <c r="E53" s="1">
        <v>0</v>
      </c>
      <c r="F53" s="1">
        <v>0</v>
      </c>
      <c r="G53" s="9">
        <f>SUM(VA_FINANCIAL)</f>
        <v>12692502.404592356</v>
      </c>
      <c r="L53" s="6"/>
      <c r="V53" s="9"/>
    </row>
    <row r="54" spans="1:22">
      <c r="A54" s="1" t="s">
        <v>75</v>
      </c>
      <c r="B54" s="6">
        <v>794926.6479080196</v>
      </c>
      <c r="C54" s="1">
        <v>8414351.0224114377</v>
      </c>
      <c r="D54" s="1">
        <v>0</v>
      </c>
      <c r="E54" s="1">
        <v>0</v>
      </c>
      <c r="F54" s="1">
        <v>0</v>
      </c>
      <c r="G54" s="9">
        <f>SUM(WA_FINANCIAL)</f>
        <v>9209277.6703194566</v>
      </c>
      <c r="L54" s="6"/>
      <c r="V54" s="9"/>
    </row>
    <row r="55" spans="1:22">
      <c r="A55" s="1" t="s">
        <v>76</v>
      </c>
      <c r="B55" s="6">
        <v>129714.97328370647</v>
      </c>
      <c r="C55" s="1">
        <v>1074142.7599668517</v>
      </c>
      <c r="D55" s="1">
        <v>264.6860274624957</v>
      </c>
      <c r="E55" s="1">
        <v>0</v>
      </c>
      <c r="F55" s="1">
        <v>0</v>
      </c>
      <c r="G55" s="9">
        <f>SUM(WV_FINANCIAL)</f>
        <v>1204122.4192780207</v>
      </c>
      <c r="L55" s="6"/>
      <c r="V55" s="9"/>
    </row>
    <row r="56" spans="1:22">
      <c r="A56" s="1" t="s">
        <v>77</v>
      </c>
      <c r="B56" s="6">
        <v>589105.29329239298</v>
      </c>
      <c r="C56" s="1">
        <v>18083681.922033325</v>
      </c>
      <c r="D56" s="1">
        <v>0</v>
      </c>
      <c r="E56" s="1">
        <v>0</v>
      </c>
      <c r="F56" s="1">
        <v>0</v>
      </c>
      <c r="G56" s="9">
        <f>SUM(WI_FINANCIAL)</f>
        <v>18672787.215325717</v>
      </c>
      <c r="L56" s="6"/>
      <c r="V56" s="9"/>
    </row>
    <row r="57" spans="1:22">
      <c r="A57" s="1" t="s">
        <v>78</v>
      </c>
      <c r="B57" s="6">
        <v>67032.97183042884</v>
      </c>
      <c r="C57" s="1">
        <v>876367.9631908217</v>
      </c>
      <c r="D57" s="1">
        <v>0</v>
      </c>
      <c r="E57" s="1">
        <v>0</v>
      </c>
      <c r="F57" s="1">
        <v>0</v>
      </c>
      <c r="G57" s="9">
        <f>SUM(WY_FINANCIAL)</f>
        <v>943400.93502125051</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106440948.05258447</v>
      </c>
      <c r="C60" s="1">
        <f>SUM(ALLOCATED)</f>
        <v>1010776352.0222627</v>
      </c>
      <c r="D60" s="1">
        <f>SUM(HEALTH)</f>
        <v>477390.17317399592</v>
      </c>
      <c r="E60" s="1">
        <f>SUM(UNALLOCATED)</f>
        <v>0</v>
      </c>
      <c r="F60" s="1">
        <f>SUM(LTC)</f>
        <v>0</v>
      </c>
      <c r="G60" s="9">
        <f>SUM(ALL_BLOCKS)</f>
        <v>1117694690.2480211</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81</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20160.950670215585</v>
      </c>
      <c r="E6" s="1">
        <v>0</v>
      </c>
      <c r="F6" s="1">
        <v>0</v>
      </c>
      <c r="G6" s="9">
        <f>SUM(AL_FINANCIAL)</f>
        <v>20160.950670215585</v>
      </c>
      <c r="L6" s="6"/>
      <c r="V6" s="9"/>
    </row>
    <row r="7" spans="1:22">
      <c r="A7" s="1" t="s">
        <v>12</v>
      </c>
      <c r="B7" s="6">
        <v>0</v>
      </c>
      <c r="C7" s="1">
        <v>0</v>
      </c>
      <c r="D7" s="1">
        <v>6136.1822213675187</v>
      </c>
      <c r="E7" s="1">
        <v>0</v>
      </c>
      <c r="F7" s="1">
        <v>0</v>
      </c>
      <c r="G7" s="9">
        <f>SUM(AK_FINANCIAL)</f>
        <v>6136.1822213675187</v>
      </c>
      <c r="I7" s="12"/>
      <c r="J7" s="15"/>
      <c r="L7" s="6">
        <v>0</v>
      </c>
      <c r="M7" s="1">
        <v>0</v>
      </c>
      <c r="O7" s="1">
        <v>0</v>
      </c>
      <c r="P7" s="1">
        <v>0</v>
      </c>
      <c r="R7" s="1">
        <v>125000</v>
      </c>
      <c r="S7" s="1">
        <v>0</v>
      </c>
      <c r="U7" s="1">
        <v>0</v>
      </c>
      <c r="V7" s="9">
        <v>0</v>
      </c>
    </row>
    <row r="8" spans="1:22">
      <c r="A8" s="1" t="s">
        <v>13</v>
      </c>
      <c r="B8" s="6">
        <v>0</v>
      </c>
      <c r="C8" s="1">
        <v>0</v>
      </c>
      <c r="D8" s="1">
        <v>101928.01994155243</v>
      </c>
      <c r="E8" s="1">
        <v>0</v>
      </c>
      <c r="F8" s="1">
        <v>0</v>
      </c>
      <c r="G8" s="9">
        <f>SUM(AZ_FINANCIAL)</f>
        <v>101928.01994155243</v>
      </c>
      <c r="I8" s="13" t="s">
        <v>14</v>
      </c>
      <c r="J8" s="16"/>
      <c r="L8" s="6"/>
      <c r="V8" s="9"/>
    </row>
    <row r="9" spans="1:22">
      <c r="A9" s="1" t="s">
        <v>15</v>
      </c>
      <c r="B9" s="6">
        <v>0</v>
      </c>
      <c r="C9" s="1">
        <v>0</v>
      </c>
      <c r="D9" s="1">
        <v>856631.78844329016</v>
      </c>
      <c r="E9" s="1">
        <v>0</v>
      </c>
      <c r="F9" s="1">
        <v>0</v>
      </c>
      <c r="G9" s="9">
        <f>SUM(AR_FINANCIAL)</f>
        <v>856631.78844329016</v>
      </c>
      <c r="I9" s="13"/>
      <c r="J9" s="16"/>
      <c r="L9" s="6">
        <v>0</v>
      </c>
      <c r="M9" s="1">
        <v>0</v>
      </c>
      <c r="O9" s="1">
        <v>0</v>
      </c>
      <c r="P9" s="1">
        <v>0</v>
      </c>
      <c r="R9" s="1">
        <v>3308801</v>
      </c>
      <c r="S9" s="1">
        <v>0</v>
      </c>
      <c r="U9" s="1">
        <v>0</v>
      </c>
      <c r="V9" s="9">
        <v>0</v>
      </c>
    </row>
    <row r="10" spans="1:22">
      <c r="A10" s="1" t="s">
        <v>16</v>
      </c>
      <c r="B10" s="6">
        <v>719.52600645965413</v>
      </c>
      <c r="C10" s="1">
        <v>0</v>
      </c>
      <c r="D10" s="1">
        <v>35587.7383355493</v>
      </c>
      <c r="E10" s="1">
        <v>0</v>
      </c>
      <c r="F10" s="1">
        <v>0</v>
      </c>
      <c r="G10" s="9">
        <f>SUM(CA_FINANCIAL)</f>
        <v>36307.264342008952</v>
      </c>
      <c r="I10" s="13" t="s">
        <v>17</v>
      </c>
      <c r="J10" s="16">
        <v>44462791</v>
      </c>
      <c r="L10" s="6">
        <v>0</v>
      </c>
      <c r="M10" s="1">
        <v>0</v>
      </c>
      <c r="O10" s="1">
        <v>0</v>
      </c>
      <c r="P10" s="1">
        <v>0</v>
      </c>
      <c r="R10" s="1">
        <v>300000</v>
      </c>
      <c r="S10" s="1">
        <v>100000</v>
      </c>
      <c r="U10" s="1">
        <v>0</v>
      </c>
      <c r="V10" s="9">
        <v>0</v>
      </c>
    </row>
    <row r="11" spans="1:22">
      <c r="A11" s="1" t="s">
        <v>18</v>
      </c>
      <c r="B11" s="6">
        <v>0</v>
      </c>
      <c r="C11" s="1">
        <v>0</v>
      </c>
      <c r="D11" s="1">
        <v>757818.64637963183</v>
      </c>
      <c r="E11" s="1">
        <v>0</v>
      </c>
      <c r="F11" s="1">
        <v>0</v>
      </c>
      <c r="G11" s="9">
        <f>SUM(CO_FINANCIAL)</f>
        <v>757818.64637963183</v>
      </c>
      <c r="I11" s="13"/>
      <c r="J11" s="16"/>
      <c r="L11" s="6">
        <v>0</v>
      </c>
      <c r="M11" s="1">
        <v>0</v>
      </c>
      <c r="O11" s="1">
        <v>0</v>
      </c>
      <c r="P11" s="1">
        <v>0</v>
      </c>
      <c r="R11" s="1">
        <v>2000000</v>
      </c>
      <c r="S11" s="1">
        <v>1203411</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2376.1842516851743</v>
      </c>
      <c r="C13" s="1">
        <v>0</v>
      </c>
      <c r="D13" s="1">
        <v>6623.1474497032323</v>
      </c>
      <c r="E13" s="1">
        <v>0</v>
      </c>
      <c r="F13" s="1">
        <v>0</v>
      </c>
      <c r="G13" s="9">
        <f>SUM(DE_FINANCIAL)</f>
        <v>8999.3317013884061</v>
      </c>
      <c r="I13" s="13" t="s">
        <v>22</v>
      </c>
      <c r="J13" s="16">
        <v>44231475</v>
      </c>
      <c r="L13" s="6"/>
      <c r="V13" s="9"/>
    </row>
    <row r="14" spans="1:22">
      <c r="A14" s="1" t="s">
        <v>23</v>
      </c>
      <c r="B14" s="6">
        <v>0</v>
      </c>
      <c r="C14" s="1">
        <v>0</v>
      </c>
      <c r="D14" s="1">
        <v>0</v>
      </c>
      <c r="E14" s="1">
        <v>0</v>
      </c>
      <c r="F14" s="1">
        <v>0</v>
      </c>
      <c r="G14" s="9">
        <f>SUM(DC_FINANCIAL)</f>
        <v>0</v>
      </c>
      <c r="I14" s="13" t="s">
        <v>24</v>
      </c>
      <c r="J14" s="16">
        <v>12170199</v>
      </c>
      <c r="L14" s="6"/>
      <c r="V14" s="9"/>
    </row>
    <row r="15" spans="1:22">
      <c r="A15" s="1" t="s">
        <v>25</v>
      </c>
      <c r="B15" s="6">
        <v>26502.289710568512</v>
      </c>
      <c r="C15" s="1">
        <v>0</v>
      </c>
      <c r="D15" s="1">
        <v>-1303.0048198803706</v>
      </c>
      <c r="E15" s="1">
        <v>0</v>
      </c>
      <c r="F15" s="1">
        <v>0</v>
      </c>
      <c r="G15" s="9">
        <f>SUM(FL_FINANCIAL)</f>
        <v>25199.284890688141</v>
      </c>
      <c r="I15" s="13" t="s">
        <v>26</v>
      </c>
      <c r="J15" s="16">
        <v>2555132.7494419874</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120883.82796964608</v>
      </c>
      <c r="E18" s="1">
        <v>0</v>
      </c>
      <c r="F18" s="1">
        <v>0</v>
      </c>
      <c r="G18" s="9">
        <f>SUM(ID_FINANCIAL)</f>
        <v>120883.82796964608</v>
      </c>
      <c r="I18" s="13" t="s">
        <v>31</v>
      </c>
      <c r="J18" s="16"/>
      <c r="L18" s="6"/>
      <c r="V18" s="9"/>
    </row>
    <row r="19" spans="1:22">
      <c r="A19" s="1" t="s">
        <v>32</v>
      </c>
      <c r="B19" s="6">
        <v>1319.1284299714252</v>
      </c>
      <c r="C19" s="1">
        <v>0</v>
      </c>
      <c r="D19" s="1">
        <v>1990126.2751596402</v>
      </c>
      <c r="E19" s="1">
        <v>0</v>
      </c>
      <c r="F19" s="1">
        <v>0</v>
      </c>
      <c r="G19" s="9">
        <f>SUM(IL_FINANCIAL)</f>
        <v>1991445.4035896116</v>
      </c>
      <c r="I19" s="13" t="s">
        <v>33</v>
      </c>
      <c r="J19" s="16">
        <v>0</v>
      </c>
      <c r="L19" s="6">
        <v>40000</v>
      </c>
      <c r="M19" s="1">
        <v>0</v>
      </c>
      <c r="O19" s="1">
        <v>0</v>
      </c>
      <c r="P19" s="1">
        <v>0</v>
      </c>
      <c r="R19" s="1">
        <v>5000000</v>
      </c>
      <c r="S19" s="1">
        <v>1900000</v>
      </c>
      <c r="U19" s="1">
        <v>0</v>
      </c>
      <c r="V19" s="9">
        <v>0</v>
      </c>
    </row>
    <row r="20" spans="1:22">
      <c r="A20" s="1" t="s">
        <v>34</v>
      </c>
      <c r="B20" s="6">
        <v>6302.607621127434</v>
      </c>
      <c r="C20" s="1">
        <v>0</v>
      </c>
      <c r="D20" s="1">
        <v>787239.71802127105</v>
      </c>
      <c r="E20" s="1">
        <v>0</v>
      </c>
      <c r="F20" s="1">
        <v>0</v>
      </c>
      <c r="G20" s="9">
        <f>SUM(IN_FINANCIAL)</f>
        <v>793542.32564239844</v>
      </c>
      <c r="I20" s="13" t="s">
        <v>35</v>
      </c>
      <c r="J20" s="16">
        <v>44387898</v>
      </c>
      <c r="L20" s="6">
        <v>0</v>
      </c>
      <c r="M20" s="1">
        <v>0</v>
      </c>
      <c r="O20" s="1">
        <v>0</v>
      </c>
      <c r="P20" s="1">
        <v>0</v>
      </c>
      <c r="R20" s="1">
        <v>1999232</v>
      </c>
      <c r="S20" s="1">
        <v>0</v>
      </c>
      <c r="U20" s="1">
        <v>0</v>
      </c>
      <c r="V20" s="9">
        <v>0</v>
      </c>
    </row>
    <row r="21" spans="1:22">
      <c r="A21" s="1" t="s">
        <v>36</v>
      </c>
      <c r="B21" s="6">
        <v>0</v>
      </c>
      <c r="C21" s="1">
        <v>0</v>
      </c>
      <c r="D21" s="1">
        <v>27922.291096663816</v>
      </c>
      <c r="E21" s="1">
        <v>0</v>
      </c>
      <c r="F21" s="1">
        <v>0</v>
      </c>
      <c r="G21" s="9">
        <f>SUM(IA_FINANCIAL)</f>
        <v>27922.291096663816</v>
      </c>
      <c r="I21" s="13" t="s">
        <v>37</v>
      </c>
      <c r="J21" s="16"/>
      <c r="L21" s="6"/>
      <c r="V21" s="9"/>
    </row>
    <row r="22" spans="1:22">
      <c r="A22" s="1" t="s">
        <v>38</v>
      </c>
      <c r="B22" s="6">
        <v>0</v>
      </c>
      <c r="C22" s="1">
        <v>0</v>
      </c>
      <c r="D22" s="1">
        <v>100332.58252546444</v>
      </c>
      <c r="E22" s="1">
        <v>0</v>
      </c>
      <c r="F22" s="1">
        <v>0</v>
      </c>
      <c r="G22" s="9">
        <f>SUM(KS_FINANCIAL)</f>
        <v>100332.58252546444</v>
      </c>
      <c r="I22" s="13" t="s">
        <v>39</v>
      </c>
      <c r="J22" s="16">
        <v>0</v>
      </c>
      <c r="L22" s="6"/>
      <c r="V22" s="9"/>
    </row>
    <row r="23" spans="1:22">
      <c r="A23" s="1" t="s">
        <v>40</v>
      </c>
      <c r="B23" s="6">
        <v>0</v>
      </c>
      <c r="C23" s="1">
        <v>0</v>
      </c>
      <c r="D23" s="1">
        <v>17263.439131640211</v>
      </c>
      <c r="E23" s="1">
        <v>0</v>
      </c>
      <c r="F23" s="1">
        <v>0</v>
      </c>
      <c r="G23" s="9">
        <f>SUM(KY_FINANCIAL)</f>
        <v>17263.439131640211</v>
      </c>
      <c r="I23" s="13" t="s">
        <v>41</v>
      </c>
      <c r="J23" s="16"/>
      <c r="L23" s="6"/>
      <c r="V23" s="9"/>
    </row>
    <row r="24" spans="1:22">
      <c r="A24" s="1" t="s">
        <v>42</v>
      </c>
      <c r="B24" s="6">
        <v>0</v>
      </c>
      <c r="C24" s="1">
        <v>0</v>
      </c>
      <c r="D24" s="1">
        <v>658535.24939608225</v>
      </c>
      <c r="E24" s="1">
        <v>0</v>
      </c>
      <c r="F24" s="1">
        <v>0</v>
      </c>
      <c r="G24" s="9">
        <f>SUM(LA_FINANCIAL)</f>
        <v>658535.24939608225</v>
      </c>
      <c r="I24" s="13" t="s">
        <v>43</v>
      </c>
      <c r="J24" s="16">
        <v>32599284.96536199</v>
      </c>
      <c r="L24" s="6">
        <v>39632</v>
      </c>
      <c r="M24" s="1">
        <v>0</v>
      </c>
      <c r="O24" s="1">
        <v>0</v>
      </c>
      <c r="P24" s="1">
        <v>0</v>
      </c>
      <c r="R24" s="1">
        <v>1661368</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1919.7991761580615</v>
      </c>
      <c r="E26" s="1">
        <v>0</v>
      </c>
      <c r="F26" s="1">
        <v>0</v>
      </c>
      <c r="G26" s="9">
        <f>SUM(MD_FINANCIAL)</f>
        <v>1919.7991761580615</v>
      </c>
      <c r="I26" s="13" t="s">
        <v>46</v>
      </c>
      <c r="J26" s="16">
        <f>SUM(ADD_FINANCIAL)-SUM(LESS_FINANCIAL)</f>
        <v>26432414.784079999</v>
      </c>
      <c r="L26" s="6"/>
      <c r="V26" s="9"/>
    </row>
    <row r="27" spans="1:22">
      <c r="A27" s="1" t="s">
        <v>47</v>
      </c>
      <c r="B27" s="6">
        <v>3610.9113866502144</v>
      </c>
      <c r="C27" s="1">
        <v>0</v>
      </c>
      <c r="D27" s="1">
        <v>1468216.9941482292</v>
      </c>
      <c r="E27" s="1">
        <v>0</v>
      </c>
      <c r="F27" s="1">
        <v>0</v>
      </c>
      <c r="G27" s="9">
        <f>SUM(MA_FINANCIAL)</f>
        <v>1471827.9055348795</v>
      </c>
      <c r="I27" s="13" t="s">
        <v>48</v>
      </c>
      <c r="J27" s="16">
        <f>SUM(ALL_BLOCKS)</f>
        <v>26432414.784079999</v>
      </c>
      <c r="L27" s="6">
        <v>0</v>
      </c>
      <c r="M27" s="1">
        <v>0</v>
      </c>
      <c r="O27" s="1">
        <v>0</v>
      </c>
      <c r="P27" s="1">
        <v>0</v>
      </c>
      <c r="R27" s="1">
        <v>5000000</v>
      </c>
      <c r="S27" s="1">
        <v>1400000</v>
      </c>
      <c r="U27" s="1">
        <v>0</v>
      </c>
      <c r="V27" s="9">
        <v>0</v>
      </c>
    </row>
    <row r="28" spans="1:22">
      <c r="A28" s="1" t="s">
        <v>49</v>
      </c>
      <c r="B28" s="6">
        <v>8301.0479301355153</v>
      </c>
      <c r="C28" s="1">
        <v>0</v>
      </c>
      <c r="D28" s="1">
        <v>7897.8010772382222</v>
      </c>
      <c r="E28" s="1">
        <v>0</v>
      </c>
      <c r="F28" s="1">
        <v>0</v>
      </c>
      <c r="G28" s="9">
        <f>SUM(MI_FINANCIAL)</f>
        <v>16198.849007373738</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4488958.9506961945</v>
      </c>
      <c r="E30" s="1">
        <v>0</v>
      </c>
      <c r="F30" s="1">
        <v>0</v>
      </c>
      <c r="G30" s="9">
        <f>SUM(MS_FINANCIAL)</f>
        <v>4488958.9506961945</v>
      </c>
      <c r="L30" s="6">
        <v>0</v>
      </c>
      <c r="M30" s="1">
        <v>0</v>
      </c>
      <c r="O30" s="1">
        <v>0</v>
      </c>
      <c r="P30" s="1">
        <v>0</v>
      </c>
      <c r="R30" s="1">
        <v>14999989</v>
      </c>
      <c r="S30" s="1">
        <v>0</v>
      </c>
      <c r="U30" s="1">
        <v>0</v>
      </c>
      <c r="V30" s="9">
        <v>0</v>
      </c>
    </row>
    <row r="31" spans="1:22">
      <c r="A31" s="1" t="s">
        <v>52</v>
      </c>
      <c r="B31" s="6">
        <v>0</v>
      </c>
      <c r="C31" s="1">
        <v>0</v>
      </c>
      <c r="D31" s="1">
        <v>450270.3221788524</v>
      </c>
      <c r="E31" s="1">
        <v>0</v>
      </c>
      <c r="F31" s="1">
        <v>0</v>
      </c>
      <c r="G31" s="9">
        <f>SUM(MO_FINANCIAL)</f>
        <v>450270.3221788524</v>
      </c>
      <c r="L31" s="6"/>
      <c r="V31" s="9"/>
    </row>
    <row r="32" spans="1:22">
      <c r="A32" s="1" t="s">
        <v>53</v>
      </c>
      <c r="B32" s="6">
        <v>260.09711250156033</v>
      </c>
      <c r="C32" s="1">
        <v>0</v>
      </c>
      <c r="D32" s="1">
        <v>372315.33707289153</v>
      </c>
      <c r="E32" s="1">
        <v>0</v>
      </c>
      <c r="F32" s="1">
        <v>0</v>
      </c>
      <c r="G32" s="9">
        <f>SUM(MT_FINANCIAL)</f>
        <v>372575.4341853931</v>
      </c>
      <c r="L32" s="6">
        <v>0</v>
      </c>
      <c r="M32" s="1">
        <v>0</v>
      </c>
      <c r="O32" s="1">
        <v>0</v>
      </c>
      <c r="P32" s="1">
        <v>0</v>
      </c>
      <c r="R32" s="1">
        <v>850000</v>
      </c>
      <c r="S32" s="1">
        <v>0</v>
      </c>
      <c r="U32" s="1">
        <v>0</v>
      </c>
      <c r="V32" s="9">
        <v>0</v>
      </c>
    </row>
    <row r="33" spans="1:22">
      <c r="A33" s="1" t="s">
        <v>54</v>
      </c>
      <c r="B33" s="6">
        <v>0</v>
      </c>
      <c r="C33" s="1">
        <v>0</v>
      </c>
      <c r="D33" s="1">
        <v>511967.62085121009</v>
      </c>
      <c r="E33" s="1">
        <v>0</v>
      </c>
      <c r="F33" s="1">
        <v>0</v>
      </c>
      <c r="G33" s="9">
        <f>SUM(NE_FINANCIAL)</f>
        <v>511967.62085121009</v>
      </c>
      <c r="L33" s="6"/>
      <c r="V33" s="9"/>
    </row>
    <row r="34" spans="1:22">
      <c r="A34" s="1" t="s">
        <v>55</v>
      </c>
      <c r="B34" s="6">
        <v>0</v>
      </c>
      <c r="C34" s="1">
        <v>0</v>
      </c>
      <c r="D34" s="1">
        <v>2432.3602302658346</v>
      </c>
      <c r="E34" s="1">
        <v>0</v>
      </c>
      <c r="F34" s="1">
        <v>0</v>
      </c>
      <c r="G34" s="9">
        <f>SUM(NV_FINANCIAL)</f>
        <v>2432.3602302658346</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52301.810191549041</v>
      </c>
      <c r="E37" s="1">
        <v>0</v>
      </c>
      <c r="F37" s="1">
        <v>0</v>
      </c>
      <c r="G37" s="9">
        <f>SUM(NM_FINANCIAL)</f>
        <v>52301.810191549041</v>
      </c>
      <c r="L37" s="6">
        <v>0</v>
      </c>
      <c r="M37" s="1">
        <v>0</v>
      </c>
      <c r="O37" s="1">
        <v>0</v>
      </c>
      <c r="P37" s="1">
        <v>0</v>
      </c>
      <c r="R37" s="1">
        <v>99821</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23.485287176877819</v>
      </c>
      <c r="E40" s="1">
        <v>0</v>
      </c>
      <c r="F40" s="1">
        <v>0</v>
      </c>
      <c r="G40" s="9">
        <f>SUM(ND_FINANCIAL)</f>
        <v>23.485287176877819</v>
      </c>
      <c r="L40" s="6"/>
      <c r="V40" s="9"/>
    </row>
    <row r="41" spans="1:22">
      <c r="A41" s="1" t="s">
        <v>62</v>
      </c>
      <c r="B41" s="6">
        <v>17050.970599000986</v>
      </c>
      <c r="C41" s="1">
        <v>0</v>
      </c>
      <c r="D41" s="1">
        <v>1953020.8726697289</v>
      </c>
      <c r="E41" s="1">
        <v>0</v>
      </c>
      <c r="F41" s="1">
        <v>0</v>
      </c>
      <c r="G41" s="9">
        <f>SUM(OH_FINANCIAL)</f>
        <v>1970071.84326873</v>
      </c>
      <c r="L41" s="6"/>
      <c r="V41" s="9"/>
    </row>
    <row r="42" spans="1:22">
      <c r="A42" s="1" t="s">
        <v>63</v>
      </c>
      <c r="B42" s="6">
        <v>1875.1893780257335</v>
      </c>
      <c r="C42" s="1">
        <v>0</v>
      </c>
      <c r="D42" s="1">
        <v>1851174.5008290135</v>
      </c>
      <c r="E42" s="1">
        <v>0</v>
      </c>
      <c r="F42" s="1">
        <v>0</v>
      </c>
      <c r="G42" s="9">
        <f>SUM(OK_FINANCIAL)</f>
        <v>1853049.6902070392</v>
      </c>
      <c r="L42" s="6">
        <v>43500</v>
      </c>
      <c r="M42" s="1">
        <v>4500</v>
      </c>
      <c r="O42" s="1">
        <v>0</v>
      </c>
      <c r="P42" s="1">
        <v>0</v>
      </c>
      <c r="R42" s="1">
        <v>4306500</v>
      </c>
      <c r="S42" s="1">
        <v>1830500</v>
      </c>
      <c r="U42" s="1">
        <v>0</v>
      </c>
      <c r="V42" s="9">
        <v>0</v>
      </c>
    </row>
    <row r="43" spans="1:22">
      <c r="A43" s="1" t="s">
        <v>64</v>
      </c>
      <c r="B43" s="6">
        <v>0</v>
      </c>
      <c r="C43" s="1">
        <v>0</v>
      </c>
      <c r="D43" s="1">
        <v>42756.334725818873</v>
      </c>
      <c r="E43" s="1">
        <v>0</v>
      </c>
      <c r="F43" s="1">
        <v>0</v>
      </c>
      <c r="G43" s="9">
        <f>SUM(OR_FINANCIAL)</f>
        <v>42756.334725818873</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1601.8512544772509</v>
      </c>
      <c r="C47" s="1">
        <v>0</v>
      </c>
      <c r="D47" s="1">
        <v>671.18326303362846</v>
      </c>
      <c r="E47" s="1">
        <v>0</v>
      </c>
      <c r="F47" s="1">
        <v>0</v>
      </c>
      <c r="G47" s="9">
        <f>SUM(SC_FINANCIAL)</f>
        <v>2273.0345175108796</v>
      </c>
      <c r="L47" s="6"/>
      <c r="V47" s="9"/>
    </row>
    <row r="48" spans="1:22">
      <c r="A48" s="1" t="s">
        <v>69</v>
      </c>
      <c r="B48" s="6">
        <v>0</v>
      </c>
      <c r="C48" s="1">
        <v>0</v>
      </c>
      <c r="D48" s="1">
        <v>36854.481067374843</v>
      </c>
      <c r="E48" s="1">
        <v>0</v>
      </c>
      <c r="F48" s="1">
        <v>0</v>
      </c>
      <c r="G48" s="9">
        <f>SUM(SD_FINANCIAL)</f>
        <v>36854.481067374843</v>
      </c>
      <c r="L48" s="6"/>
      <c r="V48" s="9"/>
    </row>
    <row r="49" spans="1:22">
      <c r="A49" s="1" t="s">
        <v>70</v>
      </c>
      <c r="B49" s="6">
        <v>0</v>
      </c>
      <c r="C49" s="1">
        <v>0</v>
      </c>
      <c r="D49" s="1">
        <v>1687149.3025721125</v>
      </c>
      <c r="E49" s="1">
        <v>0</v>
      </c>
      <c r="F49" s="1">
        <v>0</v>
      </c>
      <c r="G49" s="9">
        <f>SUM(TN_FINANCIAL)</f>
        <v>1687149.3025721125</v>
      </c>
      <c r="L49" s="6">
        <v>0</v>
      </c>
      <c r="M49" s="1">
        <v>0</v>
      </c>
      <c r="O49" s="1">
        <v>0</v>
      </c>
      <c r="P49" s="1">
        <v>0</v>
      </c>
      <c r="R49" s="1">
        <v>3600000</v>
      </c>
      <c r="S49" s="1">
        <v>0</v>
      </c>
      <c r="U49" s="1">
        <v>0</v>
      </c>
      <c r="V49" s="9">
        <v>0</v>
      </c>
    </row>
    <row r="50" spans="1:22">
      <c r="A50" s="1" t="s">
        <v>71</v>
      </c>
      <c r="B50" s="6">
        <v>3771.9152694346635</v>
      </c>
      <c r="C50" s="1">
        <v>0</v>
      </c>
      <c r="D50" s="1">
        <v>6776794.8878484126</v>
      </c>
      <c r="E50" s="1">
        <v>0</v>
      </c>
      <c r="F50" s="1">
        <v>0</v>
      </c>
      <c r="G50" s="9">
        <f>SUM(TX_FINANCIAL)</f>
        <v>6780566.8031178471</v>
      </c>
      <c r="L50" s="6">
        <v>130011</v>
      </c>
      <c r="M50" s="1">
        <v>0</v>
      </c>
      <c r="O50" s="1">
        <v>0</v>
      </c>
      <c r="P50" s="1">
        <v>0</v>
      </c>
      <c r="R50" s="1">
        <v>12871063</v>
      </c>
      <c r="S50" s="1">
        <v>9250000</v>
      </c>
      <c r="U50" s="1">
        <v>0</v>
      </c>
      <c r="V50" s="9">
        <v>0</v>
      </c>
    </row>
    <row r="51" spans="1:22">
      <c r="A51" s="1" t="s">
        <v>72</v>
      </c>
      <c r="B51" s="6">
        <v>0</v>
      </c>
      <c r="C51" s="1">
        <v>0</v>
      </c>
      <c r="D51" s="1">
        <v>196.4406468204179</v>
      </c>
      <c r="E51" s="1">
        <v>0</v>
      </c>
      <c r="F51" s="1">
        <v>0</v>
      </c>
      <c r="G51" s="9">
        <f>SUM(UT_FINANCIAL)</f>
        <v>196.4406468204179</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345647.98743220628</v>
      </c>
      <c r="E53" s="1">
        <v>0</v>
      </c>
      <c r="F53" s="1">
        <v>0</v>
      </c>
      <c r="G53" s="9">
        <f>SUM(VA_FINANCIAL)</f>
        <v>345647.98743220628</v>
      </c>
      <c r="L53" s="6">
        <v>0</v>
      </c>
      <c r="M53" s="1">
        <v>0</v>
      </c>
      <c r="O53" s="1">
        <v>0</v>
      </c>
      <c r="P53" s="1">
        <v>0</v>
      </c>
      <c r="R53" s="1">
        <v>500000</v>
      </c>
      <c r="S53" s="1">
        <v>76050</v>
      </c>
      <c r="U53" s="1">
        <v>0</v>
      </c>
      <c r="V53" s="9">
        <v>0</v>
      </c>
    </row>
    <row r="54" spans="1:22">
      <c r="A54" s="1" t="s">
        <v>75</v>
      </c>
      <c r="B54" s="6">
        <v>787.9318774759862</v>
      </c>
      <c r="C54" s="1">
        <v>0</v>
      </c>
      <c r="D54" s="1">
        <v>590424.61856256856</v>
      </c>
      <c r="E54" s="1">
        <v>0</v>
      </c>
      <c r="F54" s="1">
        <v>0</v>
      </c>
      <c r="G54" s="9">
        <f>SUM(WA_FINANCIAL)</f>
        <v>591212.55044004449</v>
      </c>
      <c r="L54" s="6">
        <v>0</v>
      </c>
      <c r="M54" s="1">
        <v>0</v>
      </c>
      <c r="O54" s="1">
        <v>0</v>
      </c>
      <c r="P54" s="1">
        <v>0</v>
      </c>
      <c r="R54" s="1">
        <v>1800000</v>
      </c>
      <c r="S54" s="1">
        <v>0</v>
      </c>
      <c r="U54" s="1">
        <v>0</v>
      </c>
      <c r="V54" s="9">
        <v>0</v>
      </c>
    </row>
    <row r="55" spans="1:22">
      <c r="A55" s="1" t="s">
        <v>76</v>
      </c>
      <c r="B55" s="6">
        <v>0</v>
      </c>
      <c r="C55" s="1">
        <v>0</v>
      </c>
      <c r="D55" s="1">
        <v>92565.30897851687</v>
      </c>
      <c r="E55" s="1">
        <v>0</v>
      </c>
      <c r="F55" s="1">
        <v>0</v>
      </c>
      <c r="G55" s="9">
        <f>SUM(WV_FINANCIAL)</f>
        <v>92565.30897851687</v>
      </c>
      <c r="L55" s="6">
        <v>0</v>
      </c>
      <c r="M55" s="1">
        <v>0</v>
      </c>
      <c r="O55" s="1">
        <v>0</v>
      </c>
      <c r="P55" s="1">
        <v>0</v>
      </c>
      <c r="R55" s="1">
        <v>0</v>
      </c>
      <c r="S55" s="1">
        <v>0</v>
      </c>
      <c r="U55" s="1">
        <v>0</v>
      </c>
      <c r="V55" s="9">
        <v>0</v>
      </c>
    </row>
    <row r="56" spans="1:22">
      <c r="A56" s="1" t="s">
        <v>77</v>
      </c>
      <c r="B56" s="6">
        <v>5087.517002541128</v>
      </c>
      <c r="C56" s="1">
        <v>0</v>
      </c>
      <c r="D56" s="1">
        <v>24812.771764610923</v>
      </c>
      <c r="E56" s="1">
        <v>0</v>
      </c>
      <c r="F56" s="1">
        <v>0</v>
      </c>
      <c r="G56" s="9">
        <f>SUM(WI_FINANCIAL)</f>
        <v>29900.288767152051</v>
      </c>
      <c r="L56" s="6"/>
      <c r="V56" s="9"/>
    </row>
    <row r="57" spans="1:22">
      <c r="A57" s="1" t="s">
        <v>78</v>
      </c>
      <c r="B57" s="6">
        <v>0</v>
      </c>
      <c r="C57" s="1">
        <v>0</v>
      </c>
      <c r="D57" s="1">
        <v>108587.5930581225</v>
      </c>
      <c r="E57" s="1">
        <v>0</v>
      </c>
      <c r="F57" s="1">
        <v>0</v>
      </c>
      <c r="G57" s="9">
        <f>SUM(WY_FINANCIAL)</f>
        <v>108587.5930581225</v>
      </c>
      <c r="L57" s="6">
        <v>0</v>
      </c>
      <c r="M57" s="1">
        <v>0</v>
      </c>
      <c r="O57" s="1">
        <v>0</v>
      </c>
      <c r="P57" s="1">
        <v>0</v>
      </c>
      <c r="R57" s="1">
        <v>350000</v>
      </c>
      <c r="S57" s="1">
        <v>336606</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79567.167830055259</v>
      </c>
      <c r="C60" s="1">
        <f>SUM(ALLOCATED)</f>
        <v>0</v>
      </c>
      <c r="D60" s="1">
        <f>SUM(HEALTH)</f>
        <v>26352847.616249941</v>
      </c>
      <c r="E60" s="1">
        <f>SUM(UNALLOCATED)</f>
        <v>0</v>
      </c>
      <c r="F60" s="1">
        <f>SUM(LTC)</f>
        <v>0</v>
      </c>
      <c r="G60" s="9">
        <f>SUM(ALL_BLOCKS)</f>
        <v>26432414.784079999</v>
      </c>
      <c r="L60" s="6">
        <f>SUM(LIFE_CALLED)</f>
        <v>253143</v>
      </c>
      <c r="M60" s="1">
        <f>SUM(LIFE_REFUNDED)</f>
        <v>4500</v>
      </c>
      <c r="O60" s="1">
        <f>SUM(ALLOC_CALLED)</f>
        <v>0</v>
      </c>
      <c r="P60" s="1">
        <f>SUM(ALLOC_REFUNDED)</f>
        <v>0</v>
      </c>
      <c r="R60" s="1">
        <f>SUM(HEALTH_CALLED)</f>
        <v>58771774</v>
      </c>
      <c r="S60" s="1">
        <f>SUM(HEALTH_REFUNDED)</f>
        <v>16096567</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99</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100723070</v>
      </c>
      <c r="L10" s="6"/>
      <c r="V10" s="9"/>
    </row>
    <row r="11" spans="1:22">
      <c r="A11" s="1" t="s">
        <v>18</v>
      </c>
      <c r="B11" s="6">
        <v>0</v>
      </c>
      <c r="C11" s="1">
        <v>0</v>
      </c>
      <c r="D11" s="1">
        <v>83658295</v>
      </c>
      <c r="E11" s="1">
        <v>0</v>
      </c>
      <c r="F11" s="1">
        <v>0</v>
      </c>
      <c r="G11" s="9">
        <f>SUM(CO_FINANCIAL)</f>
        <v>83658295</v>
      </c>
      <c r="I11" s="13"/>
      <c r="J11" s="16"/>
      <c r="L11" s="6">
        <v>0</v>
      </c>
      <c r="M11" s="1">
        <v>0</v>
      </c>
      <c r="O11" s="1">
        <v>0</v>
      </c>
      <c r="P11" s="1">
        <v>0</v>
      </c>
      <c r="R11" s="1">
        <v>104405820</v>
      </c>
      <c r="S11" s="1">
        <v>45450000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100723070</v>
      </c>
      <c r="L13" s="6"/>
      <c r="V13" s="9"/>
    </row>
    <row r="14" spans="1:22">
      <c r="A14" s="1" t="s">
        <v>23</v>
      </c>
      <c r="B14" s="6">
        <v>0</v>
      </c>
      <c r="C14" s="1">
        <v>0</v>
      </c>
      <c r="D14" s="1">
        <v>0</v>
      </c>
      <c r="E14" s="1">
        <v>0</v>
      </c>
      <c r="F14" s="1">
        <v>0</v>
      </c>
      <c r="G14" s="9">
        <f>SUM(DC_FINANCIAL)</f>
        <v>0</v>
      </c>
      <c r="I14" s="13" t="s">
        <v>24</v>
      </c>
      <c r="J14" s="16">
        <v>4016225</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100723070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21081000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83658295</v>
      </c>
      <c r="L26" s="6"/>
      <c r="V26" s="9"/>
    </row>
    <row r="27" spans="1:22">
      <c r="A27" s="1" t="s">
        <v>47</v>
      </c>
      <c r="B27" s="6">
        <v>0</v>
      </c>
      <c r="C27" s="1">
        <v>0</v>
      </c>
      <c r="D27" s="1">
        <v>0</v>
      </c>
      <c r="E27" s="1">
        <v>0</v>
      </c>
      <c r="F27" s="1">
        <v>0</v>
      </c>
      <c r="G27" s="9">
        <f>SUM(MA_FINANCIAL)</f>
        <v>0</v>
      </c>
      <c r="I27" s="13" t="s">
        <v>48</v>
      </c>
      <c r="J27" s="16">
        <f>SUM(ALL_BLOCKS)</f>
        <v>83658295</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83658295</v>
      </c>
      <c r="E60" s="1">
        <f>SUM(UNALLOCATED)</f>
        <v>0</v>
      </c>
      <c r="F60" s="1">
        <f>SUM(LTC)</f>
        <v>0</v>
      </c>
      <c r="G60" s="9">
        <f>SUM(ALL_BLOCKS)</f>
        <v>83658295</v>
      </c>
      <c r="L60" s="6">
        <f>SUM(LIFE_CALLED)</f>
        <v>0</v>
      </c>
      <c r="M60" s="1">
        <f>SUM(LIFE_REFUNDED)</f>
        <v>0</v>
      </c>
      <c r="O60" s="1">
        <f>SUM(ALLOC_CALLED)</f>
        <v>0</v>
      </c>
      <c r="P60" s="1">
        <f>SUM(ALLOC_REFUNDED)</f>
        <v>0</v>
      </c>
      <c r="R60" s="1">
        <f>SUM(HEALTH_CALLED)</f>
        <v>104405820</v>
      </c>
      <c r="S60" s="1">
        <f>SUM(HEALTH_REFUNDED)</f>
        <v>45450000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100</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3347549</v>
      </c>
      <c r="E8" s="1">
        <v>0</v>
      </c>
      <c r="F8" s="1">
        <v>0</v>
      </c>
      <c r="G8" s="9">
        <f>SUM(AZ_FINANCIAL)</f>
        <v>3347549</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3111149</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3111149</v>
      </c>
      <c r="L13" s="6"/>
      <c r="V13" s="9"/>
    </row>
    <row r="14" spans="1:22">
      <c r="A14" s="1" t="s">
        <v>23</v>
      </c>
      <c r="B14" s="6">
        <v>0</v>
      </c>
      <c r="C14" s="1">
        <v>0</v>
      </c>
      <c r="D14" s="1">
        <v>0</v>
      </c>
      <c r="E14" s="1">
        <v>0</v>
      </c>
      <c r="F14" s="1">
        <v>0</v>
      </c>
      <c r="G14" s="9">
        <f>SUM(DC_FINANCIAL)</f>
        <v>0</v>
      </c>
      <c r="I14" s="13" t="s">
        <v>24</v>
      </c>
      <c r="J14" s="16">
        <v>236400</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3111149</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3347549</v>
      </c>
      <c r="L26" s="6"/>
      <c r="V26" s="9"/>
    </row>
    <row r="27" spans="1:22">
      <c r="A27" s="1" t="s">
        <v>47</v>
      </c>
      <c r="B27" s="6">
        <v>0</v>
      </c>
      <c r="C27" s="1">
        <v>0</v>
      </c>
      <c r="D27" s="1">
        <v>0</v>
      </c>
      <c r="E27" s="1">
        <v>0</v>
      </c>
      <c r="F27" s="1">
        <v>0</v>
      </c>
      <c r="G27" s="9">
        <f>SUM(MA_FINANCIAL)</f>
        <v>0</v>
      </c>
      <c r="I27" s="13" t="s">
        <v>48</v>
      </c>
      <c r="J27" s="16">
        <f>SUM(ALL_BLOCKS)</f>
        <v>3347549</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3347549</v>
      </c>
      <c r="E60" s="1">
        <f>SUM(UNALLOCATED)</f>
        <v>0</v>
      </c>
      <c r="F60" s="1">
        <f>SUM(LTC)</f>
        <v>0</v>
      </c>
      <c r="G60" s="9">
        <f>SUM(ALL_BLOCKS)</f>
        <v>3347549</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101</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116590114</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116590114</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0</v>
      </c>
      <c r="L26" s="6"/>
      <c r="V26" s="9"/>
    </row>
    <row r="27" spans="1:22">
      <c r="A27" s="1" t="s">
        <v>47</v>
      </c>
      <c r="B27" s="6">
        <v>0</v>
      </c>
      <c r="C27" s="1">
        <v>0</v>
      </c>
      <c r="D27" s="1">
        <v>0</v>
      </c>
      <c r="E27" s="1">
        <v>0</v>
      </c>
      <c r="F27" s="1">
        <v>0</v>
      </c>
      <c r="G27" s="9">
        <f>SUM(MA_FINANCIAL)</f>
        <v>0</v>
      </c>
      <c r="I27" s="13" t="s">
        <v>48</v>
      </c>
      <c r="J27" s="16">
        <f>SUM(ALL_BLOCKS)</f>
        <v>0</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0</v>
      </c>
      <c r="E60" s="1">
        <f>SUM(UNALLOCATED)</f>
        <v>0</v>
      </c>
      <c r="F60" s="1">
        <f>SUM(LTC)</f>
        <v>0</v>
      </c>
      <c r="G60" s="9">
        <f>SUM(ALL_BLOCKS)</f>
        <v>0</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102</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-7.4552630897187555E-2</v>
      </c>
      <c r="C6" s="1">
        <v>-6.3961696483311243</v>
      </c>
      <c r="D6" s="1">
        <v>0</v>
      </c>
      <c r="E6" s="1">
        <v>0</v>
      </c>
      <c r="F6" s="1">
        <v>0</v>
      </c>
      <c r="G6" s="9">
        <f>SUM(AL_FINANCIAL)</f>
        <v>-6.4707222792283119</v>
      </c>
      <c r="L6" s="6"/>
      <c r="V6" s="9"/>
    </row>
    <row r="7" spans="1:22">
      <c r="A7" s="1" t="s">
        <v>12</v>
      </c>
      <c r="B7" s="6">
        <v>-2.4414599875832721E-4</v>
      </c>
      <c r="C7" s="1">
        <v>-0.64447246645431733</v>
      </c>
      <c r="D7" s="1">
        <v>0</v>
      </c>
      <c r="E7" s="1">
        <v>0</v>
      </c>
      <c r="F7" s="1">
        <v>0</v>
      </c>
      <c r="G7" s="9">
        <f>SUM(AK_FINANCIAL)</f>
        <v>-0.64471661245307565</v>
      </c>
      <c r="I7" s="12"/>
      <c r="J7" s="15"/>
      <c r="L7" s="6">
        <v>200</v>
      </c>
      <c r="M7" s="1">
        <v>100</v>
      </c>
      <c r="O7" s="1">
        <v>2400</v>
      </c>
      <c r="P7" s="1">
        <v>0</v>
      </c>
      <c r="R7" s="1">
        <v>0</v>
      </c>
      <c r="S7" s="1">
        <v>0</v>
      </c>
      <c r="U7" s="1">
        <v>0</v>
      </c>
      <c r="V7" s="9">
        <v>25</v>
      </c>
    </row>
    <row r="8" spans="1:22">
      <c r="A8" s="1" t="s">
        <v>13</v>
      </c>
      <c r="B8" s="6">
        <v>-2.5441924949006989E-2</v>
      </c>
      <c r="C8" s="1">
        <v>-23.407426545134513</v>
      </c>
      <c r="D8" s="1">
        <v>-8.3442119765667899E-3</v>
      </c>
      <c r="E8" s="1">
        <v>0</v>
      </c>
      <c r="F8" s="1">
        <v>0</v>
      </c>
      <c r="G8" s="9">
        <f>SUM(AZ_FINANCIAL)</f>
        <v>-23.441212682060087</v>
      </c>
      <c r="I8" s="13" t="s">
        <v>14</v>
      </c>
      <c r="J8" s="16"/>
      <c r="L8" s="6">
        <v>640101</v>
      </c>
      <c r="M8" s="1">
        <v>0</v>
      </c>
      <c r="O8" s="1">
        <v>537167</v>
      </c>
      <c r="P8" s="1">
        <v>0</v>
      </c>
      <c r="R8" s="1">
        <v>0</v>
      </c>
      <c r="S8" s="1">
        <v>0</v>
      </c>
      <c r="U8" s="1">
        <v>0</v>
      </c>
      <c r="V8" s="9">
        <v>0</v>
      </c>
    </row>
    <row r="9" spans="1:22">
      <c r="A9" s="1" t="s">
        <v>15</v>
      </c>
      <c r="B9" s="6">
        <v>-6.522447319284197E-3</v>
      </c>
      <c r="C9" s="1">
        <v>-4.2832391436313628</v>
      </c>
      <c r="D9" s="1">
        <v>-9.9963777959470642E-3</v>
      </c>
      <c r="E9" s="1">
        <v>-8.3361703826667508</v>
      </c>
      <c r="F9" s="1">
        <v>0</v>
      </c>
      <c r="G9" s="9">
        <f>SUM(AR_FINANCIAL)</f>
        <v>-12.635928351413344</v>
      </c>
      <c r="I9" s="13"/>
      <c r="J9" s="16"/>
      <c r="L9" s="6">
        <v>208902</v>
      </c>
      <c r="M9" s="1">
        <v>0</v>
      </c>
      <c r="O9" s="1">
        <v>0</v>
      </c>
      <c r="P9" s="1">
        <v>0</v>
      </c>
      <c r="R9" s="1">
        <v>0</v>
      </c>
      <c r="S9" s="1">
        <v>0</v>
      </c>
      <c r="U9" s="1">
        <v>0</v>
      </c>
      <c r="V9" s="9">
        <v>0</v>
      </c>
    </row>
    <row r="10" spans="1:22">
      <c r="A10" s="1" t="s">
        <v>16</v>
      </c>
      <c r="B10" s="6">
        <v>-0.40975362112476432</v>
      </c>
      <c r="C10" s="1">
        <v>-100.44801000831649</v>
      </c>
      <c r="D10" s="1">
        <v>2.7339793978692876E-6</v>
      </c>
      <c r="E10" s="1">
        <v>0</v>
      </c>
      <c r="F10" s="1">
        <v>0</v>
      </c>
      <c r="G10" s="9">
        <f>SUM(CA_FINANCIAL)</f>
        <v>-100.85776089546185</v>
      </c>
      <c r="I10" s="13" t="s">
        <v>17</v>
      </c>
      <c r="J10" s="16">
        <v>3534278682.5268831</v>
      </c>
      <c r="L10" s="6">
        <v>0</v>
      </c>
      <c r="M10" s="1">
        <v>0</v>
      </c>
      <c r="O10" s="1">
        <v>938000</v>
      </c>
      <c r="P10" s="1">
        <v>1045000</v>
      </c>
      <c r="R10" s="1">
        <v>0</v>
      </c>
      <c r="S10" s="1">
        <v>0</v>
      </c>
      <c r="U10" s="1">
        <v>0</v>
      </c>
      <c r="V10" s="9">
        <v>0</v>
      </c>
    </row>
    <row r="11" spans="1:22">
      <c r="A11" s="1" t="s">
        <v>18</v>
      </c>
      <c r="B11" s="6">
        <v>-19.754925237270072</v>
      </c>
      <c r="C11" s="1">
        <v>-23.011982356663793</v>
      </c>
      <c r="D11" s="1">
        <v>9.3266080747882417E-3</v>
      </c>
      <c r="E11" s="1">
        <v>0</v>
      </c>
      <c r="F11" s="1">
        <v>0</v>
      </c>
      <c r="G11" s="9">
        <f>SUM(CO_FINANCIAL)</f>
        <v>-42.757580985859079</v>
      </c>
      <c r="I11" s="13"/>
      <c r="J11" s="16"/>
      <c r="L11" s="6">
        <v>7739</v>
      </c>
      <c r="M11" s="1">
        <v>0</v>
      </c>
      <c r="O11" s="1">
        <v>15022</v>
      </c>
      <c r="P11" s="1">
        <v>0</v>
      </c>
      <c r="R11" s="1">
        <v>0</v>
      </c>
      <c r="S11" s="1">
        <v>0</v>
      </c>
      <c r="U11" s="1">
        <v>0</v>
      </c>
      <c r="V11" s="9">
        <v>0</v>
      </c>
    </row>
    <row r="12" spans="1:22">
      <c r="A12" s="1" t="s">
        <v>19</v>
      </c>
      <c r="B12" s="6">
        <v>-0.19824298286698649</v>
      </c>
      <c r="C12" s="1">
        <v>-129.3214774208609</v>
      </c>
      <c r="D12" s="1">
        <v>-9.863180805965226E-3</v>
      </c>
      <c r="E12" s="1">
        <v>-141.41672009974718</v>
      </c>
      <c r="F12" s="1">
        <v>0</v>
      </c>
      <c r="G12" s="9">
        <f>SUM(CT_FINANCIAL)</f>
        <v>-270.94630368428102</v>
      </c>
      <c r="I12" s="13" t="s">
        <v>20</v>
      </c>
      <c r="J12" s="16"/>
      <c r="L12" s="6">
        <v>200000</v>
      </c>
      <c r="M12" s="1">
        <v>199924</v>
      </c>
      <c r="O12" s="1">
        <v>1100000</v>
      </c>
      <c r="P12" s="1">
        <v>1099902</v>
      </c>
      <c r="R12" s="1">
        <v>0</v>
      </c>
      <c r="S12" s="1">
        <v>0</v>
      </c>
      <c r="U12" s="1">
        <v>1350000</v>
      </c>
      <c r="V12" s="9">
        <v>1349994</v>
      </c>
    </row>
    <row r="13" spans="1:22">
      <c r="A13" s="1" t="s">
        <v>21</v>
      </c>
      <c r="B13" s="6">
        <v>-4.5946871370233566E-2</v>
      </c>
      <c r="C13" s="1">
        <v>-2.063781481992919</v>
      </c>
      <c r="D13" s="1">
        <v>0</v>
      </c>
      <c r="E13" s="1">
        <v>0</v>
      </c>
      <c r="F13" s="1">
        <v>0</v>
      </c>
      <c r="G13" s="9">
        <f>SUM(DE_FINANCIAL)</f>
        <v>-2.1097283533631526</v>
      </c>
      <c r="I13" s="13" t="s">
        <v>22</v>
      </c>
      <c r="J13" s="16">
        <v>0</v>
      </c>
      <c r="L13" s="6">
        <v>0</v>
      </c>
      <c r="M13" s="1">
        <v>0</v>
      </c>
      <c r="O13" s="1">
        <v>25000</v>
      </c>
      <c r="P13" s="1">
        <v>0</v>
      </c>
      <c r="R13" s="1">
        <v>0</v>
      </c>
      <c r="S13" s="1">
        <v>0</v>
      </c>
      <c r="U13" s="1">
        <v>0</v>
      </c>
      <c r="V13" s="9">
        <v>0</v>
      </c>
    </row>
    <row r="14" spans="1:22">
      <c r="A14" s="1" t="s">
        <v>23</v>
      </c>
      <c r="B14" s="6">
        <v>-3.5508518249912413E-2</v>
      </c>
      <c r="C14" s="1">
        <v>-90.757980144233443</v>
      </c>
      <c r="D14" s="1">
        <v>4.463435541157003E-6</v>
      </c>
      <c r="E14" s="1">
        <v>0</v>
      </c>
      <c r="F14" s="1">
        <v>0</v>
      </c>
      <c r="G14" s="9">
        <f>SUM(DC_FINANCIAL)</f>
        <v>-90.793484199047811</v>
      </c>
      <c r="I14" s="13" t="s">
        <v>24</v>
      </c>
      <c r="J14" s="16">
        <v>4043353.2499999725</v>
      </c>
      <c r="L14" s="6">
        <v>10000</v>
      </c>
      <c r="M14" s="1">
        <v>8983</v>
      </c>
      <c r="O14" s="1">
        <v>930000</v>
      </c>
      <c r="P14" s="1">
        <v>951758</v>
      </c>
      <c r="R14" s="1">
        <v>10000</v>
      </c>
      <c r="S14" s="1">
        <v>10064</v>
      </c>
      <c r="U14" s="1">
        <v>0</v>
      </c>
      <c r="V14" s="9">
        <v>0</v>
      </c>
    </row>
    <row r="15" spans="1:22">
      <c r="A15" s="1" t="s">
        <v>25</v>
      </c>
      <c r="B15" s="6">
        <v>-39.622774987539742</v>
      </c>
      <c r="C15" s="1">
        <v>-121.05984492436983</v>
      </c>
      <c r="D15" s="1">
        <v>-1.701443749404704E-2</v>
      </c>
      <c r="E15" s="1">
        <v>0</v>
      </c>
      <c r="F15" s="1">
        <v>0</v>
      </c>
      <c r="G15" s="9">
        <f>SUM(FL_FINANCIAL)</f>
        <v>-160.69963434940362</v>
      </c>
      <c r="I15" s="13" t="s">
        <v>26</v>
      </c>
      <c r="J15" s="16">
        <v>14370824.819999993</v>
      </c>
      <c r="L15" s="6"/>
      <c r="V15" s="9"/>
    </row>
    <row r="16" spans="1:22">
      <c r="A16" s="1" t="s">
        <v>27</v>
      </c>
      <c r="B16" s="6">
        <v>-102.13001279870514</v>
      </c>
      <c r="C16" s="1">
        <v>-1681.8285222444683</v>
      </c>
      <c r="D16" s="1">
        <v>1.8883786595421236E-2</v>
      </c>
      <c r="E16" s="1">
        <v>-520.24963257089257</v>
      </c>
      <c r="F16" s="1">
        <v>0</v>
      </c>
      <c r="G16" s="9">
        <f>SUM(GA_FINANCIAL)</f>
        <v>-2304.1892838274707</v>
      </c>
      <c r="I16" s="13" t="s">
        <v>28</v>
      </c>
      <c r="J16" s="16">
        <v>0</v>
      </c>
      <c r="L16" s="6">
        <v>0</v>
      </c>
      <c r="M16" s="1">
        <v>0</v>
      </c>
      <c r="O16" s="1">
        <v>12100000</v>
      </c>
      <c r="P16" s="1">
        <v>262519.01</v>
      </c>
      <c r="R16" s="1">
        <v>0</v>
      </c>
      <c r="S16" s="1">
        <v>0</v>
      </c>
      <c r="U16" s="1">
        <v>2800000</v>
      </c>
      <c r="V16" s="9">
        <v>-463.21</v>
      </c>
    </row>
    <row r="17" spans="1:22">
      <c r="A17" s="1" t="s">
        <v>29</v>
      </c>
      <c r="B17" s="6">
        <v>-2.6529754239959402E-2</v>
      </c>
      <c r="C17" s="1">
        <v>-1.9982547866165987</v>
      </c>
      <c r="D17" s="1">
        <v>8.7065204092955165E-3</v>
      </c>
      <c r="E17" s="1">
        <v>0</v>
      </c>
      <c r="F17" s="1">
        <v>0</v>
      </c>
      <c r="G17" s="9">
        <f>SUM(HI_FINANCIAL)</f>
        <v>-2.0160780204472628</v>
      </c>
      <c r="I17" s="13"/>
      <c r="J17" s="16"/>
      <c r="L17" s="6">
        <v>25505</v>
      </c>
      <c r="M17" s="1">
        <v>0</v>
      </c>
      <c r="O17" s="1">
        <v>4468</v>
      </c>
      <c r="P17" s="1">
        <v>0</v>
      </c>
      <c r="R17" s="1">
        <v>0</v>
      </c>
      <c r="S17" s="1">
        <v>3683</v>
      </c>
      <c r="U17" s="1">
        <v>0</v>
      </c>
      <c r="V17" s="9">
        <v>0</v>
      </c>
    </row>
    <row r="18" spans="1:22">
      <c r="A18" s="1" t="s">
        <v>30</v>
      </c>
      <c r="B18" s="6">
        <v>-9.1749581505951028E-4</v>
      </c>
      <c r="C18" s="1">
        <v>-0.91069401238200953</v>
      </c>
      <c r="D18" s="1">
        <v>3.6994653423111929E-6</v>
      </c>
      <c r="E18" s="1">
        <v>0</v>
      </c>
      <c r="F18" s="1">
        <v>0</v>
      </c>
      <c r="G18" s="9">
        <f>SUM(ID_FINANCIAL)</f>
        <v>-0.91160780873172675</v>
      </c>
      <c r="I18" s="13" t="s">
        <v>31</v>
      </c>
      <c r="J18" s="16"/>
      <c r="L18" s="6">
        <v>0</v>
      </c>
      <c r="M18" s="1">
        <v>0</v>
      </c>
      <c r="O18" s="1">
        <v>0</v>
      </c>
      <c r="P18" s="1">
        <v>0</v>
      </c>
      <c r="R18" s="1">
        <v>0</v>
      </c>
      <c r="S18" s="1">
        <v>0</v>
      </c>
      <c r="U18" s="1">
        <v>0</v>
      </c>
      <c r="V18" s="9">
        <v>0</v>
      </c>
    </row>
    <row r="19" spans="1:22">
      <c r="A19" s="1" t="s">
        <v>32</v>
      </c>
      <c r="B19" s="6">
        <v>-0.18376109026985432</v>
      </c>
      <c r="C19" s="1">
        <v>-163.45059611112811</v>
      </c>
      <c r="D19" s="1">
        <v>-9.9200105160035662E-3</v>
      </c>
      <c r="E19" s="1">
        <v>-2295.7009771205485</v>
      </c>
      <c r="F19" s="1">
        <v>0</v>
      </c>
      <c r="G19" s="9">
        <f>SUM(IL_FINANCIAL)</f>
        <v>-2459.3452543324624</v>
      </c>
      <c r="I19" s="13" t="s">
        <v>33</v>
      </c>
      <c r="J19" s="16">
        <v>3228522434.5828199</v>
      </c>
      <c r="L19" s="6">
        <v>100000</v>
      </c>
      <c r="M19" s="1">
        <v>100000</v>
      </c>
      <c r="O19" s="1">
        <v>6000000</v>
      </c>
      <c r="P19" s="1">
        <v>6300000</v>
      </c>
      <c r="R19" s="1">
        <v>100000</v>
      </c>
      <c r="S19" s="1">
        <v>100000</v>
      </c>
      <c r="U19" s="1">
        <v>21500000</v>
      </c>
      <c r="V19" s="9">
        <v>24150000</v>
      </c>
    </row>
    <row r="20" spans="1:22">
      <c r="A20" s="1" t="s">
        <v>34</v>
      </c>
      <c r="B20" s="6">
        <v>-93.956223084940575</v>
      </c>
      <c r="C20" s="1">
        <v>-32.0331249400042</v>
      </c>
      <c r="D20" s="1">
        <v>9.9985565521787276E-6</v>
      </c>
      <c r="E20" s="1">
        <v>-182.34111601440236</v>
      </c>
      <c r="F20" s="1">
        <v>0</v>
      </c>
      <c r="G20" s="9">
        <f>SUM(IN_FINANCIAL)</f>
        <v>-308.33045404079058</v>
      </c>
      <c r="I20" s="13" t="s">
        <v>35</v>
      </c>
      <c r="J20" s="16">
        <v>102571577.00399998</v>
      </c>
      <c r="L20" s="6"/>
      <c r="V20" s="9"/>
    </row>
    <row r="21" spans="1:22">
      <c r="A21" s="1" t="s">
        <v>36</v>
      </c>
      <c r="B21" s="6">
        <v>-5.1118572514425864E-3</v>
      </c>
      <c r="C21" s="1">
        <v>-2.7518446260037308</v>
      </c>
      <c r="D21" s="1">
        <v>-9.8429493235012988E-3</v>
      </c>
      <c r="E21" s="1">
        <v>-25.171420703991316</v>
      </c>
      <c r="F21" s="1">
        <v>0</v>
      </c>
      <c r="G21" s="9">
        <f>SUM(IA_FINANCIAL)</f>
        <v>-27.938220136569992</v>
      </c>
      <c r="I21" s="13" t="s">
        <v>37</v>
      </c>
      <c r="J21" s="16"/>
      <c r="L21" s="6">
        <v>0</v>
      </c>
      <c r="M21" s="1">
        <v>0</v>
      </c>
      <c r="O21" s="1">
        <v>0</v>
      </c>
      <c r="P21" s="1">
        <v>0</v>
      </c>
      <c r="R21" s="1">
        <v>0</v>
      </c>
      <c r="S21" s="1">
        <v>0</v>
      </c>
      <c r="U21" s="1">
        <v>240000</v>
      </c>
      <c r="V21" s="9">
        <v>0</v>
      </c>
    </row>
    <row r="22" spans="1:22">
      <c r="A22" s="1" t="s">
        <v>38</v>
      </c>
      <c r="B22" s="6">
        <v>-1.7747422740740149E-2</v>
      </c>
      <c r="C22" s="1">
        <v>-3.1547444270327105</v>
      </c>
      <c r="D22" s="1">
        <v>0</v>
      </c>
      <c r="E22" s="1">
        <v>0</v>
      </c>
      <c r="F22" s="1">
        <v>0</v>
      </c>
      <c r="G22" s="9">
        <f>SUM(KS_FINANCIAL)</f>
        <v>-3.1724918497734507</v>
      </c>
      <c r="I22" s="13" t="s">
        <v>39</v>
      </c>
      <c r="J22" s="16">
        <v>84689349.896513835</v>
      </c>
      <c r="L22" s="6"/>
      <c r="V22" s="9"/>
    </row>
    <row r="23" spans="1:22">
      <c r="A23" s="1" t="s">
        <v>40</v>
      </c>
      <c r="B23" s="6">
        <v>-26.765143490832997</v>
      </c>
      <c r="C23" s="1">
        <v>-4.5215210590613424</v>
      </c>
      <c r="D23" s="1">
        <v>8.1207763230062568E-3</v>
      </c>
      <c r="E23" s="1">
        <v>0</v>
      </c>
      <c r="F23" s="1">
        <v>0</v>
      </c>
      <c r="G23" s="9">
        <f>SUM(KY_FINANCIAL)</f>
        <v>-31.278543773571332</v>
      </c>
      <c r="I23" s="13" t="s">
        <v>41</v>
      </c>
      <c r="J23" s="16"/>
      <c r="L23" s="6"/>
      <c r="V23" s="9"/>
    </row>
    <row r="24" spans="1:22">
      <c r="A24" s="1" t="s">
        <v>42</v>
      </c>
      <c r="B24" s="6">
        <v>-6.7710116842818024E-2</v>
      </c>
      <c r="C24" s="1">
        <v>-6.3150724567240104</v>
      </c>
      <c r="D24" s="1">
        <v>0</v>
      </c>
      <c r="E24" s="1">
        <v>0</v>
      </c>
      <c r="F24" s="1">
        <v>0</v>
      </c>
      <c r="G24" s="9">
        <f>SUM(LA_FINANCIAL)</f>
        <v>-6.3827825735668284</v>
      </c>
      <c r="I24" s="13" t="s">
        <v>43</v>
      </c>
      <c r="J24" s="16">
        <v>136926126.18959287</v>
      </c>
      <c r="L24" s="6">
        <v>168235</v>
      </c>
      <c r="M24" s="1">
        <v>0</v>
      </c>
      <c r="O24" s="1">
        <v>51765</v>
      </c>
      <c r="P24" s="1">
        <v>0</v>
      </c>
      <c r="R24" s="1">
        <v>0</v>
      </c>
      <c r="S24" s="1">
        <v>0</v>
      </c>
      <c r="U24" s="1">
        <v>0</v>
      </c>
      <c r="V24" s="9">
        <v>0</v>
      </c>
    </row>
    <row r="25" spans="1:22">
      <c r="A25" s="1" t="s">
        <v>44</v>
      </c>
      <c r="B25" s="6">
        <v>-1.9767732914459657E-2</v>
      </c>
      <c r="C25" s="1">
        <v>-10.67859683666029</v>
      </c>
      <c r="D25" s="1">
        <v>9.9985968262281E-3</v>
      </c>
      <c r="E25" s="1">
        <v>0</v>
      </c>
      <c r="F25" s="1">
        <v>0</v>
      </c>
      <c r="G25" s="9">
        <f>SUM(ME_FINANCIAL)</f>
        <v>-10.688365972748521</v>
      </c>
      <c r="I25" s="13"/>
      <c r="J25" s="16"/>
      <c r="L25" s="6"/>
      <c r="V25" s="9"/>
    </row>
    <row r="26" spans="1:22">
      <c r="A26" s="1" t="s">
        <v>45</v>
      </c>
      <c r="B26" s="6">
        <v>7.8874028371478389E-5</v>
      </c>
      <c r="C26" s="1">
        <v>-27.056169308285462</v>
      </c>
      <c r="D26" s="1">
        <v>0</v>
      </c>
      <c r="E26" s="1">
        <v>-582.42313150968403</v>
      </c>
      <c r="F26" s="1">
        <v>0</v>
      </c>
      <c r="G26" s="9">
        <f>SUM(MD_FINANCIAL)</f>
        <v>-609.47922194394107</v>
      </c>
      <c r="I26" s="13" t="s">
        <v>46</v>
      </c>
      <c r="J26" s="16">
        <f>SUM(ADD_FINANCIAL)-SUM(LESS_FINANCIAL)</f>
        <v>-16627.076043605804</v>
      </c>
      <c r="L26" s="6">
        <v>0</v>
      </c>
      <c r="M26" s="1">
        <v>0</v>
      </c>
      <c r="O26" s="1">
        <v>6000000</v>
      </c>
      <c r="P26" s="1">
        <v>0</v>
      </c>
      <c r="R26" s="1">
        <v>0</v>
      </c>
      <c r="S26" s="1">
        <v>0</v>
      </c>
      <c r="U26" s="1">
        <v>0</v>
      </c>
      <c r="V26" s="9">
        <v>0</v>
      </c>
    </row>
    <row r="27" spans="1:22">
      <c r="A27" s="1" t="s">
        <v>47</v>
      </c>
      <c r="B27" s="6">
        <v>-0.49222693382307625</v>
      </c>
      <c r="C27" s="1">
        <v>-54.715476356388535</v>
      </c>
      <c r="D27" s="1">
        <v>3.9110059506304527E-8</v>
      </c>
      <c r="E27" s="1">
        <v>0</v>
      </c>
      <c r="F27" s="1">
        <v>0</v>
      </c>
      <c r="G27" s="9">
        <f>SUM(MA_FINANCIAL)</f>
        <v>-55.207703251101549</v>
      </c>
      <c r="I27" s="13" t="s">
        <v>48</v>
      </c>
      <c r="J27" s="16">
        <f>SUM(ALL_BLOCKS)</f>
        <v>-16627.076041025033</v>
      </c>
      <c r="L27" s="6">
        <v>0</v>
      </c>
      <c r="M27" s="1">
        <v>0</v>
      </c>
      <c r="O27" s="1">
        <v>500000</v>
      </c>
      <c r="P27" s="1">
        <v>500000</v>
      </c>
      <c r="R27" s="1">
        <v>0</v>
      </c>
      <c r="S27" s="1">
        <v>0</v>
      </c>
      <c r="U27" s="1">
        <v>0</v>
      </c>
      <c r="V27" s="9">
        <v>0</v>
      </c>
    </row>
    <row r="28" spans="1:22">
      <c r="A28" s="1" t="s">
        <v>49</v>
      </c>
      <c r="B28" s="6">
        <v>-0.23869042976275523</v>
      </c>
      <c r="C28" s="1">
        <v>-18.961346942989621</v>
      </c>
      <c r="D28" s="1">
        <v>0</v>
      </c>
      <c r="E28" s="1">
        <v>-2188.8930661901832</v>
      </c>
      <c r="F28" s="1">
        <v>0</v>
      </c>
      <c r="G28" s="9">
        <f>SUM(MI_FINANCIAL)</f>
        <v>-2208.0931035629355</v>
      </c>
      <c r="I28" s="14"/>
      <c r="J28" s="17"/>
      <c r="L28" s="6">
        <v>0</v>
      </c>
      <c r="M28" s="1">
        <v>0</v>
      </c>
      <c r="O28" s="1">
        <v>350000</v>
      </c>
      <c r="P28" s="1">
        <v>0</v>
      </c>
      <c r="R28" s="1">
        <v>0</v>
      </c>
      <c r="S28" s="1">
        <v>0</v>
      </c>
      <c r="U28" s="1">
        <v>23108333</v>
      </c>
      <c r="V28" s="9">
        <v>24800000</v>
      </c>
    </row>
    <row r="29" spans="1:22">
      <c r="A29" s="1" t="s">
        <v>50</v>
      </c>
      <c r="B29" s="6">
        <v>-4.9167019938238354E-2</v>
      </c>
      <c r="C29" s="1">
        <v>-6.1235056703735609</v>
      </c>
      <c r="D29" s="1">
        <v>1.9996763907397581E-6</v>
      </c>
      <c r="E29" s="1">
        <v>-567.99714654684067</v>
      </c>
      <c r="F29" s="1">
        <v>0</v>
      </c>
      <c r="G29" s="9">
        <f>SUM(MN_FINANCIAL)</f>
        <v>-574.16981723747608</v>
      </c>
      <c r="L29" s="6">
        <v>0</v>
      </c>
      <c r="M29" s="1">
        <v>0</v>
      </c>
      <c r="O29" s="1">
        <v>0</v>
      </c>
      <c r="P29" s="1">
        <v>0</v>
      </c>
      <c r="R29" s="1">
        <v>0</v>
      </c>
      <c r="S29" s="1">
        <v>0</v>
      </c>
      <c r="U29" s="1">
        <v>5700000</v>
      </c>
      <c r="V29" s="9">
        <v>0</v>
      </c>
    </row>
    <row r="30" spans="1:22">
      <c r="A30" s="1" t="s">
        <v>51</v>
      </c>
      <c r="B30" s="6">
        <v>-3.0918241760673482E-2</v>
      </c>
      <c r="C30" s="1">
        <v>-3.8384539603357553</v>
      </c>
      <c r="D30" s="1">
        <v>-1.8541194579640621E-6</v>
      </c>
      <c r="E30" s="1">
        <v>-97.333197792177089</v>
      </c>
      <c r="F30" s="1">
        <v>0</v>
      </c>
      <c r="G30" s="9">
        <f>SUM(MS_FINANCIAL)</f>
        <v>-101.20257184839298</v>
      </c>
      <c r="L30" s="6"/>
      <c r="V30" s="9"/>
    </row>
    <row r="31" spans="1:22">
      <c r="A31" s="1" t="s">
        <v>52</v>
      </c>
      <c r="B31" s="6">
        <v>-4.0246473463184884E-2</v>
      </c>
      <c r="C31" s="1">
        <v>-7.6243651481490815</v>
      </c>
      <c r="D31" s="1">
        <v>-9.9847919064141016E-3</v>
      </c>
      <c r="E31" s="1">
        <v>0</v>
      </c>
      <c r="F31" s="1">
        <v>0</v>
      </c>
      <c r="G31" s="9">
        <f>SUM(MO_FINANCIAL)</f>
        <v>-7.6745964135186808</v>
      </c>
      <c r="L31" s="6">
        <v>0</v>
      </c>
      <c r="M31" s="1">
        <v>0</v>
      </c>
      <c r="O31" s="1">
        <v>630730</v>
      </c>
      <c r="P31" s="1">
        <v>0</v>
      </c>
      <c r="R31" s="1">
        <v>0</v>
      </c>
      <c r="S31" s="1">
        <v>0</v>
      </c>
      <c r="U31" s="1">
        <v>0</v>
      </c>
      <c r="V31" s="9">
        <v>0</v>
      </c>
    </row>
    <row r="32" spans="1:22">
      <c r="A32" s="1" t="s">
        <v>53</v>
      </c>
      <c r="B32" s="6">
        <v>-1.5997735661699153E-3</v>
      </c>
      <c r="C32" s="1">
        <v>-3.6987069633978535</v>
      </c>
      <c r="D32" s="1">
        <v>2.0401919680095703E-5</v>
      </c>
      <c r="E32" s="1">
        <v>0</v>
      </c>
      <c r="F32" s="1">
        <v>0</v>
      </c>
      <c r="G32" s="9">
        <f>SUM(MT_FINANCIAL)</f>
        <v>-3.7002863350443436</v>
      </c>
      <c r="L32" s="6"/>
      <c r="V32" s="9"/>
    </row>
    <row r="33" spans="1:22">
      <c r="A33" s="1" t="s">
        <v>54</v>
      </c>
      <c r="B33" s="6">
        <v>-2.7967498733545426E-3</v>
      </c>
      <c r="C33" s="1">
        <v>-1.7464551299344748</v>
      </c>
      <c r="D33" s="1">
        <v>-6.9989255670824571E-7</v>
      </c>
      <c r="E33" s="1">
        <v>0</v>
      </c>
      <c r="F33" s="1">
        <v>0</v>
      </c>
      <c r="G33" s="9">
        <f>SUM(NE_FINANCIAL)</f>
        <v>-1.7492525797003862</v>
      </c>
      <c r="L33" s="6"/>
      <c r="V33" s="9"/>
    </row>
    <row r="34" spans="1:22">
      <c r="A34" s="1" t="s">
        <v>55</v>
      </c>
      <c r="B34" s="6">
        <v>-2.3325971515646415E-2</v>
      </c>
      <c r="C34" s="1">
        <v>-1.5850755074461631</v>
      </c>
      <c r="D34" s="1">
        <v>3.6101145702024845E-7</v>
      </c>
      <c r="E34" s="1">
        <v>0</v>
      </c>
      <c r="F34" s="1">
        <v>0</v>
      </c>
      <c r="G34" s="9">
        <f>SUM(NV_FINANCIAL)</f>
        <v>-1.6084011179503526</v>
      </c>
      <c r="L34" s="6"/>
      <c r="V34" s="9"/>
    </row>
    <row r="35" spans="1:22">
      <c r="A35" s="1" t="s">
        <v>56</v>
      </c>
      <c r="B35" s="6">
        <v>-2.7742016190615004E-3</v>
      </c>
      <c r="C35" s="1">
        <v>-17.931272917892784</v>
      </c>
      <c r="D35" s="1">
        <v>9.9985965934301264E-3</v>
      </c>
      <c r="E35" s="1">
        <v>0</v>
      </c>
      <c r="F35" s="1">
        <v>0</v>
      </c>
      <c r="G35" s="9">
        <f>SUM(NH_FINANCIAL)</f>
        <v>-17.924048522918415</v>
      </c>
      <c r="L35" s="6"/>
      <c r="V35" s="9"/>
    </row>
    <row r="36" spans="1:22">
      <c r="A36" s="1" t="s">
        <v>57</v>
      </c>
      <c r="B36" s="6">
        <v>0.91337711795495125</v>
      </c>
      <c r="C36" s="1">
        <v>-37.527775933092926</v>
      </c>
      <c r="D36" s="1">
        <v>0</v>
      </c>
      <c r="E36" s="1">
        <v>-951.77585843391716</v>
      </c>
      <c r="F36" s="1">
        <v>0</v>
      </c>
      <c r="G36" s="9">
        <f>SUM(NJ_FINANCIAL)</f>
        <v>-988.39025724905514</v>
      </c>
      <c r="L36" s="6">
        <v>0</v>
      </c>
      <c r="M36" s="1">
        <v>0</v>
      </c>
      <c r="O36" s="1">
        <v>0</v>
      </c>
      <c r="P36" s="1">
        <v>0</v>
      </c>
      <c r="R36" s="1">
        <v>0</v>
      </c>
      <c r="S36" s="1">
        <v>0</v>
      </c>
      <c r="U36" s="1">
        <v>10000000</v>
      </c>
      <c r="V36" s="9">
        <v>11255081</v>
      </c>
    </row>
    <row r="37" spans="1:22">
      <c r="A37" s="1" t="s">
        <v>58</v>
      </c>
      <c r="B37" s="6">
        <v>-1.0846581313700199E-2</v>
      </c>
      <c r="C37" s="1">
        <v>-2.3957268908488913</v>
      </c>
      <c r="D37" s="1">
        <v>8.4987847092505839E-6</v>
      </c>
      <c r="E37" s="1">
        <v>0</v>
      </c>
      <c r="F37" s="1">
        <v>0</v>
      </c>
      <c r="G37" s="9">
        <f>SUM(NM_FINANCIAL)</f>
        <v>-2.4065649733778822</v>
      </c>
      <c r="L37" s="6"/>
      <c r="V37" s="9"/>
    </row>
    <row r="38" spans="1:22">
      <c r="A38" s="1" t="s">
        <v>59</v>
      </c>
      <c r="B38" s="6">
        <v>4.2879902699767934E-14</v>
      </c>
      <c r="C38" s="1">
        <v>0</v>
      </c>
      <c r="D38" s="1">
        <v>0</v>
      </c>
      <c r="E38" s="1">
        <v>0</v>
      </c>
      <c r="F38" s="1">
        <v>0</v>
      </c>
      <c r="G38" s="9">
        <f>SUM(NY_FINANCIAL)</f>
        <v>4.2879902699767934E-14</v>
      </c>
      <c r="L38" s="6"/>
      <c r="V38" s="9"/>
    </row>
    <row r="39" spans="1:22">
      <c r="A39" s="1" t="s">
        <v>60</v>
      </c>
      <c r="B39" s="6">
        <v>-226.22187033691444</v>
      </c>
      <c r="C39" s="1">
        <v>-39.11386378435418</v>
      </c>
      <c r="D39" s="1">
        <v>9.9694810165114681E-3</v>
      </c>
      <c r="E39" s="1">
        <v>-1030.3796490589157</v>
      </c>
      <c r="F39" s="1">
        <v>0</v>
      </c>
      <c r="G39" s="9">
        <f>SUM(NC_FINANCIAL)</f>
        <v>-1295.7054136991678</v>
      </c>
      <c r="L39" s="6">
        <v>0</v>
      </c>
      <c r="M39" s="1">
        <v>0</v>
      </c>
      <c r="O39" s="1">
        <v>10000000</v>
      </c>
      <c r="P39" s="1">
        <v>11400000</v>
      </c>
      <c r="R39" s="1">
        <v>0</v>
      </c>
      <c r="S39" s="1">
        <v>0</v>
      </c>
      <c r="U39" s="1">
        <v>0</v>
      </c>
      <c r="V39" s="9">
        <v>0</v>
      </c>
    </row>
    <row r="40" spans="1:22">
      <c r="A40" s="1" t="s">
        <v>61</v>
      </c>
      <c r="B40" s="6">
        <v>-1.2458835828454085E-2</v>
      </c>
      <c r="C40" s="1">
        <v>-0.2070707635848521</v>
      </c>
      <c r="D40" s="1">
        <v>6.6180712256151408E-3</v>
      </c>
      <c r="E40" s="1">
        <v>0</v>
      </c>
      <c r="F40" s="1">
        <v>0</v>
      </c>
      <c r="G40" s="9">
        <f>SUM(ND_FINANCIAL)</f>
        <v>-0.21291152818769105</v>
      </c>
      <c r="L40" s="6"/>
      <c r="V40" s="9"/>
    </row>
    <row r="41" spans="1:22">
      <c r="A41" s="1" t="s">
        <v>62</v>
      </c>
      <c r="B41" s="6">
        <v>-295.77682487061247</v>
      </c>
      <c r="C41" s="1">
        <v>-67.097538403002545</v>
      </c>
      <c r="D41" s="1">
        <v>7.8753100660450132E-3</v>
      </c>
      <c r="E41" s="1">
        <v>-331.36238683154806</v>
      </c>
      <c r="F41" s="1">
        <v>0</v>
      </c>
      <c r="G41" s="9">
        <f>SUM(OH_FINANCIAL)</f>
        <v>-694.228874795097</v>
      </c>
      <c r="L41" s="6">
        <v>0</v>
      </c>
      <c r="M41" s="1">
        <v>0</v>
      </c>
      <c r="O41" s="1">
        <v>400000</v>
      </c>
      <c r="P41" s="1">
        <v>0</v>
      </c>
      <c r="R41" s="1">
        <v>0</v>
      </c>
      <c r="S41" s="1">
        <v>0</v>
      </c>
      <c r="U41" s="1">
        <v>3100000</v>
      </c>
      <c r="V41" s="9">
        <v>4800000</v>
      </c>
    </row>
    <row r="42" spans="1:22">
      <c r="A42" s="1" t="s">
        <v>63</v>
      </c>
      <c r="B42" s="6">
        <v>-1.1807290888498301E-2</v>
      </c>
      <c r="C42" s="1">
        <v>-10.241420366073726</v>
      </c>
      <c r="D42" s="1">
        <v>-4.2390299348408921E-5</v>
      </c>
      <c r="E42" s="1">
        <v>0</v>
      </c>
      <c r="F42" s="1">
        <v>0</v>
      </c>
      <c r="G42" s="9">
        <f>SUM(OK_FINANCIAL)</f>
        <v>-10.253270047261573</v>
      </c>
      <c r="L42" s="6">
        <v>47000</v>
      </c>
      <c r="M42" s="1">
        <v>23000</v>
      </c>
      <c r="O42" s="1">
        <v>44000</v>
      </c>
      <c r="P42" s="1">
        <v>22000</v>
      </c>
      <c r="R42" s="1">
        <v>9000</v>
      </c>
      <c r="S42" s="1">
        <v>5000</v>
      </c>
      <c r="U42" s="1">
        <v>0</v>
      </c>
      <c r="V42" s="9">
        <v>0</v>
      </c>
    </row>
    <row r="43" spans="1:22">
      <c r="A43" s="1" t="s">
        <v>64</v>
      </c>
      <c r="B43" s="6">
        <v>-1.6898678756916752E-2</v>
      </c>
      <c r="C43" s="1">
        <v>-17.000011947238818</v>
      </c>
      <c r="D43" s="1">
        <v>0</v>
      </c>
      <c r="E43" s="1">
        <v>0</v>
      </c>
      <c r="F43" s="1">
        <v>0</v>
      </c>
      <c r="G43" s="9">
        <f>SUM(OR_FINANCIAL)</f>
        <v>-17.016910625995735</v>
      </c>
      <c r="L43" s="6"/>
      <c r="V43" s="9"/>
    </row>
    <row r="44" spans="1:22">
      <c r="A44" s="1" t="s">
        <v>65</v>
      </c>
      <c r="B44" s="6">
        <v>-0.7662288595802238</v>
      </c>
      <c r="C44" s="1">
        <v>-74.206386814592406</v>
      </c>
      <c r="D44" s="1">
        <v>2.8925613772484228E-5</v>
      </c>
      <c r="E44" s="1">
        <v>-2502.0394705496728</v>
      </c>
      <c r="F44" s="1">
        <v>0</v>
      </c>
      <c r="G44" s="9">
        <f>SUM(PA_FINANCIAL)</f>
        <v>-2577.0120572982319</v>
      </c>
      <c r="L44" s="6">
        <v>0</v>
      </c>
      <c r="M44" s="1">
        <v>0</v>
      </c>
      <c r="O44" s="1">
        <v>0</v>
      </c>
      <c r="P44" s="1">
        <v>0</v>
      </c>
      <c r="R44" s="1">
        <v>0</v>
      </c>
      <c r="S44" s="1">
        <v>0</v>
      </c>
      <c r="U44" s="1">
        <v>32905625</v>
      </c>
      <c r="V44" s="9">
        <v>0</v>
      </c>
    </row>
    <row r="45" spans="1:22">
      <c r="A45" s="1" t="s">
        <v>66</v>
      </c>
      <c r="B45" s="6">
        <v>-5.0282159632729417E-2</v>
      </c>
      <c r="C45" s="1">
        <v>-7.9187815895129461</v>
      </c>
      <c r="D45" s="1">
        <v>0</v>
      </c>
      <c r="E45" s="1">
        <v>0</v>
      </c>
      <c r="F45" s="1">
        <v>0</v>
      </c>
      <c r="G45" s="9">
        <f>SUM(PR_FINANCIAL)</f>
        <v>-7.9690637491456755</v>
      </c>
      <c r="L45" s="6"/>
      <c r="V45" s="9"/>
    </row>
    <row r="46" spans="1:22">
      <c r="A46" s="1" t="s">
        <v>67</v>
      </c>
      <c r="B46" s="6">
        <v>-4.6187874745328372E-2</v>
      </c>
      <c r="C46" s="1">
        <v>-10.508743227139348</v>
      </c>
      <c r="D46" s="1">
        <v>0</v>
      </c>
      <c r="E46" s="1">
        <v>0</v>
      </c>
      <c r="F46" s="1">
        <v>0</v>
      </c>
      <c r="G46" s="9">
        <f>SUM(RI_FINANCIAL)</f>
        <v>-10.554931101884677</v>
      </c>
      <c r="L46" s="6">
        <v>0</v>
      </c>
      <c r="M46" s="1">
        <v>0</v>
      </c>
      <c r="O46" s="1">
        <v>35000</v>
      </c>
      <c r="P46" s="1">
        <v>0</v>
      </c>
      <c r="R46" s="1">
        <v>0</v>
      </c>
      <c r="S46" s="1">
        <v>0</v>
      </c>
      <c r="U46" s="1">
        <v>0</v>
      </c>
      <c r="V46" s="9">
        <v>0</v>
      </c>
    </row>
    <row r="47" spans="1:22">
      <c r="A47" s="1" t="s">
        <v>68</v>
      </c>
      <c r="B47" s="6">
        <v>-55.373730668972712</v>
      </c>
      <c r="C47" s="1">
        <v>-10.299304671745631</v>
      </c>
      <c r="D47" s="1">
        <v>0</v>
      </c>
      <c r="E47" s="1">
        <v>0</v>
      </c>
      <c r="F47" s="1">
        <v>0</v>
      </c>
      <c r="G47" s="9">
        <f>SUM(SC_FINANCIAL)</f>
        <v>-65.673035340718343</v>
      </c>
      <c r="L47" s="6"/>
      <c r="V47" s="9"/>
    </row>
    <row r="48" spans="1:22">
      <c r="A48" s="1" t="s">
        <v>69</v>
      </c>
      <c r="B48" s="6">
        <v>-5.1371748700148601E-3</v>
      </c>
      <c r="C48" s="1">
        <v>-0.32964455397450365</v>
      </c>
      <c r="D48" s="1">
        <v>0</v>
      </c>
      <c r="E48" s="1">
        <v>0</v>
      </c>
      <c r="F48" s="1">
        <v>0</v>
      </c>
      <c r="G48" s="9">
        <f>SUM(SD_FINANCIAL)</f>
        <v>-0.33478172884451851</v>
      </c>
      <c r="L48" s="6"/>
      <c r="V48" s="9"/>
    </row>
    <row r="49" spans="1:22">
      <c r="A49" s="1" t="s">
        <v>70</v>
      </c>
      <c r="B49" s="6">
        <v>-0.95630599789365078</v>
      </c>
      <c r="C49" s="1">
        <v>-8.7955688429501606</v>
      </c>
      <c r="D49" s="1">
        <v>-9.4893871106276392E-3</v>
      </c>
      <c r="E49" s="1">
        <v>0</v>
      </c>
      <c r="F49" s="1">
        <v>0</v>
      </c>
      <c r="G49" s="9">
        <f>SUM(TN_FINANCIAL)</f>
        <v>-9.7613642279544397</v>
      </c>
      <c r="L49" s="6"/>
      <c r="V49" s="9"/>
    </row>
    <row r="50" spans="1:22">
      <c r="A50" s="1" t="s">
        <v>71</v>
      </c>
      <c r="B50" s="6">
        <v>-174.31261640740559</v>
      </c>
      <c r="C50" s="1">
        <v>-33.322298328042962</v>
      </c>
      <c r="D50" s="1">
        <v>8.301547324806903E-3</v>
      </c>
      <c r="E50" s="1">
        <v>-532.47809251397848</v>
      </c>
      <c r="F50" s="1">
        <v>0</v>
      </c>
      <c r="G50" s="9">
        <f>SUM(TX_FINANCIAL)</f>
        <v>-740.10470570210225</v>
      </c>
      <c r="L50" s="6">
        <v>4755103</v>
      </c>
      <c r="M50" s="1">
        <v>5296700</v>
      </c>
      <c r="O50" s="1">
        <v>471044</v>
      </c>
      <c r="P50" s="1">
        <v>524695</v>
      </c>
      <c r="R50" s="1">
        <v>574882</v>
      </c>
      <c r="S50" s="1">
        <v>640360</v>
      </c>
      <c r="U50" s="1">
        <v>0</v>
      </c>
      <c r="V50" s="9">
        <v>0</v>
      </c>
    </row>
    <row r="51" spans="1:22">
      <c r="A51" s="1" t="s">
        <v>72</v>
      </c>
      <c r="B51" s="6">
        <v>-6.4242251894057745E-3</v>
      </c>
      <c r="C51" s="1">
        <v>-3.8593369701484335</v>
      </c>
      <c r="D51" s="1">
        <v>1.0000596517168715E-2</v>
      </c>
      <c r="E51" s="1">
        <v>-287.53087620949373</v>
      </c>
      <c r="F51" s="1">
        <v>0</v>
      </c>
      <c r="G51" s="9">
        <f>SUM(UT_FINANCIAL)</f>
        <v>-291.38663680831439</v>
      </c>
      <c r="L51" s="6">
        <v>5025000</v>
      </c>
      <c r="M51" s="1">
        <v>5196038</v>
      </c>
      <c r="O51" s="1">
        <v>3758000</v>
      </c>
      <c r="P51" s="1">
        <v>3886064</v>
      </c>
      <c r="R51" s="1">
        <v>0</v>
      </c>
      <c r="S51" s="1">
        <v>0</v>
      </c>
      <c r="U51" s="1">
        <v>3050000</v>
      </c>
      <c r="V51" s="9">
        <v>4549252</v>
      </c>
    </row>
    <row r="52" spans="1:22">
      <c r="A52" s="1" t="s">
        <v>73</v>
      </c>
      <c r="B52" s="6">
        <v>-2.0785353827115216E-3</v>
      </c>
      <c r="C52" s="1">
        <v>-1.4156587453053362</v>
      </c>
      <c r="D52" s="1">
        <v>0</v>
      </c>
      <c r="E52" s="1">
        <v>0</v>
      </c>
      <c r="F52" s="1">
        <v>0</v>
      </c>
      <c r="G52" s="9">
        <f>SUM(VT_FINANCIAL)</f>
        <v>-1.4177372806880477</v>
      </c>
      <c r="L52" s="6"/>
      <c r="V52" s="9"/>
    </row>
    <row r="53" spans="1:22">
      <c r="A53" s="1" t="s">
        <v>74</v>
      </c>
      <c r="B53" s="6">
        <v>-141.17865888262168</v>
      </c>
      <c r="C53" s="1">
        <v>-23.415597139974125</v>
      </c>
      <c r="D53" s="1">
        <v>-3.5385291934275523E-7</v>
      </c>
      <c r="E53" s="1">
        <v>0</v>
      </c>
      <c r="F53" s="1">
        <v>0</v>
      </c>
      <c r="G53" s="9">
        <f>SUM(VA_FINANCIAL)</f>
        <v>-164.59425637644873</v>
      </c>
      <c r="L53" s="6">
        <v>19000</v>
      </c>
      <c r="M53" s="1">
        <v>0</v>
      </c>
      <c r="O53" s="1">
        <v>13000</v>
      </c>
      <c r="P53" s="1">
        <v>0</v>
      </c>
      <c r="R53" s="1">
        <v>1200</v>
      </c>
      <c r="S53" s="1">
        <v>0</v>
      </c>
      <c r="U53" s="1">
        <v>0</v>
      </c>
      <c r="V53" s="9">
        <v>0</v>
      </c>
    </row>
    <row r="54" spans="1:22">
      <c r="A54" s="1" t="s">
        <v>75</v>
      </c>
      <c r="B54" s="6">
        <v>-1.8473417615922472E-2</v>
      </c>
      <c r="C54" s="1">
        <v>-28.808280171797378</v>
      </c>
      <c r="D54" s="1">
        <v>0</v>
      </c>
      <c r="E54" s="1">
        <v>-213.65146271022968</v>
      </c>
      <c r="F54" s="1">
        <v>0</v>
      </c>
      <c r="G54" s="9">
        <f>SUM(WA_FINANCIAL)</f>
        <v>-242.47821629964298</v>
      </c>
      <c r="L54" s="6">
        <v>100000</v>
      </c>
      <c r="M54" s="1">
        <v>50733</v>
      </c>
      <c r="O54" s="1">
        <v>150000</v>
      </c>
      <c r="P54" s="1">
        <v>210019</v>
      </c>
      <c r="R54" s="1">
        <v>200000</v>
      </c>
      <c r="S54" s="1">
        <v>201730</v>
      </c>
      <c r="U54" s="1">
        <v>4800000</v>
      </c>
      <c r="V54" s="9">
        <v>5000000</v>
      </c>
    </row>
    <row r="55" spans="1:22">
      <c r="A55" s="1" t="s">
        <v>76</v>
      </c>
      <c r="B55" s="6">
        <v>-1.9531511476600372E-2</v>
      </c>
      <c r="C55" s="1">
        <v>-1.2720615045200248</v>
      </c>
      <c r="D55" s="1">
        <v>-9.9977969323920054E-3</v>
      </c>
      <c r="E55" s="1">
        <v>0</v>
      </c>
      <c r="F55" s="1">
        <v>0</v>
      </c>
      <c r="G55" s="9">
        <f>SUM(WV_FINANCIAL)</f>
        <v>-1.3015908129290172</v>
      </c>
      <c r="L55" s="6"/>
      <c r="V55" s="9"/>
    </row>
    <row r="56" spans="1:22">
      <c r="A56" s="1" t="s">
        <v>77</v>
      </c>
      <c r="B56" s="6">
        <v>-35.023059659462888</v>
      </c>
      <c r="C56" s="1">
        <v>-23.579719660599949</v>
      </c>
      <c r="D56" s="1">
        <v>-9.9975971917309562E-3</v>
      </c>
      <c r="E56" s="1">
        <v>0</v>
      </c>
      <c r="F56" s="1">
        <v>0</v>
      </c>
      <c r="G56" s="9">
        <f>SUM(WI_FINANCIAL)</f>
        <v>-58.612776917254564</v>
      </c>
      <c r="L56" s="6"/>
      <c r="V56" s="9"/>
    </row>
    <row r="57" spans="1:22">
      <c r="A57" s="1" t="s">
        <v>78</v>
      </c>
      <c r="B57" s="6">
        <v>-3.8819517030646011E-3</v>
      </c>
      <c r="C57" s="1">
        <v>-1.2212208017117518</v>
      </c>
      <c r="D57" s="1">
        <v>-2.4996536879180111E-6</v>
      </c>
      <c r="E57" s="1">
        <v>0</v>
      </c>
      <c r="F57" s="1">
        <v>0</v>
      </c>
      <c r="G57" s="9">
        <f>SUM(WY_FINANCIAL)</f>
        <v>-1.2251052530685043</v>
      </c>
      <c r="L57" s="6"/>
      <c r="V57" s="9"/>
    </row>
    <row r="58" spans="1:22">
      <c r="A58" s="1" t="s">
        <v>79</v>
      </c>
      <c r="B58" s="6">
        <v>0</v>
      </c>
      <c r="C58" s="1">
        <v>0</v>
      </c>
      <c r="D58" s="1">
        <v>-1.6421667972321499E-2</v>
      </c>
      <c r="E58" s="1">
        <v>0</v>
      </c>
      <c r="F58" s="1">
        <v>0</v>
      </c>
      <c r="G58" s="9">
        <f>SUM(OT_FINANCIAL)</f>
        <v>-1.6421667972321499E-2</v>
      </c>
      <c r="L58" s="6"/>
      <c r="V58" s="9"/>
    </row>
    <row r="59" spans="1:22">
      <c r="B59" s="6"/>
      <c r="G59" s="9"/>
      <c r="L59" s="6"/>
      <c r="V59" s="9"/>
    </row>
    <row r="60" spans="1:22">
      <c r="A60" s="1" t="s">
        <v>8</v>
      </c>
      <c r="B60" s="6">
        <f>SUM(LIFE)</f>
        <v>-1213.1284319363447</v>
      </c>
      <c r="C60" s="1">
        <f>SUM(ALLOCATED)</f>
        <v>-2954.8541946554742</v>
      </c>
      <c r="D60" s="1">
        <f>SUM(HEALTH)</f>
        <v>-1.3039194318268192E-2</v>
      </c>
      <c r="E60" s="1">
        <f>SUM(UNALLOCATED)</f>
        <v>-12459.080375238889</v>
      </c>
      <c r="F60" s="1">
        <f>SUM(LTC)</f>
        <v>0</v>
      </c>
      <c r="G60" s="9">
        <f>SUM(ALL_BLOCKS)</f>
        <v>-16627.076041025033</v>
      </c>
      <c r="L60" s="6">
        <f>SUM(LIFE_CALLED)</f>
        <v>11306785</v>
      </c>
      <c r="M60" s="1">
        <f>SUM(LIFE_REFUNDED)</f>
        <v>10875478</v>
      </c>
      <c r="O60" s="1">
        <f>SUM(ALLOC_CALLED)</f>
        <v>44055596</v>
      </c>
      <c r="P60" s="1">
        <f>SUM(ALLOC_REFUNDED)</f>
        <v>26201957.009999998</v>
      </c>
      <c r="R60" s="1">
        <f>SUM(HEALTH_CALLED)</f>
        <v>895082</v>
      </c>
      <c r="S60" s="1">
        <f>SUM(HEALTH_REFUNDED)</f>
        <v>960837</v>
      </c>
      <c r="U60" s="1">
        <f>SUM(UNALLOC_CALLED)</f>
        <v>108553958</v>
      </c>
      <c r="V60" s="9">
        <f>SUM(UNALLOC_REFUNDED)</f>
        <v>75903888.789999992</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103</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816316.35869569983</v>
      </c>
      <c r="C6" s="1">
        <v>151402.52384007059</v>
      </c>
      <c r="D6" s="1">
        <v>15343.277075500904</v>
      </c>
      <c r="E6" s="1">
        <v>0</v>
      </c>
      <c r="F6" s="1">
        <v>0</v>
      </c>
      <c r="G6" s="9">
        <f>SUM(AL_FINANCIAL)</f>
        <v>983062.15961127135</v>
      </c>
      <c r="L6" s="6">
        <v>2000000</v>
      </c>
      <c r="M6" s="1">
        <v>0</v>
      </c>
      <c r="O6" s="1">
        <v>1401485</v>
      </c>
      <c r="P6" s="1">
        <v>0</v>
      </c>
      <c r="R6" s="1">
        <v>120000</v>
      </c>
      <c r="S6" s="1">
        <v>0</v>
      </c>
      <c r="U6" s="1">
        <v>0</v>
      </c>
      <c r="V6" s="9">
        <v>0</v>
      </c>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29134211.304266348</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68266.373293886412</v>
      </c>
      <c r="C15" s="1">
        <v>0</v>
      </c>
      <c r="D15" s="1">
        <v>244.23820187747748</v>
      </c>
      <c r="E15" s="1">
        <v>0</v>
      </c>
      <c r="F15" s="1">
        <v>0</v>
      </c>
      <c r="G15" s="9">
        <f>SUM(FL_FINANCIAL)</f>
        <v>68510.611495763893</v>
      </c>
      <c r="I15" s="13" t="s">
        <v>26</v>
      </c>
      <c r="J15" s="16">
        <v>499865.34</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1472982.1189739003</v>
      </c>
      <c r="C19" s="1">
        <v>0</v>
      </c>
      <c r="D19" s="1">
        <v>0</v>
      </c>
      <c r="E19" s="1">
        <v>0</v>
      </c>
      <c r="F19" s="1">
        <v>0</v>
      </c>
      <c r="G19" s="9">
        <f>SUM(IL_FINANCIAL)</f>
        <v>1472982.1189739003</v>
      </c>
      <c r="I19" s="13" t="s">
        <v>33</v>
      </c>
      <c r="J19" s="16">
        <v>17500000</v>
      </c>
      <c r="L19" s="6">
        <v>2000000</v>
      </c>
      <c r="M19" s="1">
        <v>685800</v>
      </c>
      <c r="O19" s="1">
        <v>0</v>
      </c>
      <c r="P19" s="1">
        <v>0</v>
      </c>
      <c r="R19" s="1">
        <v>0</v>
      </c>
      <c r="S19" s="1">
        <v>0</v>
      </c>
      <c r="U19" s="1">
        <v>0</v>
      </c>
      <c r="V19" s="9">
        <v>0</v>
      </c>
    </row>
    <row r="20" spans="1:22">
      <c r="A20" s="1" t="s">
        <v>34</v>
      </c>
      <c r="B20" s="6">
        <v>879944.19468794228</v>
      </c>
      <c r="C20" s="1">
        <v>0</v>
      </c>
      <c r="D20" s="1">
        <v>156.11487679448868</v>
      </c>
      <c r="E20" s="1">
        <v>0</v>
      </c>
      <c r="F20" s="1">
        <v>0</v>
      </c>
      <c r="G20" s="9">
        <f>SUM(IN_FINANCIAL)</f>
        <v>880100.30956473679</v>
      </c>
      <c r="I20" s="13" t="s">
        <v>35</v>
      </c>
      <c r="J20" s="16">
        <v>-2163321.5408549192</v>
      </c>
      <c r="L20" s="6">
        <v>997214</v>
      </c>
      <c r="M20" s="1">
        <v>0</v>
      </c>
      <c r="O20" s="1">
        <v>0</v>
      </c>
      <c r="P20" s="1">
        <v>0</v>
      </c>
      <c r="R20" s="1">
        <v>0</v>
      </c>
      <c r="S20" s="1">
        <v>0</v>
      </c>
      <c r="U20" s="1">
        <v>0</v>
      </c>
      <c r="V20" s="9">
        <v>0</v>
      </c>
    </row>
    <row r="21" spans="1:22">
      <c r="A21" s="1" t="s">
        <v>36</v>
      </c>
      <c r="B21" s="6">
        <v>61626.433643122728</v>
      </c>
      <c r="C21" s="1">
        <v>0</v>
      </c>
      <c r="D21" s="1">
        <v>16.150190079001373</v>
      </c>
      <c r="E21" s="1">
        <v>0</v>
      </c>
      <c r="F21" s="1">
        <v>0</v>
      </c>
      <c r="G21" s="9">
        <f>SUM(IA_FINANCIAL)</f>
        <v>61642.58383320173</v>
      </c>
      <c r="I21" s="13" t="s">
        <v>37</v>
      </c>
      <c r="J21" s="16"/>
      <c r="L21" s="6"/>
      <c r="V21" s="9"/>
    </row>
    <row r="22" spans="1:22">
      <c r="A22" s="1" t="s">
        <v>38</v>
      </c>
      <c r="B22" s="6">
        <v>0</v>
      </c>
      <c r="C22" s="1">
        <v>0</v>
      </c>
      <c r="D22" s="1">
        <v>0</v>
      </c>
      <c r="E22" s="1">
        <v>0</v>
      </c>
      <c r="F22" s="1">
        <v>0</v>
      </c>
      <c r="G22" s="9">
        <f>SUM(KS_FINANCIAL)</f>
        <v>0</v>
      </c>
      <c r="I22" s="13" t="s">
        <v>39</v>
      </c>
      <c r="J22" s="16">
        <v>3921282.799993061</v>
      </c>
      <c r="L22" s="6"/>
      <c r="V22" s="9"/>
    </row>
    <row r="23" spans="1:22">
      <c r="A23" s="1" t="s">
        <v>40</v>
      </c>
      <c r="B23" s="6">
        <v>1212487.4429485656</v>
      </c>
      <c r="C23" s="1">
        <v>0</v>
      </c>
      <c r="D23" s="1">
        <v>1356.8883641811449</v>
      </c>
      <c r="E23" s="1">
        <v>0</v>
      </c>
      <c r="F23" s="1">
        <v>0</v>
      </c>
      <c r="G23" s="9">
        <f>SUM(KY_FINANCIAL)</f>
        <v>1213844.3313127467</v>
      </c>
      <c r="I23" s="13" t="s">
        <v>41</v>
      </c>
      <c r="J23" s="16"/>
      <c r="L23" s="6">
        <v>1404695</v>
      </c>
      <c r="M23" s="1">
        <v>355472</v>
      </c>
      <c r="O23" s="1">
        <v>0</v>
      </c>
      <c r="P23" s="1">
        <v>0</v>
      </c>
      <c r="R23" s="1">
        <v>0</v>
      </c>
      <c r="S23" s="1">
        <v>0</v>
      </c>
      <c r="U23" s="1">
        <v>0</v>
      </c>
      <c r="V23" s="9">
        <v>0</v>
      </c>
    </row>
    <row r="24" spans="1:22">
      <c r="A24" s="1" t="s">
        <v>42</v>
      </c>
      <c r="B24" s="6">
        <v>416523.03375072649</v>
      </c>
      <c r="C24" s="1">
        <v>0</v>
      </c>
      <c r="D24" s="1">
        <v>575.39360717695706</v>
      </c>
      <c r="E24" s="1">
        <v>0</v>
      </c>
      <c r="F24" s="1">
        <v>0</v>
      </c>
      <c r="G24" s="9">
        <f>SUM(LA_FINANCIAL)</f>
        <v>417098.42735790345</v>
      </c>
      <c r="I24" s="13" t="s">
        <v>43</v>
      </c>
      <c r="J24" s="16">
        <v>1492897.0000000002</v>
      </c>
      <c r="L24" s="6">
        <v>570000</v>
      </c>
      <c r="M24" s="1">
        <v>0</v>
      </c>
      <c r="O24" s="1">
        <v>0</v>
      </c>
      <c r="P24" s="1">
        <v>0</v>
      </c>
      <c r="R24" s="1">
        <v>2000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8883218.3851282075</v>
      </c>
      <c r="L26" s="6"/>
      <c r="V26" s="9"/>
    </row>
    <row r="27" spans="1:22">
      <c r="A27" s="1" t="s">
        <v>47</v>
      </c>
      <c r="B27" s="6">
        <v>0</v>
      </c>
      <c r="C27" s="1">
        <v>0</v>
      </c>
      <c r="D27" s="1">
        <v>0</v>
      </c>
      <c r="E27" s="1">
        <v>0</v>
      </c>
      <c r="F27" s="1">
        <v>0</v>
      </c>
      <c r="G27" s="9">
        <f>SUM(MA_FINANCIAL)</f>
        <v>0</v>
      </c>
      <c r="I27" s="13" t="s">
        <v>48</v>
      </c>
      <c r="J27" s="16">
        <f>SUM(ALL_BLOCKS)</f>
        <v>8883218.3851282038</v>
      </c>
      <c r="L27" s="6"/>
      <c r="V27" s="9"/>
    </row>
    <row r="28" spans="1:22">
      <c r="A28" s="1" t="s">
        <v>49</v>
      </c>
      <c r="B28" s="6">
        <v>90703.06442772827</v>
      </c>
      <c r="C28" s="1">
        <v>0</v>
      </c>
      <c r="D28" s="1">
        <v>692.97299411172162</v>
      </c>
      <c r="E28" s="1">
        <v>0</v>
      </c>
      <c r="F28" s="1">
        <v>0</v>
      </c>
      <c r="G28" s="9">
        <f>SUM(MI_FINANCIAL)</f>
        <v>91396.037421839996</v>
      </c>
      <c r="I28" s="14"/>
      <c r="J28" s="17"/>
      <c r="L28" s="6"/>
      <c r="V28" s="9"/>
    </row>
    <row r="29" spans="1:22">
      <c r="A29" s="1" t="s">
        <v>50</v>
      </c>
      <c r="B29" s="6">
        <v>0</v>
      </c>
      <c r="C29" s="1">
        <v>0</v>
      </c>
      <c r="D29" s="1">
        <v>0</v>
      </c>
      <c r="E29" s="1">
        <v>0</v>
      </c>
      <c r="F29" s="1">
        <v>0</v>
      </c>
      <c r="G29" s="9">
        <f>SUM(MN_FINANCIAL)</f>
        <v>0</v>
      </c>
      <c r="L29" s="6"/>
      <c r="V29" s="9"/>
    </row>
    <row r="30" spans="1:22">
      <c r="A30" s="1" t="s">
        <v>51</v>
      </c>
      <c r="B30" s="6">
        <v>22125.209195383406</v>
      </c>
      <c r="C30" s="1">
        <v>0</v>
      </c>
      <c r="D30" s="1">
        <v>6144.6333282299865</v>
      </c>
      <c r="E30" s="1">
        <v>0</v>
      </c>
      <c r="F30" s="1">
        <v>0</v>
      </c>
      <c r="G30" s="9">
        <f>SUM(MS_FINANCIAL)</f>
        <v>28269.842523613392</v>
      </c>
      <c r="L30" s="6"/>
      <c r="V30" s="9"/>
    </row>
    <row r="31" spans="1:22">
      <c r="A31" s="1" t="s">
        <v>52</v>
      </c>
      <c r="B31" s="6">
        <v>140094.50264423055</v>
      </c>
      <c r="C31" s="1">
        <v>0</v>
      </c>
      <c r="D31" s="1">
        <v>0</v>
      </c>
      <c r="E31" s="1">
        <v>0</v>
      </c>
      <c r="F31" s="1">
        <v>0</v>
      </c>
      <c r="G31" s="9">
        <f>SUM(MO_FINANCIAL)</f>
        <v>140094.50264423055</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825238.7376584115</v>
      </c>
      <c r="C41" s="1">
        <v>0</v>
      </c>
      <c r="D41" s="1">
        <v>16.149222700055343</v>
      </c>
      <c r="E41" s="1">
        <v>0</v>
      </c>
      <c r="F41" s="1">
        <v>0</v>
      </c>
      <c r="G41" s="9">
        <f>SUM(OH_FINANCIAL)</f>
        <v>825254.88688111154</v>
      </c>
      <c r="L41" s="6">
        <v>1000000</v>
      </c>
      <c r="M41" s="1">
        <v>0</v>
      </c>
      <c r="O41" s="1">
        <v>0</v>
      </c>
      <c r="P41" s="1">
        <v>0</v>
      </c>
      <c r="R41" s="1">
        <v>0</v>
      </c>
      <c r="S41" s="1">
        <v>0</v>
      </c>
      <c r="U41" s="1">
        <v>0</v>
      </c>
      <c r="V41" s="9">
        <v>0</v>
      </c>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101.33371753558548</v>
      </c>
      <c r="C54" s="1">
        <v>0</v>
      </c>
      <c r="D54" s="1">
        <v>0</v>
      </c>
      <c r="E54" s="1">
        <v>0</v>
      </c>
      <c r="F54" s="1">
        <v>0</v>
      </c>
      <c r="G54" s="9">
        <f>SUM(WA_FINANCIAL)</f>
        <v>101.33371753558548</v>
      </c>
      <c r="L54" s="6"/>
      <c r="V54" s="9"/>
    </row>
    <row r="55" spans="1:22">
      <c r="A55" s="1" t="s">
        <v>76</v>
      </c>
      <c r="B55" s="6">
        <v>0</v>
      </c>
      <c r="C55" s="1">
        <v>0</v>
      </c>
      <c r="D55" s="1">
        <v>0</v>
      </c>
      <c r="E55" s="1">
        <v>0</v>
      </c>
      <c r="F55" s="1">
        <v>0</v>
      </c>
      <c r="G55" s="9">
        <f>SUM(WV_FINANCIAL)</f>
        <v>0</v>
      </c>
      <c r="L55" s="6"/>
      <c r="V55" s="9"/>
    </row>
    <row r="56" spans="1:22">
      <c r="A56" s="1" t="s">
        <v>77</v>
      </c>
      <c r="B56" s="6">
        <v>2700861.2397903497</v>
      </c>
      <c r="C56" s="1">
        <v>0</v>
      </c>
      <c r="D56" s="1">
        <v>0</v>
      </c>
      <c r="E56" s="1">
        <v>0</v>
      </c>
      <c r="F56" s="1">
        <v>0</v>
      </c>
      <c r="G56" s="9">
        <f>SUM(WI_FINANCIAL)</f>
        <v>2700861.2397903497</v>
      </c>
      <c r="L56" s="6">
        <v>3300000</v>
      </c>
      <c r="M56" s="1">
        <v>0</v>
      </c>
      <c r="O56" s="1">
        <v>0</v>
      </c>
      <c r="P56" s="1">
        <v>0</v>
      </c>
      <c r="R56" s="1">
        <v>0</v>
      </c>
      <c r="S56" s="1">
        <v>0</v>
      </c>
      <c r="U56" s="1">
        <v>0</v>
      </c>
      <c r="V56" s="9">
        <v>0</v>
      </c>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8707270.0434274822</v>
      </c>
      <c r="C60" s="1">
        <f>SUM(ALLOCATED)</f>
        <v>151402.52384007059</v>
      </c>
      <c r="D60" s="1">
        <f>SUM(HEALTH)</f>
        <v>24545.817860651736</v>
      </c>
      <c r="E60" s="1">
        <f>SUM(UNALLOCATED)</f>
        <v>0</v>
      </c>
      <c r="F60" s="1">
        <f>SUM(LTC)</f>
        <v>0</v>
      </c>
      <c r="G60" s="9">
        <f>SUM(ALL_BLOCKS)</f>
        <v>8883218.3851282038</v>
      </c>
      <c r="L60" s="6">
        <f>SUM(LIFE_CALLED)</f>
        <v>11271909</v>
      </c>
      <c r="M60" s="1">
        <f>SUM(LIFE_REFUNDED)</f>
        <v>1041272</v>
      </c>
      <c r="O60" s="1">
        <f>SUM(ALLOC_CALLED)</f>
        <v>1401485</v>
      </c>
      <c r="P60" s="1">
        <f>SUM(ALLOC_REFUNDED)</f>
        <v>0</v>
      </c>
      <c r="R60" s="1">
        <f>SUM(HEALTH_CALLED)</f>
        <v>122000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104</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37107863.440000005</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36211540.130000003</v>
      </c>
      <c r="L13" s="6"/>
      <c r="V13" s="9"/>
    </row>
    <row r="14" spans="1:22">
      <c r="A14" s="1" t="s">
        <v>23</v>
      </c>
      <c r="B14" s="6">
        <v>0</v>
      </c>
      <c r="C14" s="1">
        <v>0</v>
      </c>
      <c r="D14" s="1">
        <v>0</v>
      </c>
      <c r="E14" s="1">
        <v>0</v>
      </c>
      <c r="F14" s="1">
        <v>0</v>
      </c>
      <c r="G14" s="9">
        <f>SUM(DC_FINANCIAL)</f>
        <v>0</v>
      </c>
      <c r="I14" s="13" t="s">
        <v>24</v>
      </c>
      <c r="J14" s="16">
        <v>4253331.22</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300000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37107863.440000005</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5980622.3899999997</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34784248.960000001</v>
      </c>
      <c r="L26" s="6"/>
      <c r="V26" s="9"/>
    </row>
    <row r="27" spans="1:22">
      <c r="A27" s="1" t="s">
        <v>47</v>
      </c>
      <c r="B27" s="6">
        <v>0</v>
      </c>
      <c r="C27" s="1">
        <v>0</v>
      </c>
      <c r="D27" s="1">
        <v>0</v>
      </c>
      <c r="E27" s="1">
        <v>0</v>
      </c>
      <c r="F27" s="1">
        <v>0</v>
      </c>
      <c r="G27" s="9">
        <f>SUM(MA_FINANCIAL)</f>
        <v>0</v>
      </c>
      <c r="I27" s="13" t="s">
        <v>48</v>
      </c>
      <c r="J27" s="16">
        <f>SUM(ALL_BLOCKS)</f>
        <v>34784248.960000001</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34784248.960000001</v>
      </c>
      <c r="E47" s="1">
        <v>0</v>
      </c>
      <c r="F47" s="1">
        <v>0</v>
      </c>
      <c r="G47" s="9">
        <f>SUM(SC_FINANCIAL)</f>
        <v>34784248.960000001</v>
      </c>
      <c r="L47" s="6">
        <v>0</v>
      </c>
      <c r="M47" s="1">
        <v>0</v>
      </c>
      <c r="O47" s="1">
        <v>0</v>
      </c>
      <c r="P47" s="1">
        <v>0</v>
      </c>
      <c r="R47" s="1">
        <v>48506698</v>
      </c>
      <c r="S47" s="1">
        <v>12548122</v>
      </c>
      <c r="U47" s="1">
        <v>0</v>
      </c>
      <c r="V47" s="9">
        <v>0</v>
      </c>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34784248.960000001</v>
      </c>
      <c r="E60" s="1">
        <f>SUM(UNALLOCATED)</f>
        <v>0</v>
      </c>
      <c r="F60" s="1">
        <f>SUM(LTC)</f>
        <v>0</v>
      </c>
      <c r="G60" s="9">
        <f>SUM(ALL_BLOCKS)</f>
        <v>34784248.960000001</v>
      </c>
      <c r="L60" s="6">
        <f>SUM(LIFE_CALLED)</f>
        <v>0</v>
      </c>
      <c r="M60" s="1">
        <f>SUM(LIFE_REFUNDED)</f>
        <v>0</v>
      </c>
      <c r="O60" s="1">
        <f>SUM(ALLOC_CALLED)</f>
        <v>0</v>
      </c>
      <c r="P60" s="1">
        <f>SUM(ALLOC_REFUNDED)</f>
        <v>0</v>
      </c>
      <c r="R60" s="1">
        <f>SUM(HEALTH_CALLED)</f>
        <v>48506698</v>
      </c>
      <c r="S60" s="1">
        <f>SUM(HEALTH_REFUNDED)</f>
        <v>12548122</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105</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14352000</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14352000</v>
      </c>
      <c r="L13" s="6"/>
      <c r="V13" s="9"/>
    </row>
    <row r="14" spans="1:22">
      <c r="A14" s="1" t="s">
        <v>23</v>
      </c>
      <c r="B14" s="6">
        <v>0</v>
      </c>
      <c r="C14" s="1">
        <v>0</v>
      </c>
      <c r="D14" s="1">
        <v>0</v>
      </c>
      <c r="E14" s="1">
        <v>0</v>
      </c>
      <c r="F14" s="1">
        <v>0</v>
      </c>
      <c r="G14" s="9">
        <f>SUM(DC_FINANCIAL)</f>
        <v>0</v>
      </c>
      <c r="I14" s="13" t="s">
        <v>24</v>
      </c>
      <c r="J14" s="16">
        <v>541077</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14352000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9323678</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5569399</v>
      </c>
      <c r="L26" s="6"/>
      <c r="V26" s="9"/>
    </row>
    <row r="27" spans="1:22">
      <c r="A27" s="1" t="s">
        <v>47</v>
      </c>
      <c r="B27" s="6">
        <v>0</v>
      </c>
      <c r="C27" s="1">
        <v>0</v>
      </c>
      <c r="D27" s="1">
        <v>0</v>
      </c>
      <c r="E27" s="1">
        <v>0</v>
      </c>
      <c r="F27" s="1">
        <v>0</v>
      </c>
      <c r="G27" s="9">
        <f>SUM(MA_FINANCIAL)</f>
        <v>0</v>
      </c>
      <c r="I27" s="13" t="s">
        <v>48</v>
      </c>
      <c r="J27" s="16">
        <f>SUM(ALL_BLOCKS)</f>
        <v>5569399</v>
      </c>
      <c r="L27" s="6"/>
      <c r="V27" s="9"/>
    </row>
    <row r="28" spans="1:22">
      <c r="A28" s="1" t="s">
        <v>49</v>
      </c>
      <c r="B28" s="6">
        <v>0</v>
      </c>
      <c r="C28" s="1">
        <v>0</v>
      </c>
      <c r="D28" s="1">
        <v>5569399</v>
      </c>
      <c r="E28" s="1">
        <v>0</v>
      </c>
      <c r="F28" s="1">
        <v>0</v>
      </c>
      <c r="G28" s="9">
        <f>SUM(MI_FINANCIAL)</f>
        <v>5569399</v>
      </c>
      <c r="I28" s="14"/>
      <c r="J28" s="17"/>
      <c r="L28" s="6">
        <v>0</v>
      </c>
      <c r="M28" s="1">
        <v>0</v>
      </c>
      <c r="O28" s="1">
        <v>0</v>
      </c>
      <c r="P28" s="1">
        <v>0</v>
      </c>
      <c r="R28" s="1">
        <v>10800000</v>
      </c>
      <c r="S28" s="1">
        <v>4998893</v>
      </c>
      <c r="U28" s="1">
        <v>0</v>
      </c>
      <c r="V28" s="9">
        <v>0</v>
      </c>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5569399</v>
      </c>
      <c r="E60" s="1">
        <f>SUM(UNALLOCATED)</f>
        <v>0</v>
      </c>
      <c r="F60" s="1">
        <f>SUM(LTC)</f>
        <v>0</v>
      </c>
      <c r="G60" s="9">
        <f>SUM(ALL_BLOCKS)</f>
        <v>5569399</v>
      </c>
      <c r="L60" s="6">
        <f>SUM(LIFE_CALLED)</f>
        <v>0</v>
      </c>
      <c r="M60" s="1">
        <f>SUM(LIFE_REFUNDED)</f>
        <v>0</v>
      </c>
      <c r="O60" s="1">
        <f>SUM(ALLOC_CALLED)</f>
        <v>0</v>
      </c>
      <c r="P60" s="1">
        <f>SUM(ALLOC_REFUNDED)</f>
        <v>0</v>
      </c>
      <c r="R60" s="1">
        <f>SUM(HEALTH_CALLED)</f>
        <v>10800000</v>
      </c>
      <c r="S60" s="1">
        <f>SUM(HEALTH_REFUNDED)</f>
        <v>4998893</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106</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10770.217937444266</v>
      </c>
      <c r="C6" s="1">
        <v>40544.559974380958</v>
      </c>
      <c r="D6" s="1">
        <v>0</v>
      </c>
      <c r="E6" s="1">
        <v>0</v>
      </c>
      <c r="F6" s="1">
        <v>0</v>
      </c>
      <c r="G6" s="9">
        <f>SUM(AL_FINANCIAL)</f>
        <v>51314.777911825222</v>
      </c>
      <c r="L6" s="6">
        <v>41000</v>
      </c>
      <c r="M6" s="1">
        <v>0</v>
      </c>
      <c r="O6" s="1">
        <v>16288</v>
      </c>
      <c r="P6" s="1">
        <v>0</v>
      </c>
      <c r="R6" s="1">
        <v>4000</v>
      </c>
      <c r="S6" s="1">
        <v>0</v>
      </c>
      <c r="U6" s="1">
        <v>0</v>
      </c>
      <c r="V6" s="9">
        <v>0</v>
      </c>
    </row>
    <row r="7" spans="1:22">
      <c r="A7" s="1" t="s">
        <v>12</v>
      </c>
      <c r="B7" s="6">
        <v>1233.0089681852314</v>
      </c>
      <c r="C7" s="1">
        <v>21206.142046263201</v>
      </c>
      <c r="D7" s="1">
        <v>8217.2192335518866</v>
      </c>
      <c r="E7" s="1">
        <v>0</v>
      </c>
      <c r="F7" s="1">
        <v>0</v>
      </c>
      <c r="G7" s="9">
        <f>SUM(AK_FINANCIAL)</f>
        <v>30656.370248000319</v>
      </c>
      <c r="I7" s="12"/>
      <c r="J7" s="15"/>
      <c r="L7" s="6">
        <v>3200</v>
      </c>
      <c r="M7" s="1">
        <v>0</v>
      </c>
      <c r="O7" s="1">
        <v>27000</v>
      </c>
      <c r="P7" s="1">
        <v>0</v>
      </c>
      <c r="R7" s="1">
        <v>12400</v>
      </c>
      <c r="S7" s="1">
        <v>0</v>
      </c>
      <c r="U7" s="1">
        <v>40</v>
      </c>
      <c r="V7" s="9">
        <v>4</v>
      </c>
    </row>
    <row r="8" spans="1:22">
      <c r="A8" s="1" t="s">
        <v>13</v>
      </c>
      <c r="B8" s="6">
        <v>12377.882179430973</v>
      </c>
      <c r="C8" s="1">
        <v>267520.53635516338</v>
      </c>
      <c r="D8" s="1">
        <v>0</v>
      </c>
      <c r="E8" s="1">
        <v>0</v>
      </c>
      <c r="F8" s="1">
        <v>0</v>
      </c>
      <c r="G8" s="9">
        <f>SUM(AZ_FINANCIAL)</f>
        <v>279898.41853459436</v>
      </c>
      <c r="I8" s="13" t="s">
        <v>14</v>
      </c>
      <c r="J8" s="16"/>
      <c r="L8" s="6">
        <v>14519</v>
      </c>
      <c r="M8" s="1">
        <v>0</v>
      </c>
      <c r="O8" s="1">
        <v>147070</v>
      </c>
      <c r="P8" s="1">
        <v>0</v>
      </c>
      <c r="R8" s="1">
        <v>36314</v>
      </c>
      <c r="S8" s="1">
        <v>0</v>
      </c>
      <c r="U8" s="1">
        <v>0</v>
      </c>
      <c r="V8" s="9">
        <v>0</v>
      </c>
    </row>
    <row r="9" spans="1:22">
      <c r="A9" s="1" t="s">
        <v>15</v>
      </c>
      <c r="B9" s="6">
        <v>28032.350042922204</v>
      </c>
      <c r="C9" s="1">
        <v>21684.263401337364</v>
      </c>
      <c r="D9" s="1">
        <v>0</v>
      </c>
      <c r="E9" s="1">
        <v>0</v>
      </c>
      <c r="F9" s="1">
        <v>0</v>
      </c>
      <c r="G9" s="9">
        <f>SUM(AR_FINANCIAL)</f>
        <v>49716.613444259565</v>
      </c>
      <c r="I9" s="13"/>
      <c r="J9" s="16"/>
      <c r="L9" s="6">
        <v>0</v>
      </c>
      <c r="M9" s="1">
        <v>0</v>
      </c>
      <c r="O9" s="1">
        <v>0</v>
      </c>
      <c r="P9" s="1">
        <v>0</v>
      </c>
      <c r="R9" s="1">
        <v>96472</v>
      </c>
      <c r="S9" s="1">
        <v>0</v>
      </c>
      <c r="U9" s="1">
        <v>0</v>
      </c>
      <c r="V9" s="9">
        <v>0</v>
      </c>
    </row>
    <row r="10" spans="1:22">
      <c r="A10" s="1" t="s">
        <v>16</v>
      </c>
      <c r="B10" s="6">
        <v>91997.62988190641</v>
      </c>
      <c r="C10" s="1">
        <v>782311.25516173732</v>
      </c>
      <c r="D10" s="1">
        <v>1458469.4761874815</v>
      </c>
      <c r="E10" s="1">
        <v>0</v>
      </c>
      <c r="F10" s="1">
        <v>0</v>
      </c>
      <c r="G10" s="9">
        <f>SUM(CA_FINANCIAL)</f>
        <v>2332778.3612311254</v>
      </c>
      <c r="I10" s="13" t="s">
        <v>17</v>
      </c>
      <c r="J10" s="16">
        <v>17669766.800000001</v>
      </c>
      <c r="L10" s="6">
        <v>96300</v>
      </c>
      <c r="M10" s="1">
        <v>0</v>
      </c>
      <c r="O10" s="1">
        <v>1091400</v>
      </c>
      <c r="P10" s="1">
        <v>275000</v>
      </c>
      <c r="R10" s="1">
        <v>2022300</v>
      </c>
      <c r="S10" s="1">
        <v>400000</v>
      </c>
      <c r="U10" s="1">
        <v>0</v>
      </c>
      <c r="V10" s="9">
        <v>0</v>
      </c>
    </row>
    <row r="11" spans="1:22">
      <c r="A11" s="1" t="s">
        <v>18</v>
      </c>
      <c r="B11" s="6">
        <v>11655.300784299843</v>
      </c>
      <c r="C11" s="1">
        <v>46511.800154535114</v>
      </c>
      <c r="D11" s="1">
        <v>116889.59928804255</v>
      </c>
      <c r="E11" s="1">
        <v>0</v>
      </c>
      <c r="F11" s="1">
        <v>0</v>
      </c>
      <c r="G11" s="9">
        <f>SUM(CO_FINANCIAL)</f>
        <v>175056.7002268775</v>
      </c>
      <c r="I11" s="13"/>
      <c r="J11" s="16"/>
      <c r="L11" s="6">
        <v>0</v>
      </c>
      <c r="M11" s="1">
        <v>0</v>
      </c>
      <c r="O11" s="1">
        <v>0</v>
      </c>
      <c r="P11" s="1">
        <v>0</v>
      </c>
      <c r="R11" s="1">
        <v>2000000</v>
      </c>
      <c r="S11" s="1">
        <v>1884084</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245307.06126209249</v>
      </c>
      <c r="C13" s="1">
        <v>2638421.782914523</v>
      </c>
      <c r="D13" s="1">
        <v>1431129.8887586533</v>
      </c>
      <c r="E13" s="1">
        <v>0</v>
      </c>
      <c r="F13" s="1">
        <v>0</v>
      </c>
      <c r="G13" s="9">
        <f>SUM(DE_FINANCIAL)</f>
        <v>4314858.7329352684</v>
      </c>
      <c r="I13" s="13" t="s">
        <v>22</v>
      </c>
      <c r="J13" s="16">
        <v>9335960.7999999989</v>
      </c>
      <c r="L13" s="6">
        <v>148000</v>
      </c>
      <c r="M13" s="1">
        <v>0</v>
      </c>
      <c r="O13" s="1">
        <v>1702000</v>
      </c>
      <c r="P13" s="1">
        <v>0</v>
      </c>
      <c r="R13" s="1">
        <v>1850000</v>
      </c>
      <c r="S13" s="1">
        <v>0</v>
      </c>
      <c r="U13" s="1">
        <v>0</v>
      </c>
      <c r="V13" s="9">
        <v>0</v>
      </c>
    </row>
    <row r="14" spans="1:22">
      <c r="A14" s="1" t="s">
        <v>23</v>
      </c>
      <c r="B14" s="6">
        <v>1677.3265396510028</v>
      </c>
      <c r="C14" s="1">
        <v>36791.554686723961</v>
      </c>
      <c r="D14" s="1">
        <v>0</v>
      </c>
      <c r="E14" s="1">
        <v>0</v>
      </c>
      <c r="F14" s="1">
        <v>0</v>
      </c>
      <c r="G14" s="9">
        <f>SUM(DC_FINANCIAL)</f>
        <v>38468.881226374964</v>
      </c>
      <c r="I14" s="13" t="s">
        <v>24</v>
      </c>
      <c r="J14" s="16">
        <v>1230967.8400000001</v>
      </c>
      <c r="L14" s="6">
        <v>100000</v>
      </c>
      <c r="M14" s="1">
        <v>102326</v>
      </c>
      <c r="O14" s="1">
        <v>31672</v>
      </c>
      <c r="P14" s="1">
        <v>0</v>
      </c>
      <c r="R14" s="1">
        <v>600000</v>
      </c>
      <c r="S14" s="1">
        <v>232606</v>
      </c>
      <c r="U14" s="1">
        <v>0</v>
      </c>
      <c r="V14" s="9">
        <v>0</v>
      </c>
    </row>
    <row r="15" spans="1:22">
      <c r="A15" s="1" t="s">
        <v>25</v>
      </c>
      <c r="B15" s="6">
        <v>55871.210051537804</v>
      </c>
      <c r="C15" s="1">
        <v>398191.60982441413</v>
      </c>
      <c r="D15" s="1">
        <v>0</v>
      </c>
      <c r="E15" s="1">
        <v>0</v>
      </c>
      <c r="F15" s="1">
        <v>0</v>
      </c>
      <c r="G15" s="9">
        <f>SUM(FL_FINANCIAL)</f>
        <v>454062.81987595191</v>
      </c>
      <c r="I15" s="13" t="s">
        <v>26</v>
      </c>
      <c r="J15" s="16">
        <v>1290905.6199999996</v>
      </c>
      <c r="L15" s="6">
        <v>107000</v>
      </c>
      <c r="M15" s="1">
        <v>0</v>
      </c>
      <c r="O15" s="1">
        <v>252000</v>
      </c>
      <c r="P15" s="1">
        <v>0</v>
      </c>
      <c r="R15" s="1">
        <v>750000</v>
      </c>
      <c r="S15" s="1">
        <v>0</v>
      </c>
      <c r="U15" s="1">
        <v>0</v>
      </c>
      <c r="V15" s="9">
        <v>0</v>
      </c>
    </row>
    <row r="16" spans="1:22">
      <c r="A16" s="1" t="s">
        <v>27</v>
      </c>
      <c r="B16" s="6">
        <v>20625.073608786151</v>
      </c>
      <c r="C16" s="1">
        <v>59808.197396385571</v>
      </c>
      <c r="D16" s="1">
        <v>78364.699933542943</v>
      </c>
      <c r="E16" s="1">
        <v>0</v>
      </c>
      <c r="F16" s="1">
        <v>0</v>
      </c>
      <c r="G16" s="9">
        <f>SUM(GA_FINANCIAL)</f>
        <v>158797.97093871469</v>
      </c>
      <c r="I16" s="13" t="s">
        <v>28</v>
      </c>
      <c r="J16" s="16">
        <v>0</v>
      </c>
      <c r="L16" s="6">
        <v>25000</v>
      </c>
      <c r="M16" s="1">
        <v>0</v>
      </c>
      <c r="O16" s="1">
        <v>0</v>
      </c>
      <c r="P16" s="1">
        <v>0</v>
      </c>
      <c r="R16" s="1">
        <v>0</v>
      </c>
      <c r="S16" s="1">
        <v>64528</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8584.2349475043047</v>
      </c>
      <c r="C18" s="1">
        <v>71945.75001133245</v>
      </c>
      <c r="D18" s="1">
        <v>944.76042285907852</v>
      </c>
      <c r="E18" s="1">
        <v>0</v>
      </c>
      <c r="F18" s="1">
        <v>0</v>
      </c>
      <c r="G18" s="9">
        <f>SUM(ID_FINANCIAL)</f>
        <v>81474.74538169583</v>
      </c>
      <c r="I18" s="13" t="s">
        <v>31</v>
      </c>
      <c r="J18" s="16"/>
      <c r="L18" s="6">
        <v>5200</v>
      </c>
      <c r="M18" s="1">
        <v>0</v>
      </c>
      <c r="O18" s="1">
        <v>44000</v>
      </c>
      <c r="P18" s="1">
        <v>0</v>
      </c>
      <c r="R18" s="1">
        <v>60800</v>
      </c>
      <c r="S18" s="1">
        <v>0</v>
      </c>
      <c r="U18" s="1">
        <v>0</v>
      </c>
      <c r="V18" s="9">
        <v>0</v>
      </c>
    </row>
    <row r="19" spans="1:22">
      <c r="A19" s="1" t="s">
        <v>32</v>
      </c>
      <c r="B19" s="6">
        <v>10614.34899136395</v>
      </c>
      <c r="C19" s="1">
        <v>255725.97287720913</v>
      </c>
      <c r="D19" s="1">
        <v>121072.90848985797</v>
      </c>
      <c r="E19" s="1">
        <v>0</v>
      </c>
      <c r="F19" s="1">
        <v>0</v>
      </c>
      <c r="G19" s="9">
        <f>SUM(IL_FINANCIAL)</f>
        <v>387413.23035843106</v>
      </c>
      <c r="I19" s="13" t="s">
        <v>33</v>
      </c>
      <c r="J19" s="16">
        <v>0</v>
      </c>
      <c r="L19" s="6">
        <v>55000</v>
      </c>
      <c r="M19" s="1">
        <v>0</v>
      </c>
      <c r="O19" s="1">
        <v>300000</v>
      </c>
      <c r="P19" s="1">
        <v>0</v>
      </c>
      <c r="R19" s="1">
        <v>295000</v>
      </c>
      <c r="S19" s="1">
        <v>0</v>
      </c>
      <c r="U19" s="1">
        <v>0</v>
      </c>
      <c r="V19" s="9">
        <v>0</v>
      </c>
    </row>
    <row r="20" spans="1:22">
      <c r="A20" s="1" t="s">
        <v>34</v>
      </c>
      <c r="B20" s="6">
        <v>10924.188324565252</v>
      </c>
      <c r="C20" s="1">
        <v>85854.062757073698</v>
      </c>
      <c r="D20" s="1">
        <v>95460.878959276073</v>
      </c>
      <c r="E20" s="1">
        <v>0</v>
      </c>
      <c r="F20" s="1">
        <v>0</v>
      </c>
      <c r="G20" s="9">
        <f>SUM(IN_FINANCIAL)</f>
        <v>192239.13004091504</v>
      </c>
      <c r="I20" s="13" t="s">
        <v>35</v>
      </c>
      <c r="J20" s="16">
        <v>9387292.4799999986</v>
      </c>
      <c r="L20" s="6"/>
      <c r="V20" s="9"/>
    </row>
    <row r="21" spans="1:22">
      <c r="A21" s="1" t="s">
        <v>36</v>
      </c>
      <c r="B21" s="6">
        <v>1964.5044055690164</v>
      </c>
      <c r="C21" s="1">
        <v>66818.476446917295</v>
      </c>
      <c r="D21" s="1">
        <v>2365.0032839540363</v>
      </c>
      <c r="E21" s="1">
        <v>0</v>
      </c>
      <c r="F21" s="1">
        <v>0</v>
      </c>
      <c r="G21" s="9">
        <f>SUM(IA_FINANCIAL)</f>
        <v>71147.984136440355</v>
      </c>
      <c r="I21" s="13" t="s">
        <v>37</v>
      </c>
      <c r="J21" s="16"/>
      <c r="L21" s="6"/>
      <c r="V21" s="9"/>
    </row>
    <row r="22" spans="1:22">
      <c r="A22" s="1" t="s">
        <v>38</v>
      </c>
      <c r="B22" s="6">
        <v>0</v>
      </c>
      <c r="C22" s="1">
        <v>0</v>
      </c>
      <c r="D22" s="1">
        <v>0</v>
      </c>
      <c r="E22" s="1">
        <v>0</v>
      </c>
      <c r="F22" s="1">
        <v>0</v>
      </c>
      <c r="G22" s="9">
        <f>SUM(KS_FINANCIAL)</f>
        <v>0</v>
      </c>
      <c r="I22" s="13" t="s">
        <v>39</v>
      </c>
      <c r="J22" s="16">
        <v>-125003</v>
      </c>
      <c r="L22" s="6"/>
      <c r="V22" s="9"/>
    </row>
    <row r="23" spans="1:22">
      <c r="A23" s="1" t="s">
        <v>40</v>
      </c>
      <c r="B23" s="6">
        <v>8929.1501091480968</v>
      </c>
      <c r="C23" s="1">
        <v>49545.61140002359</v>
      </c>
      <c r="D23" s="1">
        <v>53886.63231771475</v>
      </c>
      <c r="E23" s="1">
        <v>0</v>
      </c>
      <c r="F23" s="1">
        <v>0</v>
      </c>
      <c r="G23" s="9">
        <f>SUM(KY_FINANCIAL)</f>
        <v>112361.39382688643</v>
      </c>
      <c r="I23" s="13" t="s">
        <v>41</v>
      </c>
      <c r="J23" s="16"/>
      <c r="L23" s="6">
        <v>26779</v>
      </c>
      <c r="M23" s="1">
        <v>0</v>
      </c>
      <c r="O23" s="1">
        <v>76788</v>
      </c>
      <c r="P23" s="1">
        <v>0</v>
      </c>
      <c r="R23" s="1">
        <v>82494</v>
      </c>
      <c r="S23" s="1">
        <v>0</v>
      </c>
      <c r="U23" s="1">
        <v>0</v>
      </c>
      <c r="V23" s="9">
        <v>0</v>
      </c>
    </row>
    <row r="24" spans="1:22">
      <c r="A24" s="1" t="s">
        <v>42</v>
      </c>
      <c r="B24" s="6">
        <v>5106.6018043942131</v>
      </c>
      <c r="C24" s="1">
        <v>26396.475364421876</v>
      </c>
      <c r="D24" s="1">
        <v>0</v>
      </c>
      <c r="E24" s="1">
        <v>0</v>
      </c>
      <c r="F24" s="1">
        <v>0</v>
      </c>
      <c r="G24" s="9">
        <f>SUM(LA_FINANCIAL)</f>
        <v>31503.077168816089</v>
      </c>
      <c r="I24" s="13" t="s">
        <v>43</v>
      </c>
      <c r="J24" s="16">
        <v>5160779.8499999987</v>
      </c>
      <c r="L24" s="6">
        <v>0</v>
      </c>
      <c r="M24" s="1">
        <v>0</v>
      </c>
      <c r="O24" s="1">
        <v>0</v>
      </c>
      <c r="P24" s="1">
        <v>0</v>
      </c>
      <c r="R24" s="1">
        <v>180000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15104531.730000004</v>
      </c>
      <c r="L26" s="6"/>
      <c r="V26" s="9"/>
    </row>
    <row r="27" spans="1:22">
      <c r="A27" s="1" t="s">
        <v>47</v>
      </c>
      <c r="B27" s="6">
        <v>0</v>
      </c>
      <c r="C27" s="1">
        <v>0</v>
      </c>
      <c r="D27" s="1">
        <v>0</v>
      </c>
      <c r="E27" s="1">
        <v>0</v>
      </c>
      <c r="F27" s="1">
        <v>0</v>
      </c>
      <c r="G27" s="9">
        <f>SUM(MA_FINANCIAL)</f>
        <v>0</v>
      </c>
      <c r="I27" s="13" t="s">
        <v>48</v>
      </c>
      <c r="J27" s="16">
        <f>SUM(ALL_BLOCKS)</f>
        <v>15104531.730000004</v>
      </c>
      <c r="L27" s="6"/>
      <c r="V27" s="9"/>
    </row>
    <row r="28" spans="1:22">
      <c r="A28" s="1" t="s">
        <v>49</v>
      </c>
      <c r="B28" s="6">
        <v>18283.239892346457</v>
      </c>
      <c r="C28" s="1">
        <v>457940.11149334145</v>
      </c>
      <c r="D28" s="1">
        <v>172596.87872087414</v>
      </c>
      <c r="E28" s="1">
        <v>0</v>
      </c>
      <c r="F28" s="1">
        <v>0</v>
      </c>
      <c r="G28" s="9">
        <f>SUM(MI_FINANCIAL)</f>
        <v>648820.23010656203</v>
      </c>
      <c r="I28" s="14"/>
      <c r="J28" s="17"/>
      <c r="L28" s="6"/>
      <c r="V28" s="9"/>
    </row>
    <row r="29" spans="1:22">
      <c r="A29" s="1" t="s">
        <v>50</v>
      </c>
      <c r="B29" s="6">
        <v>8171.9936581693373</v>
      </c>
      <c r="C29" s="1">
        <v>152233.53622273158</v>
      </c>
      <c r="D29" s="1">
        <v>225421.02306658457</v>
      </c>
      <c r="E29" s="1">
        <v>0</v>
      </c>
      <c r="F29" s="1">
        <v>0</v>
      </c>
      <c r="G29" s="9">
        <f>SUM(MN_FINANCIAL)</f>
        <v>385826.55294748547</v>
      </c>
      <c r="L29" s="6">
        <v>10500</v>
      </c>
      <c r="M29" s="1">
        <v>0</v>
      </c>
      <c r="O29" s="1">
        <v>210000</v>
      </c>
      <c r="P29" s="1">
        <v>0</v>
      </c>
      <c r="R29" s="1">
        <v>85000</v>
      </c>
      <c r="S29" s="1">
        <v>0</v>
      </c>
      <c r="U29" s="1">
        <v>0</v>
      </c>
      <c r="V29" s="9">
        <v>0</v>
      </c>
    </row>
    <row r="30" spans="1:22">
      <c r="A30" s="1" t="s">
        <v>51</v>
      </c>
      <c r="B30" s="6">
        <v>2454.329439244756</v>
      </c>
      <c r="C30" s="1">
        <v>5242.0319651882292</v>
      </c>
      <c r="D30" s="1">
        <v>90094.124647679055</v>
      </c>
      <c r="E30" s="1">
        <v>0</v>
      </c>
      <c r="F30" s="1">
        <v>0</v>
      </c>
      <c r="G30" s="9">
        <f>SUM(MS_FINANCIAL)</f>
        <v>97790.486052112043</v>
      </c>
      <c r="L30" s="6">
        <v>12150</v>
      </c>
      <c r="M30" s="1">
        <v>0</v>
      </c>
      <c r="O30" s="1">
        <v>122850</v>
      </c>
      <c r="P30" s="1">
        <v>0</v>
      </c>
      <c r="R30" s="1">
        <v>0</v>
      </c>
      <c r="S30" s="1">
        <v>0</v>
      </c>
      <c r="U30" s="1">
        <v>0</v>
      </c>
      <c r="V30" s="9">
        <v>0</v>
      </c>
    </row>
    <row r="31" spans="1:22">
      <c r="A31" s="1" t="s">
        <v>52</v>
      </c>
      <c r="B31" s="6">
        <v>10377.592584856107</v>
      </c>
      <c r="C31" s="1">
        <v>154209.75488190912</v>
      </c>
      <c r="D31" s="1">
        <v>46852.542017657965</v>
      </c>
      <c r="E31" s="1">
        <v>0</v>
      </c>
      <c r="F31" s="1">
        <v>0</v>
      </c>
      <c r="G31" s="9">
        <f>SUM(MO_FINANCIAL)</f>
        <v>211439.88948442321</v>
      </c>
      <c r="L31" s="6"/>
      <c r="V31" s="9"/>
    </row>
    <row r="32" spans="1:22">
      <c r="A32" s="1" t="s">
        <v>53</v>
      </c>
      <c r="B32" s="6">
        <v>1339.1619934633902</v>
      </c>
      <c r="C32" s="1">
        <v>21097.691448040052</v>
      </c>
      <c r="D32" s="1">
        <v>25077.481102083613</v>
      </c>
      <c r="E32" s="1">
        <v>0</v>
      </c>
      <c r="F32" s="1">
        <v>0</v>
      </c>
      <c r="G32" s="9">
        <f>SUM(MT_FINANCIAL)</f>
        <v>47514.334543587058</v>
      </c>
      <c r="L32" s="6">
        <v>0</v>
      </c>
      <c r="M32" s="1">
        <v>0</v>
      </c>
      <c r="O32" s="1">
        <v>0</v>
      </c>
      <c r="P32" s="1">
        <v>0</v>
      </c>
      <c r="R32" s="1">
        <v>50000</v>
      </c>
      <c r="S32" s="1">
        <v>0</v>
      </c>
      <c r="U32" s="1">
        <v>0</v>
      </c>
      <c r="V32" s="9">
        <v>0</v>
      </c>
    </row>
    <row r="33" spans="1:22">
      <c r="A33" s="1" t="s">
        <v>54</v>
      </c>
      <c r="B33" s="6">
        <v>3023.2997161794101</v>
      </c>
      <c r="C33" s="1">
        <v>73400.968841583759</v>
      </c>
      <c r="D33" s="1">
        <v>0</v>
      </c>
      <c r="E33" s="1">
        <v>0</v>
      </c>
      <c r="F33" s="1">
        <v>0</v>
      </c>
      <c r="G33" s="9">
        <f>SUM(NE_FINANCIAL)</f>
        <v>76424.268557763164</v>
      </c>
      <c r="L33" s="6">
        <v>16650</v>
      </c>
      <c r="M33" s="1">
        <v>0</v>
      </c>
      <c r="O33" s="1">
        <v>17218</v>
      </c>
      <c r="P33" s="1">
        <v>0</v>
      </c>
      <c r="R33" s="1">
        <v>3700</v>
      </c>
      <c r="S33" s="1">
        <v>0</v>
      </c>
      <c r="U33" s="1">
        <v>0</v>
      </c>
      <c r="V33" s="9">
        <v>0</v>
      </c>
    </row>
    <row r="34" spans="1:22">
      <c r="A34" s="1" t="s">
        <v>55</v>
      </c>
      <c r="B34" s="6">
        <v>3153.5176249922315</v>
      </c>
      <c r="C34" s="1">
        <v>57898.748577094877</v>
      </c>
      <c r="D34" s="1">
        <v>0</v>
      </c>
      <c r="E34" s="1">
        <v>0</v>
      </c>
      <c r="F34" s="1">
        <v>0</v>
      </c>
      <c r="G34" s="9">
        <f>SUM(NV_FINANCIAL)</f>
        <v>61052.266202087107</v>
      </c>
      <c r="L34" s="6">
        <v>4600</v>
      </c>
      <c r="M34" s="1">
        <v>0</v>
      </c>
      <c r="O34" s="1">
        <v>78800</v>
      </c>
      <c r="P34" s="1">
        <v>0</v>
      </c>
      <c r="R34" s="1">
        <v>39600</v>
      </c>
      <c r="S34" s="1">
        <v>0</v>
      </c>
      <c r="U34" s="1">
        <v>0</v>
      </c>
      <c r="V34" s="9">
        <v>0</v>
      </c>
    </row>
    <row r="35" spans="1:22">
      <c r="A35" s="1" t="s">
        <v>56</v>
      </c>
      <c r="B35" s="6">
        <v>3043.6297318656461</v>
      </c>
      <c r="C35" s="1">
        <v>2798.8615522655864</v>
      </c>
      <c r="D35" s="1">
        <v>147063.80101363381</v>
      </c>
      <c r="E35" s="1">
        <v>0</v>
      </c>
      <c r="F35" s="1">
        <v>0</v>
      </c>
      <c r="G35" s="9">
        <f>SUM(NH_FINANCIAL)</f>
        <v>152906.29229776503</v>
      </c>
      <c r="L35" s="6">
        <v>0</v>
      </c>
      <c r="M35" s="1">
        <v>0</v>
      </c>
      <c r="O35" s="1">
        <v>0</v>
      </c>
      <c r="P35" s="1">
        <v>0</v>
      </c>
      <c r="R35" s="1">
        <v>210000</v>
      </c>
      <c r="S35" s="1">
        <v>0</v>
      </c>
      <c r="U35" s="1">
        <v>0</v>
      </c>
      <c r="V35" s="9">
        <v>0</v>
      </c>
    </row>
    <row r="36" spans="1:22">
      <c r="A36" s="1" t="s">
        <v>57</v>
      </c>
      <c r="B36" s="6">
        <v>0</v>
      </c>
      <c r="C36" s="1">
        <v>0</v>
      </c>
      <c r="D36" s="1">
        <v>0</v>
      </c>
      <c r="E36" s="1">
        <v>0</v>
      </c>
      <c r="F36" s="1">
        <v>0</v>
      </c>
      <c r="G36" s="9">
        <f>SUM(NJ_FINANCIAL)</f>
        <v>0</v>
      </c>
      <c r="L36" s="6"/>
      <c r="V36" s="9"/>
    </row>
    <row r="37" spans="1:22">
      <c r="A37" s="1" t="s">
        <v>58</v>
      </c>
      <c r="B37" s="6">
        <v>7228.1257096362624</v>
      </c>
      <c r="C37" s="1">
        <v>11542.563247114749</v>
      </c>
      <c r="D37" s="1">
        <v>66572.433176813603</v>
      </c>
      <c r="E37" s="1">
        <v>0</v>
      </c>
      <c r="F37" s="1">
        <v>0</v>
      </c>
      <c r="G37" s="9">
        <f>SUM(NM_FINANCIAL)</f>
        <v>85343.122133564611</v>
      </c>
      <c r="L37" s="6">
        <v>0</v>
      </c>
      <c r="M37" s="1">
        <v>0</v>
      </c>
      <c r="O37" s="1">
        <v>0</v>
      </c>
      <c r="P37" s="1">
        <v>0</v>
      </c>
      <c r="R37" s="1">
        <v>59981</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1929.7768344430567</v>
      </c>
      <c r="C40" s="1">
        <v>-37.092627742620955</v>
      </c>
      <c r="D40" s="1">
        <v>0</v>
      </c>
      <c r="E40" s="1">
        <v>0</v>
      </c>
      <c r="F40" s="1">
        <v>0</v>
      </c>
      <c r="G40" s="9">
        <f>SUM(ND_FINANCIAL)</f>
        <v>1892.6842067004357</v>
      </c>
      <c r="L40" s="6"/>
      <c r="V40" s="9"/>
    </row>
    <row r="41" spans="1:22">
      <c r="A41" s="1" t="s">
        <v>62</v>
      </c>
      <c r="B41" s="6">
        <v>8109.6624790075966</v>
      </c>
      <c r="C41" s="1">
        <v>79821.732828294378</v>
      </c>
      <c r="D41" s="1">
        <v>80786.429505060543</v>
      </c>
      <c r="E41" s="1">
        <v>0</v>
      </c>
      <c r="F41" s="1">
        <v>0</v>
      </c>
      <c r="G41" s="9">
        <f>SUM(OH_FINANCIAL)</f>
        <v>168717.82481236252</v>
      </c>
      <c r="L41" s="6">
        <v>10000</v>
      </c>
      <c r="M41" s="1">
        <v>0</v>
      </c>
      <c r="O41" s="1">
        <v>70000</v>
      </c>
      <c r="P41" s="1">
        <v>0</v>
      </c>
      <c r="R41" s="1">
        <v>150000</v>
      </c>
      <c r="S41" s="1">
        <v>0</v>
      </c>
      <c r="U41" s="1">
        <v>0</v>
      </c>
      <c r="V41" s="9">
        <v>0</v>
      </c>
    </row>
    <row r="42" spans="1:22">
      <c r="A42" s="1" t="s">
        <v>63</v>
      </c>
      <c r="B42" s="6">
        <v>5254.4790484070272</v>
      </c>
      <c r="C42" s="1">
        <v>62824.093292050267</v>
      </c>
      <c r="D42" s="1">
        <v>172157.16063597822</v>
      </c>
      <c r="E42" s="1">
        <v>0</v>
      </c>
      <c r="F42" s="1">
        <v>0</v>
      </c>
      <c r="G42" s="9">
        <f>SUM(OK_FINANCIAL)</f>
        <v>240235.73297643551</v>
      </c>
      <c r="L42" s="6">
        <v>98000</v>
      </c>
      <c r="M42" s="1">
        <v>0</v>
      </c>
      <c r="O42" s="1">
        <v>7000</v>
      </c>
      <c r="P42" s="1">
        <v>0</v>
      </c>
      <c r="R42" s="1">
        <v>245000</v>
      </c>
      <c r="S42" s="1">
        <v>0</v>
      </c>
      <c r="U42" s="1">
        <v>0</v>
      </c>
      <c r="V42" s="9">
        <v>0</v>
      </c>
    </row>
    <row r="43" spans="1:22">
      <c r="A43" s="1" t="s">
        <v>64</v>
      </c>
      <c r="B43" s="6">
        <v>6050.7767216623233</v>
      </c>
      <c r="C43" s="1">
        <v>106279.86914581647</v>
      </c>
      <c r="D43" s="1">
        <v>42010.801261440472</v>
      </c>
      <c r="E43" s="1">
        <v>0</v>
      </c>
      <c r="F43" s="1">
        <v>0</v>
      </c>
      <c r="G43" s="9">
        <f>SUM(OR_FINANCIAL)</f>
        <v>154341.44712891924</v>
      </c>
      <c r="L43" s="6"/>
      <c r="V43" s="9"/>
    </row>
    <row r="44" spans="1:22">
      <c r="A44" s="1" t="s">
        <v>65</v>
      </c>
      <c r="B44" s="6">
        <v>15959.923147959817</v>
      </c>
      <c r="C44" s="1">
        <v>445661.6055514912</v>
      </c>
      <c r="D44" s="1">
        <v>151650.54128231324</v>
      </c>
      <c r="E44" s="1">
        <v>0</v>
      </c>
      <c r="F44" s="1">
        <v>0</v>
      </c>
      <c r="G44" s="9">
        <f>SUM(PA_FINANCIAL)</f>
        <v>613272.0699817643</v>
      </c>
      <c r="L44" s="6"/>
      <c r="V44" s="9"/>
    </row>
    <row r="45" spans="1:22">
      <c r="A45" s="1" t="s">
        <v>66</v>
      </c>
      <c r="B45" s="6">
        <v>0</v>
      </c>
      <c r="C45" s="1">
        <v>0</v>
      </c>
      <c r="D45" s="1">
        <v>0</v>
      </c>
      <c r="E45" s="1">
        <v>0</v>
      </c>
      <c r="F45" s="1">
        <v>0</v>
      </c>
      <c r="G45" s="9">
        <f>SUM(PR_FINANCIAL)</f>
        <v>0</v>
      </c>
      <c r="L45" s="6"/>
      <c r="V45" s="9"/>
    </row>
    <row r="46" spans="1:22">
      <c r="A46" s="1" t="s">
        <v>67</v>
      </c>
      <c r="B46" s="6">
        <v>3357.762060272471</v>
      </c>
      <c r="C46" s="1">
        <v>21792.872835884918</v>
      </c>
      <c r="D46" s="1">
        <v>0</v>
      </c>
      <c r="E46" s="1">
        <v>0</v>
      </c>
      <c r="F46" s="1">
        <v>0</v>
      </c>
      <c r="G46" s="9">
        <f>SUM(RI_FINANCIAL)</f>
        <v>25150.634896157389</v>
      </c>
      <c r="L46" s="6">
        <v>3400</v>
      </c>
      <c r="M46" s="1">
        <v>0</v>
      </c>
      <c r="O46" s="1">
        <v>11900</v>
      </c>
      <c r="P46" s="1">
        <v>0</v>
      </c>
      <c r="R46" s="1">
        <v>18700</v>
      </c>
      <c r="S46" s="1">
        <v>0</v>
      </c>
      <c r="U46" s="1">
        <v>0</v>
      </c>
      <c r="V46" s="9">
        <v>0</v>
      </c>
    </row>
    <row r="47" spans="1:22">
      <c r="A47" s="1" t="s">
        <v>68</v>
      </c>
      <c r="B47" s="6">
        <v>15909.257317700927</v>
      </c>
      <c r="C47" s="1">
        <v>40031.26241010036</v>
      </c>
      <c r="D47" s="1">
        <v>16245.183002790511</v>
      </c>
      <c r="E47" s="1">
        <v>0</v>
      </c>
      <c r="F47" s="1">
        <v>0</v>
      </c>
      <c r="G47" s="9">
        <f>SUM(SC_FINANCIAL)</f>
        <v>72185.702730591802</v>
      </c>
      <c r="L47" s="6"/>
      <c r="V47" s="9"/>
    </row>
    <row r="48" spans="1:22">
      <c r="A48" s="1" t="s">
        <v>69</v>
      </c>
      <c r="B48" s="6">
        <v>1788.4696385634775</v>
      </c>
      <c r="C48" s="1">
        <v>141505.45275858362</v>
      </c>
      <c r="D48" s="1">
        <v>0</v>
      </c>
      <c r="E48" s="1">
        <v>0</v>
      </c>
      <c r="F48" s="1">
        <v>0</v>
      </c>
      <c r="G48" s="9">
        <f>SUM(SD_FINANCIAL)</f>
        <v>143293.92239714711</v>
      </c>
      <c r="L48" s="6">
        <v>0</v>
      </c>
      <c r="M48" s="1">
        <v>0</v>
      </c>
      <c r="O48" s="1">
        <v>0</v>
      </c>
      <c r="P48" s="1">
        <v>0</v>
      </c>
      <c r="R48" s="1">
        <v>102492</v>
      </c>
      <c r="S48" s="1">
        <v>0</v>
      </c>
      <c r="U48" s="1">
        <v>0</v>
      </c>
      <c r="V48" s="9">
        <v>0</v>
      </c>
    </row>
    <row r="49" spans="1:22">
      <c r="A49" s="1" t="s">
        <v>70</v>
      </c>
      <c r="B49" s="6">
        <v>0</v>
      </c>
      <c r="C49" s="1">
        <v>0</v>
      </c>
      <c r="D49" s="1">
        <v>0</v>
      </c>
      <c r="E49" s="1">
        <v>0</v>
      </c>
      <c r="F49" s="1">
        <v>0</v>
      </c>
      <c r="G49" s="9">
        <f>SUM(TN_FINANCIAL)</f>
        <v>0</v>
      </c>
      <c r="L49" s="6"/>
      <c r="V49" s="9"/>
    </row>
    <row r="50" spans="1:22">
      <c r="A50" s="1" t="s">
        <v>71</v>
      </c>
      <c r="B50" s="6">
        <v>37801.224038488268</v>
      </c>
      <c r="C50" s="1">
        <v>488534.57285741449</v>
      </c>
      <c r="D50" s="1">
        <v>666089.11994123075</v>
      </c>
      <c r="E50" s="1">
        <v>0</v>
      </c>
      <c r="F50" s="1">
        <v>0</v>
      </c>
      <c r="G50" s="9">
        <f>SUM(TX_FINANCIAL)</f>
        <v>1192424.9168371335</v>
      </c>
      <c r="L50" s="6">
        <v>19461</v>
      </c>
      <c r="M50" s="1">
        <v>2042.0701079999999</v>
      </c>
      <c r="O50" s="1">
        <v>2706</v>
      </c>
      <c r="P50" s="1">
        <v>275.95542</v>
      </c>
      <c r="R50" s="1">
        <v>1740990</v>
      </c>
      <c r="S50" s="1">
        <v>181652.254472</v>
      </c>
      <c r="U50" s="1">
        <v>0</v>
      </c>
      <c r="V50" s="9">
        <v>0</v>
      </c>
    </row>
    <row r="51" spans="1:22">
      <c r="A51" s="1" t="s">
        <v>72</v>
      </c>
      <c r="B51" s="6">
        <v>1733.7809146081777</v>
      </c>
      <c r="C51" s="1">
        <v>10300.329746907139</v>
      </c>
      <c r="D51" s="1">
        <v>864.80156463588605</v>
      </c>
      <c r="E51" s="1">
        <v>0</v>
      </c>
      <c r="F51" s="1">
        <v>0</v>
      </c>
      <c r="G51" s="9">
        <f>SUM(UT_FINANCIAL)</f>
        <v>12898.912226151202</v>
      </c>
      <c r="L51" s="6">
        <v>3290</v>
      </c>
      <c r="M51" s="1">
        <v>0</v>
      </c>
      <c r="O51" s="1">
        <v>20210</v>
      </c>
      <c r="P51" s="1">
        <v>0</v>
      </c>
      <c r="R51" s="1">
        <v>0</v>
      </c>
      <c r="S51" s="1">
        <v>0</v>
      </c>
      <c r="U51" s="1">
        <v>0</v>
      </c>
      <c r="V51" s="9">
        <v>0</v>
      </c>
    </row>
    <row r="52" spans="1:22">
      <c r="A52" s="1" t="s">
        <v>73</v>
      </c>
      <c r="B52" s="6">
        <v>725.26836656487194</v>
      </c>
      <c r="C52" s="1">
        <v>8510.3374475134187</v>
      </c>
      <c r="D52" s="1">
        <v>0</v>
      </c>
      <c r="E52" s="1">
        <v>0</v>
      </c>
      <c r="F52" s="1">
        <v>0</v>
      </c>
      <c r="G52" s="9">
        <f>SUM(VT_FINANCIAL)</f>
        <v>9235.6058140782916</v>
      </c>
      <c r="L52" s="6"/>
      <c r="V52" s="9"/>
    </row>
    <row r="53" spans="1:22">
      <c r="A53" s="1" t="s">
        <v>74</v>
      </c>
      <c r="B53" s="6">
        <v>367109.35532023298</v>
      </c>
      <c r="C53" s="1">
        <v>344657.64483431663</v>
      </c>
      <c r="D53" s="1">
        <v>8131.5322737085589</v>
      </c>
      <c r="E53" s="1">
        <v>0</v>
      </c>
      <c r="F53" s="1">
        <v>0</v>
      </c>
      <c r="G53" s="9">
        <f>SUM(VA_FINANCIAL)</f>
        <v>719898.53242825822</v>
      </c>
      <c r="L53" s="6">
        <v>61755</v>
      </c>
      <c r="M53" s="1">
        <v>0</v>
      </c>
      <c r="O53" s="1">
        <v>393791</v>
      </c>
      <c r="P53" s="1">
        <v>0</v>
      </c>
      <c r="R53" s="1">
        <v>930387</v>
      </c>
      <c r="S53" s="1">
        <v>450000</v>
      </c>
      <c r="U53" s="1">
        <v>0</v>
      </c>
      <c r="V53" s="9">
        <v>0</v>
      </c>
    </row>
    <row r="54" spans="1:22">
      <c r="A54" s="1" t="s">
        <v>75</v>
      </c>
      <c r="B54" s="6">
        <v>58472.720341548877</v>
      </c>
      <c r="C54" s="1">
        <v>533218.10785306385</v>
      </c>
      <c r="D54" s="1">
        <v>103375.57515940376</v>
      </c>
      <c r="E54" s="1">
        <v>0</v>
      </c>
      <c r="F54" s="1">
        <v>0</v>
      </c>
      <c r="G54" s="9">
        <f>SUM(WA_FINANCIAL)</f>
        <v>695066.40335401648</v>
      </c>
      <c r="L54" s="6">
        <v>0</v>
      </c>
      <c r="M54" s="1">
        <v>0</v>
      </c>
      <c r="O54" s="1">
        <v>350000</v>
      </c>
      <c r="P54" s="1">
        <v>0</v>
      </c>
      <c r="R54" s="1">
        <v>200000</v>
      </c>
      <c r="S54" s="1">
        <v>0</v>
      </c>
      <c r="U54" s="1">
        <v>0</v>
      </c>
      <c r="V54" s="9">
        <v>0</v>
      </c>
    </row>
    <row r="55" spans="1:22">
      <c r="A55" s="1" t="s">
        <v>76</v>
      </c>
      <c r="B55" s="6">
        <v>3452.2744541044531</v>
      </c>
      <c r="C55" s="1">
        <v>66250.261998316128</v>
      </c>
      <c r="D55" s="1">
        <v>106154.98761083357</v>
      </c>
      <c r="E55" s="1">
        <v>0</v>
      </c>
      <c r="F55" s="1">
        <v>0</v>
      </c>
      <c r="G55" s="9">
        <f>SUM(WV_FINANCIAL)</f>
        <v>175857.52406325415</v>
      </c>
      <c r="L55" s="6">
        <v>7080</v>
      </c>
      <c r="M55" s="1">
        <v>153687</v>
      </c>
      <c r="O55" s="1">
        <v>6360</v>
      </c>
      <c r="P55" s="1">
        <v>261</v>
      </c>
      <c r="R55" s="1">
        <v>386560</v>
      </c>
      <c r="S55" s="1">
        <v>399081</v>
      </c>
      <c r="U55" s="1">
        <v>0</v>
      </c>
      <c r="V55" s="9">
        <v>0</v>
      </c>
    </row>
    <row r="56" spans="1:22">
      <c r="A56" s="1" t="s">
        <v>77</v>
      </c>
      <c r="B56" s="6">
        <v>6913.6313860629798</v>
      </c>
      <c r="C56" s="1">
        <v>230197.19452403672</v>
      </c>
      <c r="D56" s="1">
        <v>49717.712259854874</v>
      </c>
      <c r="E56" s="1">
        <v>0</v>
      </c>
      <c r="F56" s="1">
        <v>0</v>
      </c>
      <c r="G56" s="9">
        <f>SUM(WI_FINANCIAL)</f>
        <v>286828.53816995455</v>
      </c>
      <c r="L56" s="6">
        <v>0</v>
      </c>
      <c r="M56" s="1">
        <v>0</v>
      </c>
      <c r="O56" s="1">
        <v>300000</v>
      </c>
      <c r="P56" s="1">
        <v>0</v>
      </c>
      <c r="R56" s="1">
        <v>0</v>
      </c>
      <c r="S56" s="1">
        <v>0</v>
      </c>
      <c r="U56" s="1">
        <v>0</v>
      </c>
      <c r="V56" s="9">
        <v>0</v>
      </c>
    </row>
    <row r="57" spans="1:22">
      <c r="A57" s="1" t="s">
        <v>78</v>
      </c>
      <c r="B57" s="6">
        <v>443.93981667945326</v>
      </c>
      <c r="C57" s="1">
        <v>29767.964464370907</v>
      </c>
      <c r="D57" s="1">
        <v>34152.723884497202</v>
      </c>
      <c r="E57" s="1">
        <v>0</v>
      </c>
      <c r="F57" s="1">
        <v>0</v>
      </c>
      <c r="G57" s="9">
        <f>SUM(WY_FINANCIAL)</f>
        <v>64364.628165547561</v>
      </c>
      <c r="L57" s="6">
        <v>0</v>
      </c>
      <c r="M57" s="1">
        <v>0</v>
      </c>
      <c r="O57" s="1">
        <v>0</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1117757.2820758612</v>
      </c>
      <c r="C60" s="1">
        <f>SUM(ALLOCATED)</f>
        <v>8414958.5289221276</v>
      </c>
      <c r="D60" s="1">
        <f>SUM(HEALTH)</f>
        <v>5571815.9190020086</v>
      </c>
      <c r="E60" s="1">
        <f>SUM(UNALLOCATED)</f>
        <v>0</v>
      </c>
      <c r="F60" s="1">
        <f>SUM(LTC)</f>
        <v>0</v>
      </c>
      <c r="G60" s="9">
        <f>SUM(ALL_BLOCKS)</f>
        <v>15104531.730000004</v>
      </c>
      <c r="L60" s="6">
        <f>SUM(LIFE_CALLED)</f>
        <v>868884</v>
      </c>
      <c r="M60" s="1">
        <f>SUM(LIFE_REFUNDED)</f>
        <v>258055.07010800001</v>
      </c>
      <c r="O60" s="1">
        <f>SUM(ALLOC_CALLED)</f>
        <v>5279053</v>
      </c>
      <c r="P60" s="1">
        <f>SUM(ALLOC_REFUNDED)</f>
        <v>275536.95542000001</v>
      </c>
      <c r="R60" s="1">
        <f>SUM(HEALTH_CALLED)</f>
        <v>12212190</v>
      </c>
      <c r="S60" s="1">
        <f>SUM(HEALTH_REFUNDED)</f>
        <v>3611951.2544720001</v>
      </c>
      <c r="U60" s="1">
        <f>SUM(UNALLOC_CALLED)</f>
        <v>40</v>
      </c>
      <c r="V60" s="9">
        <f>SUM(UNALLOC_REFUNDED)</f>
        <v>4</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107</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115154750.06999999</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115154750.06999999</v>
      </c>
      <c r="L13" s="6"/>
      <c r="V13" s="9"/>
    </row>
    <row r="14" spans="1:22">
      <c r="A14" s="1" t="s">
        <v>23</v>
      </c>
      <c r="B14" s="6">
        <v>0</v>
      </c>
      <c r="C14" s="1">
        <v>0</v>
      </c>
      <c r="D14" s="1">
        <v>0</v>
      </c>
      <c r="E14" s="1">
        <v>0</v>
      </c>
      <c r="F14" s="1">
        <v>0</v>
      </c>
      <c r="G14" s="9">
        <f>SUM(DC_FINANCIAL)</f>
        <v>0</v>
      </c>
      <c r="I14" s="13" t="s">
        <v>24</v>
      </c>
      <c r="J14" s="16">
        <v>9299050.1499999985</v>
      </c>
      <c r="L14" s="6"/>
      <c r="V14" s="9"/>
    </row>
    <row r="15" spans="1:22">
      <c r="A15" s="1" t="s">
        <v>25</v>
      </c>
      <c r="B15" s="6">
        <v>0</v>
      </c>
      <c r="C15" s="1">
        <v>0</v>
      </c>
      <c r="D15" s="1">
        <v>0</v>
      </c>
      <c r="E15" s="1">
        <v>0</v>
      </c>
      <c r="F15" s="1">
        <v>0</v>
      </c>
      <c r="G15" s="9">
        <f>SUM(FL_FINANCIAL)</f>
        <v>0</v>
      </c>
      <c r="I15" s="13" t="s">
        <v>26</v>
      </c>
      <c r="J15" s="16">
        <v>2476926.6723498944</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115154750.06999999</v>
      </c>
      <c r="L20" s="6"/>
      <c r="V20" s="9"/>
    </row>
    <row r="21" spans="1:22">
      <c r="A21" s="1" t="s">
        <v>36</v>
      </c>
      <c r="B21" s="6">
        <v>0</v>
      </c>
      <c r="C21" s="1">
        <v>0</v>
      </c>
      <c r="D21" s="1">
        <v>9969025.724259492</v>
      </c>
      <c r="E21" s="1">
        <v>0</v>
      </c>
      <c r="F21" s="1">
        <v>0</v>
      </c>
      <c r="G21" s="9">
        <f>SUM(IA_FINANCIAL)</f>
        <v>9969025.724259492</v>
      </c>
      <c r="I21" s="13" t="s">
        <v>37</v>
      </c>
      <c r="J21" s="16"/>
      <c r="L21" s="6">
        <v>0</v>
      </c>
      <c r="M21" s="1">
        <v>0</v>
      </c>
      <c r="O21" s="1">
        <v>0</v>
      </c>
      <c r="P21" s="1">
        <v>0</v>
      </c>
      <c r="R21" s="1">
        <v>45000000</v>
      </c>
      <c r="S21" s="1">
        <v>0</v>
      </c>
      <c r="U21" s="1">
        <v>0</v>
      </c>
      <c r="V21" s="9">
        <v>0</v>
      </c>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97759205.260000005</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29171521.632349908</v>
      </c>
      <c r="L26" s="6"/>
      <c r="V26" s="9"/>
    </row>
    <row r="27" spans="1:22">
      <c r="A27" s="1" t="s">
        <v>47</v>
      </c>
      <c r="B27" s="6">
        <v>0</v>
      </c>
      <c r="C27" s="1">
        <v>0</v>
      </c>
      <c r="D27" s="1">
        <v>0</v>
      </c>
      <c r="E27" s="1">
        <v>0</v>
      </c>
      <c r="F27" s="1">
        <v>0</v>
      </c>
      <c r="G27" s="9">
        <f>SUM(MA_FINANCIAL)</f>
        <v>0</v>
      </c>
      <c r="I27" s="13" t="s">
        <v>48</v>
      </c>
      <c r="J27" s="16">
        <f>SUM(ALL_BLOCKS)</f>
        <v>29171521.632349882</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19202495.90809039</v>
      </c>
      <c r="E33" s="1">
        <v>0</v>
      </c>
      <c r="F33" s="1">
        <v>0</v>
      </c>
      <c r="G33" s="9">
        <f>SUM(NE_FINANCIAL)</f>
        <v>19202495.90809039</v>
      </c>
      <c r="L33" s="6">
        <v>0</v>
      </c>
      <c r="M33" s="1">
        <v>0</v>
      </c>
      <c r="O33" s="1">
        <v>0</v>
      </c>
      <c r="P33" s="1">
        <v>0</v>
      </c>
      <c r="R33" s="1">
        <v>46800000</v>
      </c>
      <c r="S33" s="1">
        <v>0</v>
      </c>
      <c r="U33" s="1">
        <v>0</v>
      </c>
      <c r="V33" s="9">
        <v>0</v>
      </c>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29171521.632349882</v>
      </c>
      <c r="E60" s="1">
        <f>SUM(UNALLOCATED)</f>
        <v>0</v>
      </c>
      <c r="F60" s="1">
        <f>SUM(LTC)</f>
        <v>0</v>
      </c>
      <c r="G60" s="9">
        <f>SUM(ALL_BLOCKS)</f>
        <v>29171521.632349882</v>
      </c>
      <c r="L60" s="6">
        <f>SUM(LIFE_CALLED)</f>
        <v>0</v>
      </c>
      <c r="M60" s="1">
        <f>SUM(LIFE_REFUNDED)</f>
        <v>0</v>
      </c>
      <c r="O60" s="1">
        <f>SUM(ALLOC_CALLED)</f>
        <v>0</v>
      </c>
      <c r="P60" s="1">
        <f>SUM(ALLOC_REFUNDED)</f>
        <v>0</v>
      </c>
      <c r="R60" s="1">
        <f>SUM(HEALTH_CALLED)</f>
        <v>91800000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108</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46309368</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46309368</v>
      </c>
      <c r="L13" s="6"/>
      <c r="V13" s="9"/>
    </row>
    <row r="14" spans="1:22">
      <c r="A14" s="1" t="s">
        <v>23</v>
      </c>
      <c r="B14" s="6">
        <v>0</v>
      </c>
      <c r="C14" s="1">
        <v>0</v>
      </c>
      <c r="D14" s="1">
        <v>0</v>
      </c>
      <c r="E14" s="1">
        <v>0</v>
      </c>
      <c r="F14" s="1">
        <v>0</v>
      </c>
      <c r="G14" s="9">
        <f>SUM(DC_FINANCIAL)</f>
        <v>0</v>
      </c>
      <c r="I14" s="13" t="s">
        <v>24</v>
      </c>
      <c r="J14" s="16">
        <v>5205298</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46309368</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43125948</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8388718</v>
      </c>
      <c r="L26" s="6"/>
      <c r="V26" s="9"/>
    </row>
    <row r="27" spans="1:22">
      <c r="A27" s="1" t="s">
        <v>47</v>
      </c>
      <c r="B27" s="6">
        <v>0</v>
      </c>
      <c r="C27" s="1">
        <v>0</v>
      </c>
      <c r="D27" s="1">
        <v>0</v>
      </c>
      <c r="E27" s="1">
        <v>0</v>
      </c>
      <c r="F27" s="1">
        <v>0</v>
      </c>
      <c r="G27" s="9">
        <f>SUM(MA_FINANCIAL)</f>
        <v>0</v>
      </c>
      <c r="I27" s="13" t="s">
        <v>48</v>
      </c>
      <c r="J27" s="16">
        <f>SUM(ALL_BLOCKS)</f>
        <v>8388718</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8388718</v>
      </c>
      <c r="E41" s="1">
        <v>0</v>
      </c>
      <c r="F41" s="1">
        <v>0</v>
      </c>
      <c r="G41" s="9">
        <f>SUM(OH_FINANCIAL)</f>
        <v>8388718</v>
      </c>
      <c r="L41" s="6">
        <v>0</v>
      </c>
      <c r="M41" s="1">
        <v>0</v>
      </c>
      <c r="O41" s="1">
        <v>0</v>
      </c>
      <c r="P41" s="1">
        <v>0</v>
      </c>
      <c r="R41" s="1">
        <v>40000000</v>
      </c>
      <c r="S41" s="1">
        <v>0</v>
      </c>
      <c r="U41" s="1">
        <v>0</v>
      </c>
      <c r="V41" s="9">
        <v>0</v>
      </c>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8388718</v>
      </c>
      <c r="E60" s="1">
        <f>SUM(UNALLOCATED)</f>
        <v>0</v>
      </c>
      <c r="F60" s="1">
        <f>SUM(LTC)</f>
        <v>0</v>
      </c>
      <c r="G60" s="9">
        <f>SUM(ALL_BLOCKS)</f>
        <v>8388718</v>
      </c>
      <c r="L60" s="6">
        <f>SUM(LIFE_CALLED)</f>
        <v>0</v>
      </c>
      <c r="M60" s="1">
        <f>SUM(LIFE_REFUNDED)</f>
        <v>0</v>
      </c>
      <c r="O60" s="1">
        <f>SUM(ALLOC_CALLED)</f>
        <v>0</v>
      </c>
      <c r="P60" s="1">
        <f>SUM(ALLOC_REFUNDED)</f>
        <v>0</v>
      </c>
      <c r="R60" s="1">
        <f>SUM(HEALTH_CALLED)</f>
        <v>40000000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82</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323.43484233469621</v>
      </c>
      <c r="C8" s="1">
        <v>0</v>
      </c>
      <c r="D8" s="1">
        <v>26876.601993394204</v>
      </c>
      <c r="E8" s="1">
        <v>0</v>
      </c>
      <c r="F8" s="1">
        <v>0</v>
      </c>
      <c r="G8" s="9">
        <f>SUM(AZ_FINANCIAL)</f>
        <v>27200.036835728901</v>
      </c>
      <c r="I8" s="13" t="s">
        <v>14</v>
      </c>
      <c r="J8" s="16"/>
      <c r="L8" s="6"/>
      <c r="V8" s="9"/>
    </row>
    <row r="9" spans="1:22">
      <c r="A9" s="1" t="s">
        <v>15</v>
      </c>
      <c r="B9" s="6">
        <v>21.3324304098693</v>
      </c>
      <c r="C9" s="1">
        <v>0</v>
      </c>
      <c r="D9" s="1">
        <v>1772.6699991231321</v>
      </c>
      <c r="E9" s="1">
        <v>0</v>
      </c>
      <c r="F9" s="1">
        <v>0</v>
      </c>
      <c r="G9" s="9">
        <f>SUM(AR_FINANCIAL)</f>
        <v>1794.0024295330015</v>
      </c>
      <c r="I9" s="13"/>
      <c r="J9" s="16"/>
      <c r="L9" s="6"/>
      <c r="V9" s="9"/>
    </row>
    <row r="10" spans="1:22">
      <c r="A10" s="1" t="s">
        <v>16</v>
      </c>
      <c r="B10" s="6">
        <v>0</v>
      </c>
      <c r="C10" s="1">
        <v>0</v>
      </c>
      <c r="D10" s="1">
        <v>0</v>
      </c>
      <c r="E10" s="1">
        <v>0</v>
      </c>
      <c r="F10" s="1">
        <v>0</v>
      </c>
      <c r="G10" s="9">
        <f>SUM(CA_FINANCIAL)</f>
        <v>0</v>
      </c>
      <c r="I10" s="13" t="s">
        <v>17</v>
      </c>
      <c r="J10" s="16">
        <v>0</v>
      </c>
      <c r="L10" s="6"/>
      <c r="V10" s="9"/>
    </row>
    <row r="11" spans="1:22">
      <c r="A11" s="1" t="s">
        <v>18</v>
      </c>
      <c r="B11" s="6">
        <v>0.61833131622809567</v>
      </c>
      <c r="C11" s="1">
        <v>0</v>
      </c>
      <c r="D11" s="1">
        <v>51.381739105018333</v>
      </c>
      <c r="E11" s="1">
        <v>0</v>
      </c>
      <c r="F11" s="1">
        <v>0</v>
      </c>
      <c r="G11" s="9">
        <f>SUM(CO_FINANCIAL)</f>
        <v>52.000070421246427</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273213.37</v>
      </c>
      <c r="L15" s="6"/>
      <c r="V15" s="9"/>
    </row>
    <row r="16" spans="1:22">
      <c r="A16" s="1" t="s">
        <v>27</v>
      </c>
      <c r="B16" s="6">
        <v>0.13080085535594332</v>
      </c>
      <c r="C16" s="1">
        <v>0</v>
      </c>
      <c r="D16" s="1">
        <v>10.869214041446185</v>
      </c>
      <c r="E16" s="1">
        <v>0</v>
      </c>
      <c r="F16" s="1">
        <v>0</v>
      </c>
      <c r="G16" s="9">
        <f>SUM(GA_FINANCIAL)</f>
        <v>11.000014896802128</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278.10640046043659</v>
      </c>
      <c r="C19" s="1">
        <v>0</v>
      </c>
      <c r="D19" s="1">
        <v>23109.925272849396</v>
      </c>
      <c r="E19" s="1">
        <v>0</v>
      </c>
      <c r="F19" s="1">
        <v>0</v>
      </c>
      <c r="G19" s="9">
        <f>SUM(IL_FINANCIAL)</f>
        <v>23388.031673309833</v>
      </c>
      <c r="I19" s="13" t="s">
        <v>33</v>
      </c>
      <c r="J19" s="16">
        <v>0</v>
      </c>
      <c r="L19" s="6"/>
      <c r="V19" s="9"/>
    </row>
    <row r="20" spans="1:22">
      <c r="A20" s="1" t="s">
        <v>34</v>
      </c>
      <c r="B20" s="6">
        <v>452.23801189974881</v>
      </c>
      <c r="C20" s="1">
        <v>0</v>
      </c>
      <c r="D20" s="1">
        <v>37579.81349311649</v>
      </c>
      <c r="E20" s="1">
        <v>0</v>
      </c>
      <c r="F20" s="1">
        <v>0</v>
      </c>
      <c r="G20" s="9">
        <f>SUM(IN_FINANCIAL)</f>
        <v>38032.051505016236</v>
      </c>
      <c r="I20" s="13" t="s">
        <v>35</v>
      </c>
      <c r="J20" s="16">
        <v>0</v>
      </c>
      <c r="L20" s="6"/>
      <c r="V20" s="9"/>
    </row>
    <row r="21" spans="1:22">
      <c r="A21" s="1" t="s">
        <v>36</v>
      </c>
      <c r="B21" s="6">
        <v>72.796621499007728</v>
      </c>
      <c r="C21" s="1">
        <v>0</v>
      </c>
      <c r="D21" s="1">
        <v>6049.2116692485042</v>
      </c>
      <c r="E21" s="1">
        <v>0</v>
      </c>
      <c r="F21" s="1">
        <v>0</v>
      </c>
      <c r="G21" s="9">
        <f>SUM(IA_FINANCIAL)</f>
        <v>6122.0082907475116</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0.17836480275810451</v>
      </c>
      <c r="C23" s="1">
        <v>0</v>
      </c>
      <c r="D23" s="1">
        <v>14.82165551106298</v>
      </c>
      <c r="E23" s="1">
        <v>0</v>
      </c>
      <c r="F23" s="1">
        <v>0</v>
      </c>
      <c r="G23" s="9">
        <f>SUM(KY_FINANCIAL)</f>
        <v>15.000020313821084</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1.1890986850540302E-2</v>
      </c>
      <c r="C26" s="1">
        <v>0</v>
      </c>
      <c r="D26" s="1">
        <v>0.98811036740419866</v>
      </c>
      <c r="E26" s="1">
        <v>0</v>
      </c>
      <c r="F26" s="1">
        <v>0</v>
      </c>
      <c r="G26" s="9">
        <f>SUM(MD_FINANCIAL)</f>
        <v>1.000001354254739</v>
      </c>
      <c r="I26" s="13" t="s">
        <v>46</v>
      </c>
      <c r="J26" s="16">
        <f>SUM(ADD_FINANCIAL)-SUM(LESS_FINANCIAL)</f>
        <v>273213.37</v>
      </c>
      <c r="L26" s="6"/>
      <c r="V26" s="9"/>
    </row>
    <row r="27" spans="1:22">
      <c r="A27" s="1" t="s">
        <v>47</v>
      </c>
      <c r="B27" s="6">
        <v>0</v>
      </c>
      <c r="C27" s="1">
        <v>0</v>
      </c>
      <c r="D27" s="1">
        <v>0</v>
      </c>
      <c r="E27" s="1">
        <v>0</v>
      </c>
      <c r="F27" s="1">
        <v>0</v>
      </c>
      <c r="G27" s="9">
        <f>SUM(MA_FINANCIAL)</f>
        <v>0</v>
      </c>
      <c r="I27" s="13" t="s">
        <v>48</v>
      </c>
      <c r="J27" s="16">
        <f>SUM(ALL_BLOCKS)</f>
        <v>273213.37000000005</v>
      </c>
      <c r="L27" s="6"/>
      <c r="V27" s="9"/>
    </row>
    <row r="28" spans="1:22">
      <c r="A28" s="1" t="s">
        <v>49</v>
      </c>
      <c r="B28" s="6">
        <v>827.66024874500715</v>
      </c>
      <c r="C28" s="1">
        <v>0</v>
      </c>
      <c r="D28" s="1">
        <v>68776.434012801852</v>
      </c>
      <c r="E28" s="1">
        <v>0</v>
      </c>
      <c r="F28" s="1">
        <v>0</v>
      </c>
      <c r="G28" s="9">
        <f>SUM(MI_FINANCIAL)</f>
        <v>69604.094261546852</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334.46967813199763</v>
      </c>
      <c r="C31" s="1">
        <v>0</v>
      </c>
      <c r="D31" s="1">
        <v>27793.5684143453</v>
      </c>
      <c r="E31" s="1">
        <v>0</v>
      </c>
      <c r="F31" s="1">
        <v>0</v>
      </c>
      <c r="G31" s="9">
        <f>SUM(MO_FINANCIAL)</f>
        <v>28128.038092477298</v>
      </c>
      <c r="L31" s="6"/>
      <c r="V31" s="9"/>
    </row>
    <row r="32" spans="1:22">
      <c r="A32" s="1" t="s">
        <v>53</v>
      </c>
      <c r="B32" s="6">
        <v>0</v>
      </c>
      <c r="C32" s="1">
        <v>0</v>
      </c>
      <c r="D32" s="1">
        <v>0</v>
      </c>
      <c r="E32" s="1">
        <v>0</v>
      </c>
      <c r="F32" s="1">
        <v>0</v>
      </c>
      <c r="G32" s="9">
        <f>SUM(MT_FINANCIAL)</f>
        <v>0</v>
      </c>
      <c r="L32" s="6"/>
      <c r="V32" s="9"/>
    </row>
    <row r="33" spans="1:22">
      <c r="A33" s="1" t="s">
        <v>54</v>
      </c>
      <c r="B33" s="6">
        <v>234.4783697058042</v>
      </c>
      <c r="C33" s="1">
        <v>0</v>
      </c>
      <c r="D33" s="1">
        <v>19484.548334843392</v>
      </c>
      <c r="E33" s="1">
        <v>0</v>
      </c>
      <c r="F33" s="1">
        <v>0</v>
      </c>
      <c r="G33" s="9">
        <f>SUM(NE_FINANCIAL)</f>
        <v>19719.026704549196</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0.23781973701080608</v>
      </c>
      <c r="C39" s="1">
        <v>0</v>
      </c>
      <c r="D39" s="1">
        <v>19.762207348083976</v>
      </c>
      <c r="E39" s="1">
        <v>0</v>
      </c>
      <c r="F39" s="1">
        <v>0</v>
      </c>
      <c r="G39" s="9">
        <f>SUM(NC_FINANCIAL)</f>
        <v>20.000027085094782</v>
      </c>
      <c r="L39" s="6"/>
      <c r="V39" s="9"/>
    </row>
    <row r="40" spans="1:22">
      <c r="A40" s="1" t="s">
        <v>61</v>
      </c>
      <c r="B40" s="6">
        <v>2.3781973701080605E-2</v>
      </c>
      <c r="C40" s="1">
        <v>0</v>
      </c>
      <c r="D40" s="1">
        <v>1.9762207348083973</v>
      </c>
      <c r="E40" s="1">
        <v>0</v>
      </c>
      <c r="F40" s="1">
        <v>0</v>
      </c>
      <c r="G40" s="9">
        <f>SUM(ND_FINANCIAL)</f>
        <v>2.000002708509478</v>
      </c>
      <c r="L40" s="6"/>
      <c r="V40" s="9"/>
    </row>
    <row r="41" spans="1:22">
      <c r="A41" s="1" t="s">
        <v>62</v>
      </c>
      <c r="B41" s="6">
        <v>528.51869254596477</v>
      </c>
      <c r="C41" s="1">
        <v>0</v>
      </c>
      <c r="D41" s="1">
        <v>43918.54150001442</v>
      </c>
      <c r="E41" s="1">
        <v>0</v>
      </c>
      <c r="F41" s="1">
        <v>0</v>
      </c>
      <c r="G41" s="9">
        <f>SUM(OH_FINANCIAL)</f>
        <v>44447.060192560384</v>
      </c>
      <c r="L41" s="6"/>
      <c r="V41" s="9"/>
    </row>
    <row r="42" spans="1:22">
      <c r="A42" s="1" t="s">
        <v>63</v>
      </c>
      <c r="B42" s="6">
        <v>22.069671594602799</v>
      </c>
      <c r="C42" s="1">
        <v>0</v>
      </c>
      <c r="D42" s="1">
        <v>1833.9328419021926</v>
      </c>
      <c r="E42" s="1">
        <v>0</v>
      </c>
      <c r="F42" s="1">
        <v>0</v>
      </c>
      <c r="G42" s="9">
        <f>SUM(OK_FINANCIAL)</f>
        <v>1856.0025134967955</v>
      </c>
      <c r="L42" s="6"/>
      <c r="V42" s="9"/>
    </row>
    <row r="43" spans="1:22">
      <c r="A43" s="1" t="s">
        <v>64</v>
      </c>
      <c r="B43" s="6">
        <v>0</v>
      </c>
      <c r="C43" s="1">
        <v>0</v>
      </c>
      <c r="D43" s="1">
        <v>0</v>
      </c>
      <c r="E43" s="1">
        <v>0</v>
      </c>
      <c r="F43" s="1">
        <v>0</v>
      </c>
      <c r="G43" s="9">
        <f>SUM(OR_FINANCIAL)</f>
        <v>0</v>
      </c>
      <c r="L43" s="6"/>
      <c r="V43" s="9"/>
    </row>
    <row r="44" spans="1:22">
      <c r="A44" s="1" t="s">
        <v>65</v>
      </c>
      <c r="B44" s="6">
        <v>5.945493425270152E-2</v>
      </c>
      <c r="C44" s="1">
        <v>0</v>
      </c>
      <c r="D44" s="1">
        <v>4.940551837020994</v>
      </c>
      <c r="E44" s="1">
        <v>0</v>
      </c>
      <c r="F44" s="1">
        <v>0</v>
      </c>
      <c r="G44" s="9">
        <f>SUM(PA_FINANCIAL)</f>
        <v>5.0000067712736955</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9.7981731648452097</v>
      </c>
      <c r="C47" s="1">
        <v>0</v>
      </c>
      <c r="D47" s="1">
        <v>814.2029427410597</v>
      </c>
      <c r="E47" s="1">
        <v>0</v>
      </c>
      <c r="F47" s="1">
        <v>0</v>
      </c>
      <c r="G47" s="9">
        <f>SUM(SC_FINANCIAL)</f>
        <v>824.00111590590495</v>
      </c>
      <c r="L47" s="6"/>
      <c r="V47" s="9"/>
    </row>
    <row r="48" spans="1:22">
      <c r="A48" s="1" t="s">
        <v>69</v>
      </c>
      <c r="B48" s="6">
        <v>0</v>
      </c>
      <c r="C48" s="1">
        <v>0</v>
      </c>
      <c r="D48" s="1">
        <v>0</v>
      </c>
      <c r="E48" s="1">
        <v>0</v>
      </c>
      <c r="F48" s="1">
        <v>0</v>
      </c>
      <c r="G48" s="9">
        <f>SUM(SD_FINANCIAL)</f>
        <v>0</v>
      </c>
      <c r="L48" s="6"/>
      <c r="V48" s="9"/>
    </row>
    <row r="49" spans="1:22">
      <c r="A49" s="1" t="s">
        <v>70</v>
      </c>
      <c r="B49" s="6">
        <v>12.283389416608129</v>
      </c>
      <c r="C49" s="1">
        <v>0</v>
      </c>
      <c r="D49" s="1">
        <v>1020.7180095285371</v>
      </c>
      <c r="E49" s="1">
        <v>0</v>
      </c>
      <c r="F49" s="1">
        <v>0</v>
      </c>
      <c r="G49" s="9">
        <f>SUM(TN_FINANCIAL)</f>
        <v>1033.0013989451452</v>
      </c>
      <c r="L49" s="6"/>
      <c r="V49" s="9"/>
    </row>
    <row r="50" spans="1:22">
      <c r="A50" s="1" t="s">
        <v>71</v>
      </c>
      <c r="B50" s="6">
        <v>58.551219252060449</v>
      </c>
      <c r="C50" s="1">
        <v>0</v>
      </c>
      <c r="D50" s="1">
        <v>4865.4554490982746</v>
      </c>
      <c r="E50" s="1">
        <v>0</v>
      </c>
      <c r="F50" s="1">
        <v>0</v>
      </c>
      <c r="G50" s="9">
        <f>SUM(TX_FINANCIAL)</f>
        <v>4924.0066683503346</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2.3781973701080605E-2</v>
      </c>
      <c r="C53" s="1">
        <v>0</v>
      </c>
      <c r="D53" s="1">
        <v>1.9762207348083973</v>
      </c>
      <c r="E53" s="1">
        <v>0</v>
      </c>
      <c r="F53" s="1">
        <v>0</v>
      </c>
      <c r="G53" s="9">
        <f>SUM(VA_FINANCIAL)</f>
        <v>2.000002708509478</v>
      </c>
      <c r="L53" s="6"/>
      <c r="V53" s="9"/>
    </row>
    <row r="54" spans="1:22">
      <c r="A54" s="1" t="s">
        <v>75</v>
      </c>
      <c r="B54" s="6">
        <v>0.24971072386134632</v>
      </c>
      <c r="C54" s="1">
        <v>0</v>
      </c>
      <c r="D54" s="1">
        <v>20.750317715488169</v>
      </c>
      <c r="E54" s="1">
        <v>0</v>
      </c>
      <c r="F54" s="1">
        <v>0</v>
      </c>
      <c r="G54" s="9">
        <f>SUM(WA_FINANCIAL)</f>
        <v>21.000028439349517</v>
      </c>
      <c r="L54" s="6"/>
      <c r="V54" s="9"/>
    </row>
    <row r="55" spans="1:22">
      <c r="A55" s="1" t="s">
        <v>76</v>
      </c>
      <c r="B55" s="6">
        <v>0</v>
      </c>
      <c r="C55" s="1">
        <v>0</v>
      </c>
      <c r="D55" s="1">
        <v>0</v>
      </c>
      <c r="E55" s="1">
        <v>0</v>
      </c>
      <c r="F55" s="1">
        <v>0</v>
      </c>
      <c r="G55" s="9">
        <f>SUM(WV_FINANCIAL)</f>
        <v>0</v>
      </c>
      <c r="L55" s="6"/>
      <c r="V55" s="9"/>
    </row>
    <row r="56" spans="1:22">
      <c r="A56" s="1" t="s">
        <v>77</v>
      </c>
      <c r="B56" s="6">
        <v>71.464830971747219</v>
      </c>
      <c r="C56" s="1">
        <v>0</v>
      </c>
      <c r="D56" s="1">
        <v>5938.5433080992343</v>
      </c>
      <c r="E56" s="1">
        <v>0</v>
      </c>
      <c r="F56" s="1">
        <v>0</v>
      </c>
      <c r="G56" s="9">
        <f>SUM(WI_FINANCIAL)</f>
        <v>6010.0081390709811</v>
      </c>
      <c r="L56" s="6"/>
      <c r="V56" s="9"/>
    </row>
    <row r="57" spans="1:22">
      <c r="A57" s="1" t="s">
        <v>78</v>
      </c>
      <c r="B57" s="6">
        <v>3.5672960551620905E-2</v>
      </c>
      <c r="C57" s="1">
        <v>0</v>
      </c>
      <c r="D57" s="1">
        <v>2.9643311022125962</v>
      </c>
      <c r="E57" s="1">
        <v>0</v>
      </c>
      <c r="F57" s="1">
        <v>0</v>
      </c>
      <c r="G57" s="9">
        <f>SUM(WY_FINANCIAL)</f>
        <v>3.000004062764217</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3248.7721903966681</v>
      </c>
      <c r="C60" s="1">
        <f>SUM(ALLOCATED)</f>
        <v>0</v>
      </c>
      <c r="D60" s="1">
        <f>SUM(HEALTH)</f>
        <v>269964.59780960332</v>
      </c>
      <c r="E60" s="1">
        <f>SUM(UNALLOCATED)</f>
        <v>0</v>
      </c>
      <c r="F60" s="1">
        <f>SUM(LTC)</f>
        <v>0</v>
      </c>
      <c r="G60" s="9">
        <f>SUM(ALL_BLOCKS)</f>
        <v>273213.37000000005</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109</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257801508</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7045.1454187982008</v>
      </c>
      <c r="C13" s="1">
        <v>265806.12429207348</v>
      </c>
      <c r="D13" s="1">
        <v>0</v>
      </c>
      <c r="E13" s="1">
        <v>0</v>
      </c>
      <c r="F13" s="1">
        <v>0</v>
      </c>
      <c r="G13" s="9">
        <f>SUM(DE_FINANCIAL)</f>
        <v>272851.26971087168</v>
      </c>
      <c r="I13" s="13" t="s">
        <v>22</v>
      </c>
      <c r="J13" s="16">
        <v>164813483</v>
      </c>
      <c r="L13" s="6">
        <v>10000</v>
      </c>
      <c r="M13" s="1">
        <v>0</v>
      </c>
      <c r="O13" s="1">
        <v>345000</v>
      </c>
      <c r="P13" s="1">
        <v>0</v>
      </c>
      <c r="R13" s="1">
        <v>0</v>
      </c>
      <c r="S13" s="1">
        <v>0</v>
      </c>
      <c r="U13" s="1">
        <v>0</v>
      </c>
      <c r="V13" s="9">
        <v>0</v>
      </c>
    </row>
    <row r="14" spans="1:22">
      <c r="A14" s="1" t="s">
        <v>23</v>
      </c>
      <c r="B14" s="6">
        <v>0</v>
      </c>
      <c r="C14" s="1">
        <v>0</v>
      </c>
      <c r="D14" s="1">
        <v>0</v>
      </c>
      <c r="E14" s="1">
        <v>0</v>
      </c>
      <c r="F14" s="1">
        <v>0</v>
      </c>
      <c r="G14" s="9">
        <f>SUM(DC_FINANCIAL)</f>
        <v>0</v>
      </c>
      <c r="I14" s="13" t="s">
        <v>24</v>
      </c>
      <c r="J14" s="16">
        <v>5801467</v>
      </c>
      <c r="L14" s="6"/>
      <c r="V14" s="9"/>
    </row>
    <row r="15" spans="1:22">
      <c r="A15" s="1" t="s">
        <v>25</v>
      </c>
      <c r="B15" s="6">
        <v>191495.9516039007</v>
      </c>
      <c r="C15" s="1">
        <v>9944233.6157325692</v>
      </c>
      <c r="D15" s="1">
        <v>359837.73693287221</v>
      </c>
      <c r="E15" s="1">
        <v>0</v>
      </c>
      <c r="F15" s="1">
        <v>0</v>
      </c>
      <c r="G15" s="9">
        <f>SUM(FL_FINANCIAL)</f>
        <v>10495567.304269342</v>
      </c>
      <c r="I15" s="13" t="s">
        <v>26</v>
      </c>
      <c r="J15" s="16">
        <v>0</v>
      </c>
      <c r="L15" s="6">
        <v>1760000</v>
      </c>
      <c r="M15" s="1">
        <v>0</v>
      </c>
      <c r="O15" s="1">
        <v>10400000</v>
      </c>
      <c r="P15" s="1">
        <v>0</v>
      </c>
      <c r="R15" s="1">
        <v>250000</v>
      </c>
      <c r="S15" s="1">
        <v>0</v>
      </c>
      <c r="U15" s="1">
        <v>0</v>
      </c>
      <c r="V15" s="9">
        <v>0</v>
      </c>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164246959</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2338788.8249999997</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88242883.302350014</v>
      </c>
      <c r="L24" s="6"/>
      <c r="V24" s="9"/>
    </row>
    <row r="25" spans="1:22">
      <c r="A25" s="1" t="s">
        <v>44</v>
      </c>
      <c r="B25" s="6">
        <v>0</v>
      </c>
      <c r="C25" s="1">
        <v>0</v>
      </c>
      <c r="D25" s="1">
        <v>0</v>
      </c>
      <c r="E25" s="1">
        <v>0</v>
      </c>
      <c r="F25" s="1">
        <v>0</v>
      </c>
      <c r="G25" s="9">
        <f>SUM(ME_FINANCIAL)</f>
        <v>0</v>
      </c>
      <c r="I25" s="13"/>
      <c r="J25" s="16"/>
      <c r="L25" s="6"/>
      <c r="V25" s="9"/>
    </row>
    <row r="26" spans="1:22">
      <c r="A26" s="1" t="s">
        <v>45</v>
      </c>
      <c r="B26" s="6">
        <v>442800.66989112902</v>
      </c>
      <c r="C26" s="1">
        <v>2047894.8361875582</v>
      </c>
      <c r="D26" s="1">
        <v>4458.755154931474</v>
      </c>
      <c r="E26" s="1">
        <v>0</v>
      </c>
      <c r="F26" s="1">
        <v>0</v>
      </c>
      <c r="G26" s="9">
        <f>SUM(MD_FINANCIAL)</f>
        <v>2495154.2612336189</v>
      </c>
      <c r="I26" s="13" t="s">
        <v>46</v>
      </c>
      <c r="J26" s="16">
        <f>SUM(ADD_FINANCIAL)-SUM(LESS_FINANCIAL)</f>
        <v>173587826.87265</v>
      </c>
      <c r="L26" s="6">
        <v>3518000</v>
      </c>
      <c r="M26" s="1">
        <v>0</v>
      </c>
      <c r="O26" s="1">
        <v>1982000</v>
      </c>
      <c r="P26" s="1">
        <v>0</v>
      </c>
      <c r="R26" s="1">
        <v>0</v>
      </c>
      <c r="S26" s="1">
        <v>0</v>
      </c>
      <c r="U26" s="1">
        <v>0</v>
      </c>
      <c r="V26" s="9">
        <v>0</v>
      </c>
    </row>
    <row r="27" spans="1:22">
      <c r="A27" s="1" t="s">
        <v>47</v>
      </c>
      <c r="B27" s="6">
        <v>0</v>
      </c>
      <c r="C27" s="1">
        <v>0</v>
      </c>
      <c r="D27" s="1">
        <v>0</v>
      </c>
      <c r="E27" s="1">
        <v>0</v>
      </c>
      <c r="F27" s="1">
        <v>0</v>
      </c>
      <c r="G27" s="9">
        <f>SUM(MA_FINANCIAL)</f>
        <v>0</v>
      </c>
      <c r="I27" s="13" t="s">
        <v>48</v>
      </c>
      <c r="J27" s="16">
        <f>SUM(ALL_BLOCKS)</f>
        <v>173587826.87265003</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1844565.2836090024</v>
      </c>
      <c r="C44" s="1">
        <v>158376487.58018017</v>
      </c>
      <c r="D44" s="1">
        <v>24905.093270529975</v>
      </c>
      <c r="E44" s="1">
        <v>0</v>
      </c>
      <c r="F44" s="1">
        <v>0</v>
      </c>
      <c r="G44" s="9">
        <f>SUM(PA_FINANCIAL)</f>
        <v>160245957.95705971</v>
      </c>
      <c r="L44" s="6">
        <v>88612897</v>
      </c>
      <c r="M44" s="1">
        <v>0</v>
      </c>
      <c r="O44" s="1">
        <v>63334564</v>
      </c>
      <c r="P44" s="1">
        <v>0</v>
      </c>
      <c r="R44" s="1">
        <v>0</v>
      </c>
      <c r="S44" s="1">
        <v>0</v>
      </c>
      <c r="U44" s="1">
        <v>67153313</v>
      </c>
      <c r="V44" s="9">
        <v>0</v>
      </c>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78296.080376478145</v>
      </c>
      <c r="D57" s="1">
        <v>0</v>
      </c>
      <c r="E57" s="1">
        <v>0</v>
      </c>
      <c r="F57" s="1">
        <v>0</v>
      </c>
      <c r="G57" s="9">
        <f>SUM(WY_FINANCIAL)</f>
        <v>78296.080376478145</v>
      </c>
      <c r="L57" s="6">
        <v>111616</v>
      </c>
      <c r="M57" s="1">
        <v>0</v>
      </c>
      <c r="O57" s="1">
        <v>0</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2485907.0505228303</v>
      </c>
      <c r="C60" s="1">
        <f>SUM(ALLOCATED)</f>
        <v>170712718.23676884</v>
      </c>
      <c r="D60" s="1">
        <f>SUM(HEALTH)</f>
        <v>389201.58535833366</v>
      </c>
      <c r="E60" s="1">
        <f>SUM(UNALLOCATED)</f>
        <v>0</v>
      </c>
      <c r="F60" s="1">
        <f>SUM(LTC)</f>
        <v>0</v>
      </c>
      <c r="G60" s="9">
        <f>SUM(ALL_BLOCKS)</f>
        <v>173587826.87265003</v>
      </c>
      <c r="L60" s="6">
        <f>SUM(LIFE_CALLED)</f>
        <v>94012513</v>
      </c>
      <c r="M60" s="1">
        <f>SUM(LIFE_REFUNDED)</f>
        <v>0</v>
      </c>
      <c r="O60" s="1">
        <f>SUM(ALLOC_CALLED)</f>
        <v>76061564</v>
      </c>
      <c r="P60" s="1">
        <f>SUM(ALLOC_REFUNDED)</f>
        <v>0</v>
      </c>
      <c r="R60" s="1">
        <f>SUM(HEALTH_CALLED)</f>
        <v>250000</v>
      </c>
      <c r="S60" s="1">
        <f>SUM(HEALTH_REFUNDED)</f>
        <v>0</v>
      </c>
      <c r="U60" s="1">
        <f>SUM(UNALLOC_CALLED)</f>
        <v>67153313</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110</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24807.655085628186</v>
      </c>
      <c r="D6" s="1">
        <v>0</v>
      </c>
      <c r="E6" s="1">
        <v>0</v>
      </c>
      <c r="F6" s="1">
        <v>0</v>
      </c>
      <c r="G6" s="9">
        <f>SUM(AL_FINANCIAL)</f>
        <v>24807.655085628186</v>
      </c>
      <c r="L6" s="6"/>
      <c r="V6" s="9"/>
    </row>
    <row r="7" spans="1:22">
      <c r="A7" s="1" t="s">
        <v>12</v>
      </c>
      <c r="B7" s="6">
        <v>0</v>
      </c>
      <c r="C7" s="1">
        <v>0</v>
      </c>
      <c r="D7" s="1">
        <v>0</v>
      </c>
      <c r="E7" s="1">
        <v>0</v>
      </c>
      <c r="F7" s="1">
        <v>0</v>
      </c>
      <c r="G7" s="9">
        <f>SUM(AK_FINANCIAL)</f>
        <v>0</v>
      </c>
      <c r="I7" s="12"/>
      <c r="J7" s="15"/>
      <c r="L7" s="6"/>
      <c r="V7" s="9"/>
    </row>
    <row r="8" spans="1:22">
      <c r="A8" s="1" t="s">
        <v>13</v>
      </c>
      <c r="B8" s="6">
        <v>0</v>
      </c>
      <c r="C8" s="1">
        <v>4109513.1712134164</v>
      </c>
      <c r="D8" s="1">
        <v>0</v>
      </c>
      <c r="E8" s="1">
        <v>0</v>
      </c>
      <c r="F8" s="1">
        <v>0</v>
      </c>
      <c r="G8" s="9">
        <f>SUM(AZ_FINANCIAL)</f>
        <v>4109513.1712134164</v>
      </c>
      <c r="I8" s="13" t="s">
        <v>14</v>
      </c>
      <c r="J8" s="16"/>
      <c r="L8" s="6">
        <v>0</v>
      </c>
      <c r="M8" s="1">
        <v>0</v>
      </c>
      <c r="O8" s="1">
        <v>0</v>
      </c>
      <c r="P8" s="1">
        <v>0</v>
      </c>
      <c r="R8" s="1">
        <v>11693421</v>
      </c>
      <c r="S8" s="1">
        <v>0</v>
      </c>
      <c r="U8" s="1">
        <v>0</v>
      </c>
      <c r="V8" s="9">
        <v>0</v>
      </c>
    </row>
    <row r="9" spans="1:22">
      <c r="A9" s="1" t="s">
        <v>15</v>
      </c>
      <c r="B9" s="6">
        <v>0</v>
      </c>
      <c r="C9" s="1">
        <v>515306.77187743748</v>
      </c>
      <c r="D9" s="1">
        <v>0</v>
      </c>
      <c r="E9" s="1">
        <v>0</v>
      </c>
      <c r="F9" s="1">
        <v>0</v>
      </c>
      <c r="G9" s="9">
        <f>SUM(AR_FINANCIAL)</f>
        <v>515306.77187743748</v>
      </c>
      <c r="I9" s="13"/>
      <c r="J9" s="16"/>
      <c r="L9" s="6">
        <v>27819</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18947440</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10856.295177866774</v>
      </c>
      <c r="D13" s="1">
        <v>0</v>
      </c>
      <c r="E13" s="1">
        <v>0</v>
      </c>
      <c r="F13" s="1">
        <v>0</v>
      </c>
      <c r="G13" s="9">
        <f>SUM(DE_FINANCIAL)</f>
        <v>10856.295177866774</v>
      </c>
      <c r="I13" s="13" t="s">
        <v>22</v>
      </c>
      <c r="J13" s="16">
        <v>67243</v>
      </c>
      <c r="L13" s="6">
        <v>0</v>
      </c>
      <c r="M13" s="1">
        <v>0</v>
      </c>
      <c r="O13" s="1">
        <v>15000</v>
      </c>
      <c r="P13" s="1">
        <v>0</v>
      </c>
      <c r="R13" s="1">
        <v>25000</v>
      </c>
      <c r="S13" s="1">
        <v>0</v>
      </c>
      <c r="U13" s="1">
        <v>0</v>
      </c>
      <c r="V13" s="9">
        <v>0</v>
      </c>
    </row>
    <row r="14" spans="1:22">
      <c r="A14" s="1" t="s">
        <v>23</v>
      </c>
      <c r="B14" s="6">
        <v>0</v>
      </c>
      <c r="C14" s="1">
        <v>0</v>
      </c>
      <c r="D14" s="1">
        <v>0</v>
      </c>
      <c r="E14" s="1">
        <v>0</v>
      </c>
      <c r="F14" s="1">
        <v>0</v>
      </c>
      <c r="G14" s="9">
        <f>SUM(DC_FINANCIAL)</f>
        <v>0</v>
      </c>
      <c r="I14" s="13" t="s">
        <v>24</v>
      </c>
      <c r="J14" s="16">
        <v>201589</v>
      </c>
      <c r="L14" s="6"/>
      <c r="V14" s="9"/>
    </row>
    <row r="15" spans="1:22">
      <c r="A15" s="1" t="s">
        <v>25</v>
      </c>
      <c r="B15" s="6">
        <v>0</v>
      </c>
      <c r="C15" s="1">
        <v>178730.68009906751</v>
      </c>
      <c r="D15" s="1">
        <v>0</v>
      </c>
      <c r="E15" s="1">
        <v>0</v>
      </c>
      <c r="F15" s="1">
        <v>0</v>
      </c>
      <c r="G15" s="9">
        <f>SUM(FL_FINANCIAL)</f>
        <v>178730.68009906751</v>
      </c>
      <c r="I15" s="13" t="s">
        <v>26</v>
      </c>
      <c r="J15" s="16">
        <v>755048.84000000008</v>
      </c>
      <c r="L15" s="6"/>
      <c r="V15" s="9"/>
    </row>
    <row r="16" spans="1:22">
      <c r="A16" s="1" t="s">
        <v>27</v>
      </c>
      <c r="B16" s="6">
        <v>0</v>
      </c>
      <c r="C16" s="1">
        <v>-1833.1288433224472</v>
      </c>
      <c r="D16" s="1">
        <v>0</v>
      </c>
      <c r="E16" s="1">
        <v>0</v>
      </c>
      <c r="F16" s="1">
        <v>0</v>
      </c>
      <c r="G16" s="9">
        <f>SUM(GA_FINANCIAL)</f>
        <v>-1833.1288433224472</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1523645.9306260133</v>
      </c>
      <c r="D19" s="1">
        <v>0</v>
      </c>
      <c r="E19" s="1">
        <v>0</v>
      </c>
      <c r="F19" s="1">
        <v>0</v>
      </c>
      <c r="G19" s="9">
        <f>SUM(IL_FINANCIAL)</f>
        <v>1523645.9306260133</v>
      </c>
      <c r="I19" s="13" t="s">
        <v>33</v>
      </c>
      <c r="J19" s="16">
        <v>0</v>
      </c>
      <c r="L19" s="6">
        <v>0</v>
      </c>
      <c r="M19" s="1">
        <v>0</v>
      </c>
      <c r="O19" s="1">
        <v>3000000</v>
      </c>
      <c r="P19" s="1">
        <v>1395000</v>
      </c>
      <c r="R19" s="1">
        <v>0</v>
      </c>
      <c r="S19" s="1">
        <v>0</v>
      </c>
      <c r="U19" s="1">
        <v>0</v>
      </c>
      <c r="V19" s="9">
        <v>0</v>
      </c>
    </row>
    <row r="20" spans="1:22">
      <c r="A20" s="1" t="s">
        <v>34</v>
      </c>
      <c r="B20" s="6">
        <v>0</v>
      </c>
      <c r="C20" s="1">
        <v>74986.228288465718</v>
      </c>
      <c r="D20" s="1">
        <v>0</v>
      </c>
      <c r="E20" s="1">
        <v>0</v>
      </c>
      <c r="F20" s="1">
        <v>0</v>
      </c>
      <c r="G20" s="9">
        <f>SUM(IN_FINANCIAL)</f>
        <v>74986.228288465718</v>
      </c>
      <c r="I20" s="13" t="s">
        <v>35</v>
      </c>
      <c r="J20" s="16">
        <v>-4124280.4800000014</v>
      </c>
      <c r="L20" s="6"/>
      <c r="V20" s="9"/>
    </row>
    <row r="21" spans="1:22">
      <c r="A21" s="1" t="s">
        <v>36</v>
      </c>
      <c r="B21" s="6">
        <v>0</v>
      </c>
      <c r="C21" s="1">
        <v>13323.24501161047</v>
      </c>
      <c r="D21" s="1">
        <v>0</v>
      </c>
      <c r="E21" s="1">
        <v>0</v>
      </c>
      <c r="F21" s="1">
        <v>0</v>
      </c>
      <c r="G21" s="9">
        <f>SUM(IA_FINANCIAL)</f>
        <v>13323.24501161047</v>
      </c>
      <c r="I21" s="13" t="s">
        <v>37</v>
      </c>
      <c r="J21" s="16"/>
      <c r="L21" s="6">
        <v>0</v>
      </c>
      <c r="M21" s="1">
        <v>0</v>
      </c>
      <c r="O21" s="1">
        <v>24520</v>
      </c>
      <c r="P21" s="1">
        <v>0</v>
      </c>
      <c r="R21" s="1">
        <v>0</v>
      </c>
      <c r="S21" s="1">
        <v>0</v>
      </c>
      <c r="U21" s="1">
        <v>0</v>
      </c>
      <c r="V21" s="9">
        <v>0</v>
      </c>
    </row>
    <row r="22" spans="1:22">
      <c r="A22" s="1" t="s">
        <v>38</v>
      </c>
      <c r="B22" s="6">
        <v>0</v>
      </c>
      <c r="C22" s="1">
        <v>58223.572119643664</v>
      </c>
      <c r="D22" s="1">
        <v>0</v>
      </c>
      <c r="E22" s="1">
        <v>0</v>
      </c>
      <c r="F22" s="1">
        <v>0</v>
      </c>
      <c r="G22" s="9">
        <f>SUM(KS_FINANCIAL)</f>
        <v>58223.572119643664</v>
      </c>
      <c r="I22" s="13" t="s">
        <v>39</v>
      </c>
      <c r="J22" s="16">
        <v>999999.99999999919</v>
      </c>
      <c r="L22" s="6"/>
      <c r="V22" s="9"/>
    </row>
    <row r="23" spans="1:22">
      <c r="A23" s="1" t="s">
        <v>40</v>
      </c>
      <c r="B23" s="6">
        <v>0</v>
      </c>
      <c r="C23" s="1">
        <v>96952.205328923112</v>
      </c>
      <c r="D23" s="1">
        <v>0</v>
      </c>
      <c r="E23" s="1">
        <v>0</v>
      </c>
      <c r="F23" s="1">
        <v>0</v>
      </c>
      <c r="G23" s="9">
        <f>SUM(KY_FINANCIAL)</f>
        <v>96952.205328923112</v>
      </c>
      <c r="I23" s="13" t="s">
        <v>41</v>
      </c>
      <c r="J23" s="16"/>
      <c r="L23" s="6"/>
      <c r="V23" s="9"/>
    </row>
    <row r="24" spans="1:22">
      <c r="A24" s="1" t="s">
        <v>42</v>
      </c>
      <c r="B24" s="6">
        <v>0</v>
      </c>
      <c r="C24" s="1">
        <v>0</v>
      </c>
      <c r="D24" s="1">
        <v>0</v>
      </c>
      <c r="E24" s="1">
        <v>0</v>
      </c>
      <c r="F24" s="1">
        <v>0</v>
      </c>
      <c r="G24" s="9">
        <f>SUM(LA_FINANCIAL)</f>
        <v>0</v>
      </c>
      <c r="I24" s="13" t="s">
        <v>43</v>
      </c>
      <c r="J24" s="16">
        <v>11002270.350000003</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66778.970484925681</v>
      </c>
      <c r="D26" s="1">
        <v>0</v>
      </c>
      <c r="E26" s="1">
        <v>0</v>
      </c>
      <c r="F26" s="1">
        <v>0</v>
      </c>
      <c r="G26" s="9">
        <f>SUM(MD_FINANCIAL)</f>
        <v>66778.970484925681</v>
      </c>
      <c r="I26" s="13" t="s">
        <v>46</v>
      </c>
      <c r="J26" s="16">
        <f>SUM(ADD_FINANCIAL)-SUM(LESS_FINANCIAL)</f>
        <v>12093330.969999999</v>
      </c>
      <c r="L26" s="6">
        <v>130963</v>
      </c>
      <c r="M26" s="1">
        <v>0</v>
      </c>
      <c r="O26" s="1">
        <v>0</v>
      </c>
      <c r="P26" s="1">
        <v>0</v>
      </c>
      <c r="R26" s="1">
        <v>0</v>
      </c>
      <c r="S26" s="1">
        <v>0</v>
      </c>
      <c r="U26" s="1">
        <v>0</v>
      </c>
      <c r="V26" s="9">
        <v>0</v>
      </c>
    </row>
    <row r="27" spans="1:22">
      <c r="A27" s="1" t="s">
        <v>47</v>
      </c>
      <c r="B27" s="6">
        <v>0</v>
      </c>
      <c r="C27" s="1">
        <v>1118.2065159010308</v>
      </c>
      <c r="D27" s="1">
        <v>0</v>
      </c>
      <c r="E27" s="1">
        <v>0</v>
      </c>
      <c r="F27" s="1">
        <v>0</v>
      </c>
      <c r="G27" s="9">
        <f>SUM(MA_FINANCIAL)</f>
        <v>1118.2065159010308</v>
      </c>
      <c r="I27" s="13" t="s">
        <v>48</v>
      </c>
      <c r="J27" s="16">
        <f>SUM(ALL_BLOCKS)</f>
        <v>12093330.970000001</v>
      </c>
      <c r="L27" s="6"/>
      <c r="V27" s="9"/>
    </row>
    <row r="28" spans="1:22">
      <c r="A28" s="1" t="s">
        <v>49</v>
      </c>
      <c r="B28" s="6">
        <v>0</v>
      </c>
      <c r="C28" s="1">
        <v>45589.051984940532</v>
      </c>
      <c r="D28" s="1">
        <v>0</v>
      </c>
      <c r="E28" s="1">
        <v>0</v>
      </c>
      <c r="F28" s="1">
        <v>0</v>
      </c>
      <c r="G28" s="9">
        <f>SUM(MI_FINANCIAL)</f>
        <v>45589.051984940532</v>
      </c>
      <c r="I28" s="14"/>
      <c r="J28" s="17"/>
      <c r="L28" s="6"/>
      <c r="V28" s="9"/>
    </row>
    <row r="29" spans="1:22">
      <c r="A29" s="1" t="s">
        <v>50</v>
      </c>
      <c r="B29" s="6">
        <v>0</v>
      </c>
      <c r="C29" s="1">
        <v>15622.338578024655</v>
      </c>
      <c r="D29" s="1">
        <v>0</v>
      </c>
      <c r="E29" s="1">
        <v>0</v>
      </c>
      <c r="F29" s="1">
        <v>0</v>
      </c>
      <c r="G29" s="9">
        <f>SUM(MN_FINANCIAL)</f>
        <v>15622.338578024655</v>
      </c>
      <c r="L29" s="6">
        <v>0</v>
      </c>
      <c r="M29" s="1">
        <v>0</v>
      </c>
      <c r="O29" s="1">
        <v>56000</v>
      </c>
      <c r="P29" s="1">
        <v>0</v>
      </c>
      <c r="R29" s="1">
        <v>0</v>
      </c>
      <c r="S29" s="1">
        <v>0</v>
      </c>
      <c r="U29" s="1">
        <v>0</v>
      </c>
      <c r="V29" s="9">
        <v>0</v>
      </c>
    </row>
    <row r="30" spans="1:22">
      <c r="A30" s="1" t="s">
        <v>51</v>
      </c>
      <c r="B30" s="6">
        <v>0</v>
      </c>
      <c r="C30" s="1">
        <v>48552.046838224116</v>
      </c>
      <c r="D30" s="1">
        <v>0</v>
      </c>
      <c r="E30" s="1">
        <v>0</v>
      </c>
      <c r="F30" s="1">
        <v>0</v>
      </c>
      <c r="G30" s="9">
        <f>SUM(MS_FINANCIAL)</f>
        <v>48552.046838224116</v>
      </c>
      <c r="L30" s="6">
        <v>297</v>
      </c>
      <c r="M30" s="1">
        <v>0</v>
      </c>
      <c r="O30" s="1">
        <v>0</v>
      </c>
      <c r="P30" s="1">
        <v>0</v>
      </c>
      <c r="R30" s="1">
        <v>4703</v>
      </c>
      <c r="S30" s="1">
        <v>0</v>
      </c>
      <c r="U30" s="1">
        <v>0</v>
      </c>
      <c r="V30" s="9">
        <v>0</v>
      </c>
    </row>
    <row r="31" spans="1:22">
      <c r="A31" s="1" t="s">
        <v>52</v>
      </c>
      <c r="B31" s="6">
        <v>0</v>
      </c>
      <c r="C31" s="1">
        <v>407334.3480132292</v>
      </c>
      <c r="D31" s="1">
        <v>0</v>
      </c>
      <c r="E31" s="1">
        <v>0</v>
      </c>
      <c r="F31" s="1">
        <v>0</v>
      </c>
      <c r="G31" s="9">
        <f>SUM(MO_FINANCIAL)</f>
        <v>407334.3480132292</v>
      </c>
      <c r="L31" s="6">
        <v>0</v>
      </c>
      <c r="M31" s="1">
        <v>0</v>
      </c>
      <c r="O31" s="1">
        <v>1449393</v>
      </c>
      <c r="P31" s="1">
        <v>0</v>
      </c>
      <c r="R31" s="1">
        <v>0</v>
      </c>
      <c r="S31" s="1">
        <v>0</v>
      </c>
      <c r="U31" s="1">
        <v>0</v>
      </c>
      <c r="V31" s="9">
        <v>0</v>
      </c>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21488.867383801276</v>
      </c>
      <c r="D34" s="1">
        <v>0</v>
      </c>
      <c r="E34" s="1">
        <v>0</v>
      </c>
      <c r="F34" s="1">
        <v>0</v>
      </c>
      <c r="G34" s="9">
        <f>SUM(NV_FINANCIAL)</f>
        <v>21488.867383801276</v>
      </c>
      <c r="L34" s="6">
        <v>0</v>
      </c>
      <c r="M34" s="1">
        <v>0</v>
      </c>
      <c r="O34" s="1">
        <v>35100</v>
      </c>
      <c r="P34" s="1">
        <v>0</v>
      </c>
      <c r="R34" s="1">
        <v>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1266.0453002083527</v>
      </c>
      <c r="D39" s="1">
        <v>0</v>
      </c>
      <c r="E39" s="1">
        <v>0</v>
      </c>
      <c r="F39" s="1">
        <v>0</v>
      </c>
      <c r="G39" s="9">
        <f>SUM(NC_FINANCIAL)</f>
        <v>1266.0453002083527</v>
      </c>
      <c r="L39" s="6"/>
      <c r="V39" s="9"/>
    </row>
    <row r="40" spans="1:22">
      <c r="A40" s="1" t="s">
        <v>61</v>
      </c>
      <c r="B40" s="6">
        <v>0</v>
      </c>
      <c r="C40" s="1">
        <v>60813.148946237707</v>
      </c>
      <c r="D40" s="1">
        <v>0</v>
      </c>
      <c r="E40" s="1">
        <v>0</v>
      </c>
      <c r="F40" s="1">
        <v>0</v>
      </c>
      <c r="G40" s="9">
        <f>SUM(ND_FINANCIAL)</f>
        <v>60813.148946237707</v>
      </c>
      <c r="L40" s="6">
        <v>0</v>
      </c>
      <c r="M40" s="1">
        <v>0</v>
      </c>
      <c r="O40" s="1">
        <v>146270</v>
      </c>
      <c r="P40" s="1">
        <v>0</v>
      </c>
      <c r="R40" s="1">
        <v>0</v>
      </c>
      <c r="S40" s="1">
        <v>0</v>
      </c>
      <c r="U40" s="1">
        <v>0</v>
      </c>
      <c r="V40" s="9">
        <v>0</v>
      </c>
    </row>
    <row r="41" spans="1:22">
      <c r="A41" s="1" t="s">
        <v>62</v>
      </c>
      <c r="B41" s="6">
        <v>0</v>
      </c>
      <c r="C41" s="1">
        <v>112497.82753344816</v>
      </c>
      <c r="D41" s="1">
        <v>0</v>
      </c>
      <c r="E41" s="1">
        <v>0</v>
      </c>
      <c r="F41" s="1">
        <v>0</v>
      </c>
      <c r="G41" s="9">
        <f>SUM(OH_FINANCIAL)</f>
        <v>112497.82753344816</v>
      </c>
      <c r="L41" s="6"/>
      <c r="V41" s="9"/>
    </row>
    <row r="42" spans="1:22">
      <c r="A42" s="1" t="s">
        <v>63</v>
      </c>
      <c r="B42" s="6">
        <v>0</v>
      </c>
      <c r="C42" s="1">
        <v>248123.53016991977</v>
      </c>
      <c r="D42" s="1">
        <v>0</v>
      </c>
      <c r="E42" s="1">
        <v>0</v>
      </c>
      <c r="F42" s="1">
        <v>0</v>
      </c>
      <c r="G42" s="9">
        <f>SUM(OK_FINANCIAL)</f>
        <v>248123.53016991977</v>
      </c>
      <c r="L42" s="6">
        <v>0</v>
      </c>
      <c r="M42" s="1">
        <v>0</v>
      </c>
      <c r="O42" s="1">
        <v>602500</v>
      </c>
      <c r="P42" s="1">
        <v>150000</v>
      </c>
      <c r="R42" s="1">
        <v>0</v>
      </c>
      <c r="S42" s="1">
        <v>0</v>
      </c>
      <c r="U42" s="1">
        <v>0</v>
      </c>
      <c r="V42" s="9">
        <v>0</v>
      </c>
    </row>
    <row r="43" spans="1:22">
      <c r="A43" s="1" t="s">
        <v>64</v>
      </c>
      <c r="B43" s="6">
        <v>0</v>
      </c>
      <c r="C43" s="1">
        <v>97869.019630502837</v>
      </c>
      <c r="D43" s="1">
        <v>0</v>
      </c>
      <c r="E43" s="1">
        <v>0</v>
      </c>
      <c r="F43" s="1">
        <v>0</v>
      </c>
      <c r="G43" s="9">
        <f>SUM(OR_FINANCIAL)</f>
        <v>97869.019630502837</v>
      </c>
      <c r="L43" s="6"/>
      <c r="V43" s="9"/>
    </row>
    <row r="44" spans="1:22">
      <c r="A44" s="1" t="s">
        <v>65</v>
      </c>
      <c r="B44" s="6">
        <v>0</v>
      </c>
      <c r="C44" s="1">
        <v>3874417.1712134159</v>
      </c>
      <c r="D44" s="1">
        <v>0</v>
      </c>
      <c r="E44" s="1">
        <v>0</v>
      </c>
      <c r="F44" s="1">
        <v>0</v>
      </c>
      <c r="G44" s="9">
        <f>SUM(PA_FINANCIAL)</f>
        <v>3874417.1712134159</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23003.381612816807</v>
      </c>
      <c r="D48" s="1">
        <v>0</v>
      </c>
      <c r="E48" s="1">
        <v>0</v>
      </c>
      <c r="F48" s="1">
        <v>0</v>
      </c>
      <c r="G48" s="9">
        <f>SUM(SD_FINANCIAL)</f>
        <v>23003.381612816807</v>
      </c>
      <c r="L48" s="6">
        <v>0</v>
      </c>
      <c r="M48" s="1">
        <v>0</v>
      </c>
      <c r="O48" s="1">
        <v>25712</v>
      </c>
      <c r="P48" s="1">
        <v>0</v>
      </c>
      <c r="R48" s="1">
        <v>0</v>
      </c>
      <c r="S48" s="1">
        <v>0</v>
      </c>
      <c r="U48" s="1">
        <v>0</v>
      </c>
      <c r="V48" s="9">
        <v>0</v>
      </c>
    </row>
    <row r="49" spans="1:22">
      <c r="A49" s="1" t="s">
        <v>70</v>
      </c>
      <c r="B49" s="6">
        <v>0</v>
      </c>
      <c r="C49" s="1">
        <v>129900.87758438346</v>
      </c>
      <c r="D49" s="1">
        <v>0</v>
      </c>
      <c r="E49" s="1">
        <v>0</v>
      </c>
      <c r="F49" s="1">
        <v>0</v>
      </c>
      <c r="G49" s="9">
        <f>SUM(TN_FINANCIAL)</f>
        <v>129900.87758438346</v>
      </c>
      <c r="L49" s="6">
        <v>0</v>
      </c>
      <c r="M49" s="1">
        <v>0</v>
      </c>
      <c r="O49" s="1">
        <v>325000</v>
      </c>
      <c r="P49" s="1">
        <v>0</v>
      </c>
      <c r="R49" s="1">
        <v>0</v>
      </c>
      <c r="S49" s="1">
        <v>0</v>
      </c>
      <c r="U49" s="1">
        <v>0</v>
      </c>
      <c r="V49" s="9">
        <v>0</v>
      </c>
    </row>
    <row r="50" spans="1:22">
      <c r="A50" s="1" t="s">
        <v>71</v>
      </c>
      <c r="B50" s="6">
        <v>0</v>
      </c>
      <c r="C50" s="1">
        <v>163167.71308673479</v>
      </c>
      <c r="D50" s="1">
        <v>0</v>
      </c>
      <c r="E50" s="1">
        <v>0</v>
      </c>
      <c r="F50" s="1">
        <v>0</v>
      </c>
      <c r="G50" s="9">
        <f>SUM(TX_FINANCIAL)</f>
        <v>163167.71308673479</v>
      </c>
      <c r="L50" s="6">
        <v>17723</v>
      </c>
      <c r="M50" s="1">
        <v>237.5558</v>
      </c>
      <c r="O50" s="1">
        <v>0</v>
      </c>
      <c r="P50" s="1">
        <v>0</v>
      </c>
      <c r="R50" s="1">
        <v>280946</v>
      </c>
      <c r="S50" s="1">
        <v>3768.4441999999999</v>
      </c>
      <c r="U50" s="1">
        <v>0</v>
      </c>
      <c r="V50" s="9">
        <v>0</v>
      </c>
    </row>
    <row r="51" spans="1:22">
      <c r="A51" s="1" t="s">
        <v>72</v>
      </c>
      <c r="B51" s="6">
        <v>0</v>
      </c>
      <c r="C51" s="1">
        <v>14640.63898197309</v>
      </c>
      <c r="D51" s="1">
        <v>0</v>
      </c>
      <c r="E51" s="1">
        <v>0</v>
      </c>
      <c r="F51" s="1">
        <v>0</v>
      </c>
      <c r="G51" s="9">
        <f>SUM(UT_FINANCIAL)</f>
        <v>14640.63898197309</v>
      </c>
      <c r="L51" s="6">
        <v>0</v>
      </c>
      <c r="M51" s="1">
        <v>0</v>
      </c>
      <c r="O51" s="1">
        <v>28000</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9373.6299544011963</v>
      </c>
      <c r="D53" s="1">
        <v>0</v>
      </c>
      <c r="E53" s="1">
        <v>0</v>
      </c>
      <c r="F53" s="1">
        <v>0</v>
      </c>
      <c r="G53" s="9">
        <f>SUM(VA_FINANCIAL)</f>
        <v>9373.6299544011963</v>
      </c>
      <c r="L53" s="6"/>
      <c r="V53" s="9"/>
    </row>
    <row r="54" spans="1:22">
      <c r="A54" s="1" t="s">
        <v>75</v>
      </c>
      <c r="B54" s="6">
        <v>0</v>
      </c>
      <c r="C54" s="1">
        <v>59484.005654188724</v>
      </c>
      <c r="D54" s="1">
        <v>0</v>
      </c>
      <c r="E54" s="1">
        <v>0</v>
      </c>
      <c r="F54" s="1">
        <v>0</v>
      </c>
      <c r="G54" s="9">
        <f>SUM(WA_FINANCIAL)</f>
        <v>59484.005654188724</v>
      </c>
      <c r="L54" s="6">
        <v>0</v>
      </c>
      <c r="M54" s="1">
        <v>0</v>
      </c>
      <c r="O54" s="1">
        <v>100000</v>
      </c>
      <c r="P54" s="1">
        <v>0</v>
      </c>
      <c r="R54" s="1">
        <v>0</v>
      </c>
      <c r="S54" s="1">
        <v>0</v>
      </c>
      <c r="U54" s="1">
        <v>0</v>
      </c>
      <c r="V54" s="9">
        <v>0</v>
      </c>
    </row>
    <row r="55" spans="1:22">
      <c r="A55" s="1" t="s">
        <v>76</v>
      </c>
      <c r="B55" s="6">
        <v>0</v>
      </c>
      <c r="C55" s="1">
        <v>-37367.999999999985</v>
      </c>
      <c r="D55" s="1">
        <v>0</v>
      </c>
      <c r="E55" s="1">
        <v>0</v>
      </c>
      <c r="F55" s="1">
        <v>0</v>
      </c>
      <c r="G55" s="9">
        <f>SUM(WV_FINANCIAL)</f>
        <v>-37367.999999999985</v>
      </c>
      <c r="L55" s="6">
        <v>0</v>
      </c>
      <c r="M55" s="1">
        <v>0</v>
      </c>
      <c r="O55" s="1">
        <v>0</v>
      </c>
      <c r="P55" s="1">
        <v>0</v>
      </c>
      <c r="R55" s="1">
        <v>0</v>
      </c>
      <c r="S55" s="1">
        <v>82075</v>
      </c>
      <c r="U55" s="1">
        <v>0</v>
      </c>
      <c r="V55" s="9">
        <v>0</v>
      </c>
    </row>
    <row r="56" spans="1:22">
      <c r="A56" s="1" t="s">
        <v>77</v>
      </c>
      <c r="B56" s="6">
        <v>0</v>
      </c>
      <c r="C56" s="1">
        <v>125145.52454797344</v>
      </c>
      <c r="D56" s="1">
        <v>0</v>
      </c>
      <c r="E56" s="1">
        <v>0</v>
      </c>
      <c r="F56" s="1">
        <v>0</v>
      </c>
      <c r="G56" s="9">
        <f>SUM(WI_FINANCIAL)</f>
        <v>125145.52454797344</v>
      </c>
      <c r="L56" s="6">
        <v>0</v>
      </c>
      <c r="M56" s="1">
        <v>0</v>
      </c>
      <c r="O56" s="1">
        <v>150000</v>
      </c>
      <c r="P56" s="1">
        <v>0</v>
      </c>
      <c r="R56" s="1">
        <v>0</v>
      </c>
      <c r="S56" s="1">
        <v>0</v>
      </c>
      <c r="U56" s="1">
        <v>0</v>
      </c>
      <c r="V56" s="9">
        <v>0</v>
      </c>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12093330.970000001</v>
      </c>
      <c r="D60" s="1">
        <f>SUM(HEALTH)</f>
        <v>0</v>
      </c>
      <c r="E60" s="1">
        <f>SUM(UNALLOCATED)</f>
        <v>0</v>
      </c>
      <c r="F60" s="1">
        <f>SUM(LTC)</f>
        <v>0</v>
      </c>
      <c r="G60" s="9">
        <f>SUM(ALL_BLOCKS)</f>
        <v>12093330.970000001</v>
      </c>
      <c r="L60" s="6">
        <f>SUM(LIFE_CALLED)</f>
        <v>176802</v>
      </c>
      <c r="M60" s="1">
        <f>SUM(LIFE_REFUNDED)</f>
        <v>237.5558</v>
      </c>
      <c r="O60" s="1">
        <f>SUM(ALLOC_CALLED)</f>
        <v>5957495</v>
      </c>
      <c r="P60" s="1">
        <f>SUM(ALLOC_REFUNDED)</f>
        <v>1545000</v>
      </c>
      <c r="R60" s="1">
        <f>SUM(HEALTH_CALLED)</f>
        <v>12004070</v>
      </c>
      <c r="S60" s="1">
        <f>SUM(HEALTH_REFUNDED)</f>
        <v>85843.444199999998</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111</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27362577</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3224585</v>
      </c>
      <c r="L13" s="6"/>
      <c r="V13" s="9"/>
    </row>
    <row r="14" spans="1:22">
      <c r="A14" s="1" t="s">
        <v>23</v>
      </c>
      <c r="B14" s="6">
        <v>0</v>
      </c>
      <c r="C14" s="1">
        <v>0</v>
      </c>
      <c r="D14" s="1">
        <v>0</v>
      </c>
      <c r="E14" s="1">
        <v>0</v>
      </c>
      <c r="F14" s="1">
        <v>0</v>
      </c>
      <c r="G14" s="9">
        <f>SUM(DC_FINANCIAL)</f>
        <v>0</v>
      </c>
      <c r="I14" s="13" t="s">
        <v>24</v>
      </c>
      <c r="J14" s="16">
        <v>124000</v>
      </c>
      <c r="L14" s="6"/>
      <c r="V14" s="9"/>
    </row>
    <row r="15" spans="1:22">
      <c r="A15" s="1" t="s">
        <v>25</v>
      </c>
      <c r="B15" s="6">
        <v>0</v>
      </c>
      <c r="C15" s="1">
        <v>0</v>
      </c>
      <c r="D15" s="1">
        <v>0</v>
      </c>
      <c r="E15" s="1">
        <v>0</v>
      </c>
      <c r="F15" s="1">
        <v>0</v>
      </c>
      <c r="G15" s="9">
        <f>SUM(FL_FINANCIAL)</f>
        <v>0</v>
      </c>
      <c r="I15" s="13" t="s">
        <v>26</v>
      </c>
      <c r="J15" s="16">
        <v>8893.83</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3062120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727741</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12675123</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14255071.829999998</v>
      </c>
      <c r="L26" s="6"/>
      <c r="V26" s="9"/>
    </row>
    <row r="27" spans="1:22">
      <c r="A27" s="1" t="s">
        <v>47</v>
      </c>
      <c r="B27" s="6">
        <v>0</v>
      </c>
      <c r="C27" s="1">
        <v>0</v>
      </c>
      <c r="D27" s="1">
        <v>0</v>
      </c>
      <c r="E27" s="1">
        <v>0</v>
      </c>
      <c r="F27" s="1">
        <v>0</v>
      </c>
      <c r="G27" s="9">
        <f>SUM(MA_FINANCIAL)</f>
        <v>0</v>
      </c>
      <c r="I27" s="13" t="s">
        <v>48</v>
      </c>
      <c r="J27" s="16">
        <f>SUM(ALL_BLOCKS)</f>
        <v>14255071.83</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11141434.614007073</v>
      </c>
      <c r="C44" s="1">
        <v>3113637.2159929276</v>
      </c>
      <c r="D44" s="1">
        <v>0</v>
      </c>
      <c r="E44" s="1">
        <v>0</v>
      </c>
      <c r="F44" s="1">
        <v>0</v>
      </c>
      <c r="G44" s="9">
        <f>SUM(PA_FINANCIAL)</f>
        <v>14255071.83</v>
      </c>
      <c r="L44" s="6">
        <v>32000000</v>
      </c>
      <c r="M44" s="1">
        <v>0</v>
      </c>
      <c r="O44" s="1">
        <v>0</v>
      </c>
      <c r="P44" s="1">
        <v>0</v>
      </c>
      <c r="R44" s="1">
        <v>0</v>
      </c>
      <c r="S44" s="1">
        <v>0</v>
      </c>
      <c r="U44" s="1">
        <v>0</v>
      </c>
      <c r="V44" s="9">
        <v>0</v>
      </c>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11141434.614007073</v>
      </c>
      <c r="C60" s="1">
        <f>SUM(ALLOCATED)</f>
        <v>3113637.2159929276</v>
      </c>
      <c r="D60" s="1">
        <f>SUM(HEALTH)</f>
        <v>0</v>
      </c>
      <c r="E60" s="1">
        <f>SUM(UNALLOCATED)</f>
        <v>0</v>
      </c>
      <c r="F60" s="1">
        <f>SUM(LTC)</f>
        <v>0</v>
      </c>
      <c r="G60" s="9">
        <f>SUM(ALL_BLOCKS)</f>
        <v>14255071.83</v>
      </c>
      <c r="L60" s="6">
        <f>SUM(LIFE_CALLED)</f>
        <v>32000000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112</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11433673.264168786</v>
      </c>
      <c r="C6" s="1">
        <v>21120331.588112865</v>
      </c>
      <c r="D6" s="1">
        <v>0</v>
      </c>
      <c r="E6" s="1">
        <v>0</v>
      </c>
      <c r="F6" s="1">
        <v>0</v>
      </c>
      <c r="G6" s="9">
        <f>SUM(AL_FINANCIAL)</f>
        <v>32554004.852281652</v>
      </c>
      <c r="L6" s="6">
        <v>9940029</v>
      </c>
      <c r="M6" s="1">
        <v>0</v>
      </c>
      <c r="O6" s="1">
        <v>30931066</v>
      </c>
      <c r="P6" s="1">
        <v>0</v>
      </c>
      <c r="R6" s="1">
        <v>0</v>
      </c>
      <c r="S6" s="1">
        <v>0</v>
      </c>
      <c r="U6" s="1">
        <v>0</v>
      </c>
      <c r="V6" s="9">
        <v>0</v>
      </c>
    </row>
    <row r="7" spans="1:22">
      <c r="A7" s="1" t="s">
        <v>12</v>
      </c>
      <c r="B7" s="6">
        <v>526396.65680659597</v>
      </c>
      <c r="C7" s="1">
        <v>5515402.5178483725</v>
      </c>
      <c r="D7" s="1">
        <v>0</v>
      </c>
      <c r="E7" s="1">
        <v>0</v>
      </c>
      <c r="F7" s="1">
        <v>0</v>
      </c>
      <c r="G7" s="9">
        <f>SUM(AK_FINANCIAL)</f>
        <v>6041799.1746549681</v>
      </c>
      <c r="I7" s="12"/>
      <c r="J7" s="15"/>
      <c r="L7" s="6">
        <v>1345741</v>
      </c>
      <c r="M7" s="1">
        <v>0</v>
      </c>
      <c r="O7" s="1">
        <v>5975949</v>
      </c>
      <c r="P7" s="1">
        <v>0</v>
      </c>
      <c r="R7" s="1">
        <v>0</v>
      </c>
      <c r="S7" s="1">
        <v>0</v>
      </c>
      <c r="U7" s="1">
        <v>2422325</v>
      </c>
      <c r="V7" s="9">
        <v>0</v>
      </c>
    </row>
    <row r="8" spans="1:22">
      <c r="A8" s="1" t="s">
        <v>13</v>
      </c>
      <c r="B8" s="6">
        <v>17990460.262496457</v>
      </c>
      <c r="C8" s="1">
        <v>23046644.719817001</v>
      </c>
      <c r="D8" s="1">
        <v>0</v>
      </c>
      <c r="E8" s="1">
        <v>0</v>
      </c>
      <c r="F8" s="1">
        <v>0</v>
      </c>
      <c r="G8" s="9">
        <f>SUM(AZ_FINANCIAL)</f>
        <v>41037104.982313454</v>
      </c>
      <c r="I8" s="13" t="s">
        <v>14</v>
      </c>
      <c r="J8" s="16"/>
      <c r="L8" s="6">
        <v>31372236</v>
      </c>
      <c r="M8" s="1">
        <v>0</v>
      </c>
      <c r="O8" s="1">
        <v>24082717</v>
      </c>
      <c r="P8" s="1">
        <v>0</v>
      </c>
      <c r="R8" s="1">
        <v>0</v>
      </c>
      <c r="S8" s="1">
        <v>0</v>
      </c>
      <c r="U8" s="1">
        <v>0</v>
      </c>
      <c r="V8" s="9">
        <v>0</v>
      </c>
    </row>
    <row r="9" spans="1:22">
      <c r="A9" s="1" t="s">
        <v>15</v>
      </c>
      <c r="B9" s="6">
        <v>10281677.40010546</v>
      </c>
      <c r="C9" s="1">
        <v>5986028.8075743495</v>
      </c>
      <c r="D9" s="1">
        <v>0</v>
      </c>
      <c r="E9" s="1">
        <v>52674.93148616502</v>
      </c>
      <c r="F9" s="1">
        <v>0</v>
      </c>
      <c r="G9" s="9">
        <f>SUM(AR_FINANCIAL)</f>
        <v>16320381.139165973</v>
      </c>
      <c r="I9" s="13"/>
      <c r="J9" s="16"/>
      <c r="L9" s="6">
        <v>14808588</v>
      </c>
      <c r="M9" s="1">
        <v>0</v>
      </c>
      <c r="O9" s="1">
        <v>0</v>
      </c>
      <c r="P9" s="1">
        <v>0</v>
      </c>
      <c r="R9" s="1">
        <v>0</v>
      </c>
      <c r="S9" s="1">
        <v>0</v>
      </c>
      <c r="U9" s="1">
        <v>0</v>
      </c>
      <c r="V9" s="9">
        <v>0</v>
      </c>
    </row>
    <row r="10" spans="1:22">
      <c r="A10" s="1" t="s">
        <v>16</v>
      </c>
      <c r="B10" s="6">
        <v>266275553.85588318</v>
      </c>
      <c r="C10" s="1">
        <v>435777192.1218555</v>
      </c>
      <c r="D10" s="1">
        <v>0</v>
      </c>
      <c r="E10" s="1">
        <v>0</v>
      </c>
      <c r="F10" s="1">
        <v>0</v>
      </c>
      <c r="G10" s="9">
        <f>SUM(CA_FINANCIAL)</f>
        <v>702052745.97773862</v>
      </c>
      <c r="I10" s="13" t="s">
        <v>17</v>
      </c>
      <c r="J10" s="16">
        <v>5396920649.8563442</v>
      </c>
      <c r="L10" s="6">
        <v>255293661</v>
      </c>
      <c r="M10" s="1">
        <v>0</v>
      </c>
      <c r="O10" s="1">
        <v>441401833</v>
      </c>
      <c r="P10" s="1">
        <v>0</v>
      </c>
      <c r="R10" s="1">
        <v>0</v>
      </c>
      <c r="S10" s="1">
        <v>0</v>
      </c>
      <c r="U10" s="1">
        <v>0</v>
      </c>
      <c r="V10" s="9">
        <v>0</v>
      </c>
    </row>
    <row r="11" spans="1:22">
      <c r="A11" s="1" t="s">
        <v>18</v>
      </c>
      <c r="B11" s="6">
        <v>0</v>
      </c>
      <c r="C11" s="1">
        <v>0</v>
      </c>
      <c r="D11" s="1">
        <v>0</v>
      </c>
      <c r="E11" s="1">
        <v>0</v>
      </c>
      <c r="F11" s="1">
        <v>0</v>
      </c>
      <c r="G11" s="9">
        <f>SUM(CO_FINANCIAL)</f>
        <v>0</v>
      </c>
      <c r="I11" s="13"/>
      <c r="J11" s="16"/>
      <c r="L11" s="6">
        <v>170383</v>
      </c>
      <c r="M11" s="1">
        <v>0</v>
      </c>
      <c r="O11" s="1">
        <v>82023</v>
      </c>
      <c r="P11" s="1">
        <v>0</v>
      </c>
      <c r="R11" s="1">
        <v>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3936196.1531491457</v>
      </c>
      <c r="C13" s="1">
        <v>4014274.9710105238</v>
      </c>
      <c r="D13" s="1">
        <v>0</v>
      </c>
      <c r="E13" s="1">
        <v>102184.9909383966</v>
      </c>
      <c r="F13" s="1">
        <v>0</v>
      </c>
      <c r="G13" s="9">
        <f>SUM(DE_FINANCIAL)</f>
        <v>8052656.1150980657</v>
      </c>
      <c r="I13" s="13" t="s">
        <v>22</v>
      </c>
      <c r="J13" s="16">
        <v>0</v>
      </c>
      <c r="L13" s="6">
        <v>4309600</v>
      </c>
      <c r="M13" s="1">
        <v>0</v>
      </c>
      <c r="O13" s="1">
        <v>3612400</v>
      </c>
      <c r="P13" s="1">
        <v>0</v>
      </c>
      <c r="R13" s="1">
        <v>0</v>
      </c>
      <c r="S13" s="1">
        <v>0</v>
      </c>
      <c r="U13" s="1">
        <v>0</v>
      </c>
      <c r="V13" s="9">
        <v>0</v>
      </c>
    </row>
    <row r="14" spans="1:22">
      <c r="A14" s="1" t="s">
        <v>23</v>
      </c>
      <c r="B14" s="6">
        <v>0</v>
      </c>
      <c r="C14" s="1">
        <v>0</v>
      </c>
      <c r="D14" s="1">
        <v>0</v>
      </c>
      <c r="E14" s="1">
        <v>0</v>
      </c>
      <c r="F14" s="1">
        <v>0</v>
      </c>
      <c r="G14" s="9">
        <f>SUM(DC_FINANCIAL)</f>
        <v>0</v>
      </c>
      <c r="I14" s="13" t="s">
        <v>24</v>
      </c>
      <c r="J14" s="16">
        <v>0</v>
      </c>
      <c r="L14" s="6"/>
      <c r="V14" s="9"/>
    </row>
    <row r="15" spans="1:22">
      <c r="A15" s="1" t="s">
        <v>25</v>
      </c>
      <c r="B15" s="6">
        <v>96036079.810984433</v>
      </c>
      <c r="C15" s="1">
        <v>103068897.10385188</v>
      </c>
      <c r="D15" s="1">
        <v>0</v>
      </c>
      <c r="E15" s="1">
        <v>0</v>
      </c>
      <c r="F15" s="1">
        <v>0</v>
      </c>
      <c r="G15" s="9">
        <f>SUM(FL_FINANCIAL)</f>
        <v>199104976.91483632</v>
      </c>
      <c r="I15" s="13" t="s">
        <v>26</v>
      </c>
      <c r="J15" s="16">
        <v>60978016.720791504</v>
      </c>
      <c r="L15" s="6">
        <v>87789821</v>
      </c>
      <c r="M15" s="1">
        <v>0</v>
      </c>
      <c r="O15" s="1">
        <v>73201598</v>
      </c>
      <c r="P15" s="1">
        <v>0</v>
      </c>
      <c r="R15" s="1">
        <v>0</v>
      </c>
      <c r="S15" s="1">
        <v>0</v>
      </c>
      <c r="U15" s="1">
        <v>0</v>
      </c>
      <c r="V15" s="9">
        <v>0</v>
      </c>
    </row>
    <row r="16" spans="1:22">
      <c r="A16" s="1" t="s">
        <v>27</v>
      </c>
      <c r="B16" s="6">
        <v>25783950.417060021</v>
      </c>
      <c r="C16" s="1">
        <v>23574284.99776284</v>
      </c>
      <c r="D16" s="1">
        <v>0</v>
      </c>
      <c r="E16" s="1">
        <v>2293198.2141744946</v>
      </c>
      <c r="F16" s="1">
        <v>0</v>
      </c>
      <c r="G16" s="9">
        <f>SUM(GA_FINANCIAL)</f>
        <v>51651433.628997356</v>
      </c>
      <c r="I16" s="13" t="s">
        <v>28</v>
      </c>
      <c r="J16" s="16">
        <v>2276931.2479975102</v>
      </c>
      <c r="L16" s="6">
        <v>28136713</v>
      </c>
      <c r="M16" s="1">
        <v>0</v>
      </c>
      <c r="O16" s="1">
        <v>21179159</v>
      </c>
      <c r="P16" s="1">
        <v>-1835.55</v>
      </c>
      <c r="R16" s="1">
        <v>0</v>
      </c>
      <c r="S16" s="1">
        <v>0</v>
      </c>
      <c r="U16" s="1">
        <v>2823555</v>
      </c>
      <c r="V16" s="9">
        <v>-30473.18</v>
      </c>
    </row>
    <row r="17" spans="1:22">
      <c r="A17" s="1" t="s">
        <v>29</v>
      </c>
      <c r="B17" s="6">
        <v>25804135.750894759</v>
      </c>
      <c r="C17" s="1">
        <v>16525564.915323414</v>
      </c>
      <c r="D17" s="1">
        <v>0</v>
      </c>
      <c r="E17" s="1">
        <v>0</v>
      </c>
      <c r="F17" s="1">
        <v>0</v>
      </c>
      <c r="G17" s="9">
        <f>SUM(HI_FINANCIAL)</f>
        <v>42329700.666218176</v>
      </c>
      <c r="I17" s="13"/>
      <c r="J17" s="16"/>
      <c r="L17" s="6">
        <v>17380590</v>
      </c>
      <c r="M17" s="1">
        <v>0</v>
      </c>
      <c r="O17" s="1">
        <v>18866415</v>
      </c>
      <c r="P17" s="1">
        <v>4340797</v>
      </c>
      <c r="R17" s="1">
        <v>0</v>
      </c>
      <c r="S17" s="1">
        <v>0</v>
      </c>
      <c r="U17" s="1">
        <v>0</v>
      </c>
      <c r="V17" s="9">
        <v>0</v>
      </c>
    </row>
    <row r="18" spans="1:22">
      <c r="A18" s="1" t="s">
        <v>30</v>
      </c>
      <c r="B18" s="6">
        <v>7545765.9584105294</v>
      </c>
      <c r="C18" s="1">
        <v>8025174.5070888214</v>
      </c>
      <c r="D18" s="1">
        <v>0</v>
      </c>
      <c r="E18" s="1">
        <v>0</v>
      </c>
      <c r="F18" s="1">
        <v>0</v>
      </c>
      <c r="G18" s="9">
        <f>SUM(ID_FINANCIAL)</f>
        <v>15570940.465499351</v>
      </c>
      <c r="I18" s="13" t="s">
        <v>31</v>
      </c>
      <c r="J18" s="16"/>
      <c r="L18" s="6">
        <v>5900065</v>
      </c>
      <c r="M18" s="1">
        <v>0</v>
      </c>
      <c r="O18" s="1">
        <v>5870051</v>
      </c>
      <c r="P18" s="1">
        <v>0</v>
      </c>
      <c r="R18" s="1">
        <v>0</v>
      </c>
      <c r="S18" s="1">
        <v>0</v>
      </c>
      <c r="U18" s="1">
        <v>0</v>
      </c>
      <c r="V18" s="9">
        <v>0</v>
      </c>
    </row>
    <row r="19" spans="1:22">
      <c r="A19" s="1" t="s">
        <v>32</v>
      </c>
      <c r="B19" s="6">
        <v>73179949.036939889</v>
      </c>
      <c r="C19" s="1">
        <v>103003208.34547551</v>
      </c>
      <c r="D19" s="1">
        <v>0</v>
      </c>
      <c r="E19" s="1">
        <v>6444681.7381929131</v>
      </c>
      <c r="F19" s="1">
        <v>0</v>
      </c>
      <c r="G19" s="9">
        <f>SUM(IL_FINANCIAL)</f>
        <v>182627839.12060833</v>
      </c>
      <c r="I19" s="13" t="s">
        <v>33</v>
      </c>
      <c r="J19" s="16">
        <v>2380406620.2048478</v>
      </c>
      <c r="L19" s="6">
        <v>95382738</v>
      </c>
      <c r="M19" s="1">
        <v>0</v>
      </c>
      <c r="O19" s="1">
        <v>85736147</v>
      </c>
      <c r="P19" s="1">
        <v>28000000</v>
      </c>
      <c r="R19" s="1">
        <v>0</v>
      </c>
      <c r="S19" s="1">
        <v>0</v>
      </c>
      <c r="U19" s="1">
        <v>31410410</v>
      </c>
      <c r="V19" s="9">
        <v>20700000</v>
      </c>
    </row>
    <row r="20" spans="1:22">
      <c r="A20" s="1" t="s">
        <v>34</v>
      </c>
      <c r="B20" s="6">
        <v>14328621.661574464</v>
      </c>
      <c r="C20" s="1">
        <v>26552918.839935172</v>
      </c>
      <c r="D20" s="1">
        <v>0</v>
      </c>
      <c r="E20" s="1">
        <v>13215.841206865674</v>
      </c>
      <c r="F20" s="1">
        <v>0</v>
      </c>
      <c r="G20" s="9">
        <f>SUM(IN_FINANCIAL)</f>
        <v>40894756.3427165</v>
      </c>
      <c r="I20" s="13" t="s">
        <v>35</v>
      </c>
      <c r="J20" s="16">
        <v>2276931.2479975102</v>
      </c>
      <c r="L20" s="6">
        <v>4229436</v>
      </c>
      <c r="M20" s="1">
        <v>0</v>
      </c>
      <c r="O20" s="1">
        <v>11393625</v>
      </c>
      <c r="P20" s="1">
        <v>4999960</v>
      </c>
      <c r="R20" s="1">
        <v>0</v>
      </c>
      <c r="S20" s="1">
        <v>0</v>
      </c>
      <c r="U20" s="1">
        <v>0</v>
      </c>
      <c r="V20" s="9">
        <v>0</v>
      </c>
    </row>
    <row r="21" spans="1:22">
      <c r="A21" s="1" t="s">
        <v>36</v>
      </c>
      <c r="B21" s="6">
        <v>12381644.627047447</v>
      </c>
      <c r="C21" s="1">
        <v>20865625.862980489</v>
      </c>
      <c r="D21" s="1">
        <v>0</v>
      </c>
      <c r="E21" s="1">
        <v>40302.966181090036</v>
      </c>
      <c r="F21" s="1">
        <v>0</v>
      </c>
      <c r="G21" s="9">
        <f>SUM(IA_FINANCIAL)</f>
        <v>33287573.456209023</v>
      </c>
      <c r="I21" s="13" t="s">
        <v>37</v>
      </c>
      <c r="J21" s="16"/>
      <c r="L21" s="6">
        <v>9282570</v>
      </c>
      <c r="M21" s="1">
        <v>0</v>
      </c>
      <c r="O21" s="1">
        <v>13042799</v>
      </c>
      <c r="P21" s="1">
        <v>0</v>
      </c>
      <c r="R21" s="1">
        <v>0</v>
      </c>
      <c r="S21" s="1">
        <v>0</v>
      </c>
      <c r="U21" s="1">
        <v>0</v>
      </c>
      <c r="V21" s="9">
        <v>0</v>
      </c>
    </row>
    <row r="22" spans="1:22">
      <c r="A22" s="1" t="s">
        <v>38</v>
      </c>
      <c r="B22" s="6">
        <v>23660823.727400996</v>
      </c>
      <c r="C22" s="1">
        <v>10406581.89397667</v>
      </c>
      <c r="D22" s="1">
        <v>0</v>
      </c>
      <c r="E22" s="1">
        <v>0</v>
      </c>
      <c r="F22" s="1">
        <v>0</v>
      </c>
      <c r="G22" s="9">
        <f>SUM(KS_FINANCIAL)</f>
        <v>34067405.621377662</v>
      </c>
      <c r="I22" s="13" t="s">
        <v>39</v>
      </c>
      <c r="J22" s="16">
        <v>0</v>
      </c>
      <c r="L22" s="6">
        <v>21735000</v>
      </c>
      <c r="M22" s="1">
        <v>0</v>
      </c>
      <c r="O22" s="1">
        <v>8915000</v>
      </c>
      <c r="P22" s="1">
        <v>0</v>
      </c>
      <c r="R22" s="1">
        <v>0</v>
      </c>
      <c r="S22" s="1">
        <v>0</v>
      </c>
      <c r="U22" s="1">
        <v>0</v>
      </c>
      <c r="V22" s="9">
        <v>0</v>
      </c>
    </row>
    <row r="23" spans="1:22">
      <c r="A23" s="1" t="s">
        <v>40</v>
      </c>
      <c r="B23" s="6">
        <v>12604621.376060793</v>
      </c>
      <c r="C23" s="1">
        <v>22036974.724497624</v>
      </c>
      <c r="D23" s="1">
        <v>0</v>
      </c>
      <c r="E23" s="1">
        <v>0</v>
      </c>
      <c r="F23" s="1">
        <v>0</v>
      </c>
      <c r="G23" s="9">
        <f>SUM(KY_FINANCIAL)</f>
        <v>34641596.100558415</v>
      </c>
      <c r="I23" s="13" t="s">
        <v>41</v>
      </c>
      <c r="J23" s="16"/>
      <c r="L23" s="6">
        <v>14222783</v>
      </c>
      <c r="M23" s="1">
        <v>500000</v>
      </c>
      <c r="O23" s="1">
        <v>21088959</v>
      </c>
      <c r="P23" s="1">
        <v>0</v>
      </c>
      <c r="R23" s="1">
        <v>0</v>
      </c>
      <c r="S23" s="1">
        <v>0</v>
      </c>
      <c r="U23" s="1">
        <v>0</v>
      </c>
      <c r="V23" s="9">
        <v>0</v>
      </c>
    </row>
    <row r="24" spans="1:22">
      <c r="A24" s="1" t="s">
        <v>42</v>
      </c>
      <c r="B24" s="6">
        <v>0</v>
      </c>
      <c r="C24" s="1">
        <v>0</v>
      </c>
      <c r="D24" s="1">
        <v>0</v>
      </c>
      <c r="E24" s="1">
        <v>0</v>
      </c>
      <c r="F24" s="1">
        <v>0</v>
      </c>
      <c r="G24" s="9">
        <f>SUM(LA_FINANCIAL)</f>
        <v>0</v>
      </c>
      <c r="I24" s="13" t="s">
        <v>43</v>
      </c>
      <c r="J24" s="16">
        <v>222144610.15607694</v>
      </c>
      <c r="L24" s="6"/>
      <c r="V24" s="9"/>
    </row>
    <row r="25" spans="1:22">
      <c r="A25" s="1" t="s">
        <v>44</v>
      </c>
      <c r="B25" s="6">
        <v>0</v>
      </c>
      <c r="C25" s="1">
        <v>0</v>
      </c>
      <c r="D25" s="1">
        <v>0</v>
      </c>
      <c r="E25" s="1">
        <v>0</v>
      </c>
      <c r="F25" s="1">
        <v>0</v>
      </c>
      <c r="G25" s="9">
        <f>SUM(ME_FINANCIAL)</f>
        <v>0</v>
      </c>
      <c r="I25" s="13"/>
      <c r="J25" s="16"/>
      <c r="L25" s="6"/>
      <c r="V25" s="9"/>
    </row>
    <row r="26" spans="1:22">
      <c r="A26" s="1" t="s">
        <v>45</v>
      </c>
      <c r="B26" s="6">
        <v>17836136.839273378</v>
      </c>
      <c r="C26" s="1">
        <v>20100365.264329869</v>
      </c>
      <c r="D26" s="1">
        <v>0</v>
      </c>
      <c r="E26" s="1">
        <v>5663068.8783481978</v>
      </c>
      <c r="F26" s="1">
        <v>0</v>
      </c>
      <c r="G26" s="9">
        <f>SUM(MD_FINANCIAL)</f>
        <v>43599570.981951445</v>
      </c>
      <c r="I26" s="13" t="s">
        <v>46</v>
      </c>
      <c r="J26" s="16">
        <f>SUM(ADD_FINANCIAL)-SUM(LESS_FINANCIAL)</f>
        <v>2855347436.2162113</v>
      </c>
      <c r="L26" s="6">
        <v>28789000</v>
      </c>
      <c r="M26" s="1">
        <v>0</v>
      </c>
      <c r="O26" s="1">
        <v>18621000</v>
      </c>
      <c r="P26" s="1">
        <v>0</v>
      </c>
      <c r="R26" s="1">
        <v>0</v>
      </c>
      <c r="S26" s="1">
        <v>0</v>
      </c>
      <c r="U26" s="1">
        <v>0</v>
      </c>
      <c r="V26" s="9">
        <v>0</v>
      </c>
    </row>
    <row r="27" spans="1:22">
      <c r="A27" s="1" t="s">
        <v>47</v>
      </c>
      <c r="B27" s="6">
        <v>40517923.853571542</v>
      </c>
      <c r="C27" s="1">
        <v>41601098.204507932</v>
      </c>
      <c r="D27" s="1">
        <v>0</v>
      </c>
      <c r="E27" s="1">
        <v>0</v>
      </c>
      <c r="F27" s="1">
        <v>0</v>
      </c>
      <c r="G27" s="9">
        <f>SUM(MA_FINANCIAL)</f>
        <v>82119022.058079481</v>
      </c>
      <c r="I27" s="13" t="s">
        <v>48</v>
      </c>
      <c r="J27" s="16">
        <f>SUM(ALL_BLOCKS)</f>
        <v>2855347436.2162123</v>
      </c>
      <c r="L27" s="6">
        <v>39790000</v>
      </c>
      <c r="M27" s="1">
        <v>0</v>
      </c>
      <c r="O27" s="1">
        <v>32040000</v>
      </c>
      <c r="P27" s="1">
        <v>0</v>
      </c>
      <c r="R27" s="1">
        <v>0</v>
      </c>
      <c r="S27" s="1">
        <v>0</v>
      </c>
      <c r="U27" s="1">
        <v>0</v>
      </c>
      <c r="V27" s="9">
        <v>0</v>
      </c>
    </row>
    <row r="28" spans="1:22">
      <c r="A28" s="1" t="s">
        <v>49</v>
      </c>
      <c r="B28" s="6">
        <v>-884.37959752282268</v>
      </c>
      <c r="C28" s="1">
        <v>0</v>
      </c>
      <c r="D28" s="1">
        <v>0</v>
      </c>
      <c r="E28" s="1">
        <v>-57716.199793180684</v>
      </c>
      <c r="F28" s="1">
        <v>0</v>
      </c>
      <c r="G28" s="9">
        <f>SUM(MI_FINANCIAL)</f>
        <v>-58600.579390703504</v>
      </c>
      <c r="I28" s="14"/>
      <c r="J28" s="17"/>
      <c r="L28" s="6"/>
      <c r="V28" s="9"/>
    </row>
    <row r="29" spans="1:22">
      <c r="A29" s="1" t="s">
        <v>50</v>
      </c>
      <c r="B29" s="6">
        <v>13836731.562309379</v>
      </c>
      <c r="C29" s="1">
        <v>34202632.588700473</v>
      </c>
      <c r="D29" s="1">
        <v>0</v>
      </c>
      <c r="E29" s="1">
        <v>10447.45015925189</v>
      </c>
      <c r="F29" s="1">
        <v>0</v>
      </c>
      <c r="G29" s="9">
        <f>SUM(MN_FINANCIAL)</f>
        <v>48049811.601169102</v>
      </c>
      <c r="L29" s="6">
        <v>10500000</v>
      </c>
      <c r="M29" s="1">
        <v>0</v>
      </c>
      <c r="O29" s="1">
        <v>66672000</v>
      </c>
      <c r="P29" s="1">
        <v>11009268</v>
      </c>
      <c r="R29" s="1">
        <v>0</v>
      </c>
      <c r="S29" s="1">
        <v>0</v>
      </c>
      <c r="U29" s="1">
        <v>0</v>
      </c>
      <c r="V29" s="9">
        <v>0</v>
      </c>
    </row>
    <row r="30" spans="1:22">
      <c r="A30" s="1" t="s">
        <v>51</v>
      </c>
      <c r="B30" s="6">
        <v>18654559.847984582</v>
      </c>
      <c r="C30" s="1">
        <v>5514902.5469908053</v>
      </c>
      <c r="D30" s="1">
        <v>0</v>
      </c>
      <c r="E30" s="1">
        <v>94520.342999325585</v>
      </c>
      <c r="F30" s="1">
        <v>0</v>
      </c>
      <c r="G30" s="9">
        <f>SUM(MS_FINANCIAL)</f>
        <v>24263982.737974711</v>
      </c>
      <c r="L30" s="6">
        <v>13331639</v>
      </c>
      <c r="M30" s="1">
        <v>0</v>
      </c>
      <c r="O30" s="1">
        <v>3571718</v>
      </c>
      <c r="P30" s="1">
        <v>0</v>
      </c>
      <c r="R30" s="1">
        <v>0</v>
      </c>
      <c r="S30" s="1">
        <v>0</v>
      </c>
      <c r="U30" s="1">
        <v>46643</v>
      </c>
      <c r="V30" s="9">
        <v>0</v>
      </c>
    </row>
    <row r="31" spans="1:22">
      <c r="A31" s="1" t="s">
        <v>52</v>
      </c>
      <c r="B31" s="6">
        <v>55450764.934395351</v>
      </c>
      <c r="C31" s="1">
        <v>25050552.569258448</v>
      </c>
      <c r="D31" s="1">
        <v>0</v>
      </c>
      <c r="E31" s="1">
        <v>0</v>
      </c>
      <c r="F31" s="1">
        <v>0</v>
      </c>
      <c r="G31" s="9">
        <f>SUM(MO_FINANCIAL)</f>
        <v>80501317.503653795</v>
      </c>
      <c r="L31" s="6">
        <v>41425043</v>
      </c>
      <c r="M31" s="1">
        <v>0</v>
      </c>
      <c r="O31" s="1">
        <v>16458673</v>
      </c>
      <c r="P31" s="1">
        <v>0</v>
      </c>
      <c r="R31" s="1">
        <v>0</v>
      </c>
      <c r="S31" s="1">
        <v>0</v>
      </c>
      <c r="U31" s="1">
        <v>0</v>
      </c>
      <c r="V31" s="9">
        <v>0</v>
      </c>
    </row>
    <row r="32" spans="1:22">
      <c r="A32" s="1" t="s">
        <v>53</v>
      </c>
      <c r="B32" s="6">
        <v>3545003.582812191</v>
      </c>
      <c r="C32" s="1">
        <v>3582526.545334124</v>
      </c>
      <c r="D32" s="1">
        <v>0</v>
      </c>
      <c r="E32" s="1">
        <v>0</v>
      </c>
      <c r="F32" s="1">
        <v>0</v>
      </c>
      <c r="G32" s="9">
        <f>SUM(MT_FINANCIAL)</f>
        <v>7127530.128146315</v>
      </c>
      <c r="L32" s="6">
        <v>2454678</v>
      </c>
      <c r="M32" s="1">
        <v>0</v>
      </c>
      <c r="O32" s="1">
        <v>2585676</v>
      </c>
      <c r="P32" s="1">
        <v>0</v>
      </c>
      <c r="R32" s="1">
        <v>0</v>
      </c>
      <c r="S32" s="1">
        <v>0</v>
      </c>
      <c r="U32" s="1">
        <v>0</v>
      </c>
      <c r="V32" s="9">
        <v>0</v>
      </c>
    </row>
    <row r="33" spans="1:22">
      <c r="A33" s="1" t="s">
        <v>54</v>
      </c>
      <c r="B33" s="6">
        <v>9999971.1671589352</v>
      </c>
      <c r="C33" s="1">
        <v>6654614.1287047053</v>
      </c>
      <c r="D33" s="1">
        <v>0</v>
      </c>
      <c r="E33" s="1">
        <v>0</v>
      </c>
      <c r="F33" s="1">
        <v>0</v>
      </c>
      <c r="G33" s="9">
        <f>SUM(NE_FINANCIAL)</f>
        <v>16654585.29586364</v>
      </c>
      <c r="L33" s="6">
        <v>5041500</v>
      </c>
      <c r="M33" s="1">
        <v>0</v>
      </c>
      <c r="O33" s="1">
        <v>4885766</v>
      </c>
      <c r="P33" s="1">
        <v>0</v>
      </c>
      <c r="R33" s="1">
        <v>0</v>
      </c>
      <c r="S33" s="1">
        <v>0</v>
      </c>
      <c r="U33" s="1">
        <v>0</v>
      </c>
      <c r="V33" s="9">
        <v>0</v>
      </c>
    </row>
    <row r="34" spans="1:22">
      <c r="A34" s="1" t="s">
        <v>55</v>
      </c>
      <c r="B34" s="6">
        <v>11967471.053485895</v>
      </c>
      <c r="C34" s="1">
        <v>6934213.505676589</v>
      </c>
      <c r="D34" s="1">
        <v>0</v>
      </c>
      <c r="E34" s="1">
        <v>0</v>
      </c>
      <c r="F34" s="1">
        <v>0</v>
      </c>
      <c r="G34" s="9">
        <f>SUM(NV_FINANCIAL)</f>
        <v>18901684.559162483</v>
      </c>
      <c r="L34" s="6">
        <v>8682027</v>
      </c>
      <c r="M34" s="1">
        <v>0</v>
      </c>
      <c r="O34" s="1">
        <v>4989049</v>
      </c>
      <c r="P34" s="1">
        <v>0</v>
      </c>
      <c r="R34" s="1">
        <v>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19899374.866273295</v>
      </c>
      <c r="C36" s="1">
        <v>50201255.597021461</v>
      </c>
      <c r="D36" s="1">
        <v>0</v>
      </c>
      <c r="E36" s="1">
        <v>1127099.4618560167</v>
      </c>
      <c r="F36" s="1">
        <v>0</v>
      </c>
      <c r="G36" s="9">
        <f>SUM(NJ_FINANCIAL)</f>
        <v>71227729.925150782</v>
      </c>
      <c r="L36" s="6">
        <v>26960487</v>
      </c>
      <c r="M36" s="1">
        <v>1500000</v>
      </c>
      <c r="O36" s="1">
        <v>51081463</v>
      </c>
      <c r="P36" s="1">
        <v>4500000</v>
      </c>
      <c r="R36" s="1">
        <v>0</v>
      </c>
      <c r="S36" s="1">
        <v>0</v>
      </c>
      <c r="U36" s="1">
        <v>1200000</v>
      </c>
      <c r="V36" s="9">
        <v>0</v>
      </c>
    </row>
    <row r="37" spans="1:22">
      <c r="A37" s="1" t="s">
        <v>58</v>
      </c>
      <c r="B37" s="6">
        <v>4481696.4000558583</v>
      </c>
      <c r="C37" s="1">
        <v>7836637.2531736549</v>
      </c>
      <c r="D37" s="1">
        <v>0</v>
      </c>
      <c r="E37" s="1">
        <v>0</v>
      </c>
      <c r="F37" s="1">
        <v>0</v>
      </c>
      <c r="G37" s="9">
        <f>SUM(NM_FINANCIAL)</f>
        <v>12318333.653229512</v>
      </c>
      <c r="L37" s="6">
        <v>2300000</v>
      </c>
      <c r="M37" s="1">
        <v>0</v>
      </c>
      <c r="O37" s="1">
        <v>5048618</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30412652.080178265</v>
      </c>
      <c r="C39" s="1">
        <v>66638290.59047623</v>
      </c>
      <c r="D39" s="1">
        <v>0</v>
      </c>
      <c r="E39" s="1">
        <v>0</v>
      </c>
      <c r="F39" s="1">
        <v>0</v>
      </c>
      <c r="G39" s="9">
        <f>SUM(NC_FINANCIAL)</f>
        <v>97050942.670654491</v>
      </c>
      <c r="L39" s="6">
        <v>31995417</v>
      </c>
      <c r="M39" s="1">
        <v>0</v>
      </c>
      <c r="O39" s="1">
        <v>145004583</v>
      </c>
      <c r="P39" s="1">
        <v>0</v>
      </c>
      <c r="R39" s="1">
        <v>0</v>
      </c>
      <c r="S39" s="1">
        <v>0</v>
      </c>
      <c r="U39" s="1">
        <v>0</v>
      </c>
      <c r="V39" s="9">
        <v>0</v>
      </c>
    </row>
    <row r="40" spans="1:22">
      <c r="A40" s="1" t="s">
        <v>61</v>
      </c>
      <c r="B40" s="6">
        <v>3234845.0345805222</v>
      </c>
      <c r="C40" s="1">
        <v>4900074.3232136229</v>
      </c>
      <c r="D40" s="1">
        <v>0</v>
      </c>
      <c r="E40" s="1">
        <v>29121.126982202684</v>
      </c>
      <c r="F40" s="1">
        <v>0</v>
      </c>
      <c r="G40" s="9">
        <f>SUM(ND_FINANCIAL)</f>
        <v>8164040.4847763479</v>
      </c>
      <c r="L40" s="6">
        <v>1520309</v>
      </c>
      <c r="M40" s="1">
        <v>0</v>
      </c>
      <c r="O40" s="1">
        <v>1893127</v>
      </c>
      <c r="P40" s="1">
        <v>0</v>
      </c>
      <c r="R40" s="1">
        <v>0</v>
      </c>
      <c r="S40" s="1">
        <v>0</v>
      </c>
      <c r="U40" s="1">
        <v>37848</v>
      </c>
      <c r="V40" s="9">
        <v>0</v>
      </c>
    </row>
    <row r="41" spans="1:22">
      <c r="A41" s="1" t="s">
        <v>62</v>
      </c>
      <c r="B41" s="6">
        <v>27927606.491089106</v>
      </c>
      <c r="C41" s="1">
        <v>36251574.852526002</v>
      </c>
      <c r="D41" s="1">
        <v>0</v>
      </c>
      <c r="E41" s="1">
        <v>1843701.3970324255</v>
      </c>
      <c r="F41" s="1">
        <v>0</v>
      </c>
      <c r="G41" s="9">
        <f>SUM(OH_FINANCIAL)</f>
        <v>66022882.740647532</v>
      </c>
      <c r="L41" s="6">
        <v>16675000</v>
      </c>
      <c r="M41" s="1">
        <v>0</v>
      </c>
      <c r="O41" s="1">
        <v>19400000</v>
      </c>
      <c r="P41" s="1">
        <v>0</v>
      </c>
      <c r="R41" s="1">
        <v>0</v>
      </c>
      <c r="S41" s="1">
        <v>0</v>
      </c>
      <c r="U41" s="1">
        <v>1625000</v>
      </c>
      <c r="V41" s="9">
        <v>0</v>
      </c>
    </row>
    <row r="42" spans="1:22">
      <c r="A42" s="1" t="s">
        <v>63</v>
      </c>
      <c r="B42" s="6">
        <v>10568640.570108099</v>
      </c>
      <c r="C42" s="1">
        <v>17995169.90447804</v>
      </c>
      <c r="D42" s="1">
        <v>0</v>
      </c>
      <c r="E42" s="1">
        <v>0</v>
      </c>
      <c r="F42" s="1">
        <v>0</v>
      </c>
      <c r="G42" s="9">
        <f>SUM(OK_FINANCIAL)</f>
        <v>28563810.474586137</v>
      </c>
      <c r="L42" s="6">
        <v>11117110</v>
      </c>
      <c r="M42" s="1">
        <v>0</v>
      </c>
      <c r="O42" s="1">
        <v>16908490</v>
      </c>
      <c r="P42" s="1">
        <v>0</v>
      </c>
      <c r="R42" s="1">
        <v>0</v>
      </c>
      <c r="S42" s="1">
        <v>0</v>
      </c>
      <c r="U42" s="1">
        <v>0</v>
      </c>
      <c r="V42" s="9">
        <v>0</v>
      </c>
    </row>
    <row r="43" spans="1:22">
      <c r="A43" s="1" t="s">
        <v>64</v>
      </c>
      <c r="B43" s="6">
        <v>14991771.48004359</v>
      </c>
      <c r="C43" s="1">
        <v>16815852.849854901</v>
      </c>
      <c r="D43" s="1">
        <v>0</v>
      </c>
      <c r="E43" s="1">
        <v>0</v>
      </c>
      <c r="F43" s="1">
        <v>0</v>
      </c>
      <c r="G43" s="9">
        <f>SUM(OR_FINANCIAL)</f>
        <v>31807624.329898492</v>
      </c>
      <c r="L43" s="6">
        <v>11282594</v>
      </c>
      <c r="M43" s="1">
        <v>0</v>
      </c>
      <c r="O43" s="1">
        <v>15986796</v>
      </c>
      <c r="P43" s="1">
        <v>0</v>
      </c>
      <c r="R43" s="1">
        <v>0</v>
      </c>
      <c r="S43" s="1">
        <v>0</v>
      </c>
      <c r="U43" s="1">
        <v>0</v>
      </c>
      <c r="V43" s="9">
        <v>0</v>
      </c>
    </row>
    <row r="44" spans="1:22">
      <c r="A44" s="1" t="s">
        <v>65</v>
      </c>
      <c r="B44" s="6">
        <v>44213770.711497009</v>
      </c>
      <c r="C44" s="1">
        <v>164064930.81177235</v>
      </c>
      <c r="D44" s="1">
        <v>0</v>
      </c>
      <c r="E44" s="1">
        <v>0</v>
      </c>
      <c r="F44" s="1">
        <v>0</v>
      </c>
      <c r="G44" s="9">
        <f>SUM(PA_FINANCIAL)</f>
        <v>208278701.52326936</v>
      </c>
      <c r="L44" s="6">
        <v>18000000</v>
      </c>
      <c r="M44" s="1">
        <v>0</v>
      </c>
      <c r="O44" s="1">
        <v>137986288</v>
      </c>
      <c r="P44" s="1">
        <v>0</v>
      </c>
      <c r="R44" s="1">
        <v>0</v>
      </c>
      <c r="S44" s="1">
        <v>0</v>
      </c>
      <c r="U44" s="1">
        <v>0</v>
      </c>
      <c r="V44" s="9">
        <v>0</v>
      </c>
    </row>
    <row r="45" spans="1:22">
      <c r="A45" s="1" t="s">
        <v>66</v>
      </c>
      <c r="B45" s="6">
        <v>557565.75981095631</v>
      </c>
      <c r="C45" s="1">
        <v>435793.29096051014</v>
      </c>
      <c r="D45" s="1">
        <v>0</v>
      </c>
      <c r="E45" s="1">
        <v>0</v>
      </c>
      <c r="F45" s="1">
        <v>0</v>
      </c>
      <c r="G45" s="9">
        <f>SUM(PR_FINANCIAL)</f>
        <v>993359.05077146646</v>
      </c>
      <c r="L45" s="6">
        <v>541527</v>
      </c>
      <c r="M45" s="1">
        <v>0</v>
      </c>
      <c r="O45" s="1">
        <v>387497</v>
      </c>
      <c r="P45" s="1">
        <v>0</v>
      </c>
      <c r="R45" s="1">
        <v>0</v>
      </c>
      <c r="S45" s="1">
        <v>0</v>
      </c>
      <c r="U45" s="1">
        <v>0</v>
      </c>
      <c r="V45" s="9">
        <v>0</v>
      </c>
    </row>
    <row r="46" spans="1:22">
      <c r="A46" s="1" t="s">
        <v>67</v>
      </c>
      <c r="B46" s="6">
        <v>3126467.5415230524</v>
      </c>
      <c r="C46" s="1">
        <v>21268831.695870373</v>
      </c>
      <c r="D46" s="1">
        <v>0</v>
      </c>
      <c r="E46" s="1">
        <v>0</v>
      </c>
      <c r="F46" s="1">
        <v>0</v>
      </c>
      <c r="G46" s="9">
        <f>SUM(RI_FINANCIAL)</f>
        <v>24395299.237393424</v>
      </c>
      <c r="L46" s="6">
        <v>2512564</v>
      </c>
      <c r="M46" s="1">
        <v>0</v>
      </c>
      <c r="O46" s="1">
        <v>17879165</v>
      </c>
      <c r="P46" s="1">
        <v>0</v>
      </c>
      <c r="R46" s="1">
        <v>0</v>
      </c>
      <c r="S46" s="1">
        <v>0</v>
      </c>
      <c r="U46" s="1">
        <v>0</v>
      </c>
      <c r="V46" s="9">
        <v>0</v>
      </c>
    </row>
    <row r="47" spans="1:22">
      <c r="A47" s="1" t="s">
        <v>68</v>
      </c>
      <c r="B47" s="6">
        <v>16609531.887590747</v>
      </c>
      <c r="C47" s="1">
        <v>21370044.820722491</v>
      </c>
      <c r="D47" s="1">
        <v>0</v>
      </c>
      <c r="E47" s="1">
        <v>0</v>
      </c>
      <c r="F47" s="1">
        <v>0</v>
      </c>
      <c r="G47" s="9">
        <f>SUM(SC_FINANCIAL)</f>
        <v>37979576.708313242</v>
      </c>
      <c r="L47" s="6">
        <v>13861881</v>
      </c>
      <c r="M47" s="1">
        <v>0</v>
      </c>
      <c r="O47" s="1">
        <v>16058421</v>
      </c>
      <c r="P47" s="1">
        <v>0</v>
      </c>
      <c r="R47" s="1">
        <v>0</v>
      </c>
      <c r="S47" s="1">
        <v>0</v>
      </c>
      <c r="U47" s="1">
        <v>0</v>
      </c>
      <c r="V47" s="9">
        <v>0</v>
      </c>
    </row>
    <row r="48" spans="1:22">
      <c r="A48" s="1" t="s">
        <v>69</v>
      </c>
      <c r="B48" s="6">
        <v>6487090.2643801812</v>
      </c>
      <c r="C48" s="1">
        <v>2753232.9467725432</v>
      </c>
      <c r="D48" s="1">
        <v>0</v>
      </c>
      <c r="E48" s="1">
        <v>0</v>
      </c>
      <c r="F48" s="1">
        <v>0</v>
      </c>
      <c r="G48" s="9">
        <f>SUM(SD_FINANCIAL)</f>
        <v>9240323.2111527249</v>
      </c>
      <c r="L48" s="6">
        <v>5046959</v>
      </c>
      <c r="M48" s="1">
        <v>65</v>
      </c>
      <c r="O48" s="1">
        <v>1993163</v>
      </c>
      <c r="P48" s="1">
        <v>0</v>
      </c>
      <c r="R48" s="1">
        <v>0</v>
      </c>
      <c r="S48" s="1">
        <v>0</v>
      </c>
      <c r="U48" s="1">
        <v>0</v>
      </c>
      <c r="V48" s="9">
        <v>0</v>
      </c>
    </row>
    <row r="49" spans="1:22">
      <c r="A49" s="1" t="s">
        <v>70</v>
      </c>
      <c r="B49" s="6">
        <v>23489984.155489426</v>
      </c>
      <c r="C49" s="1">
        <v>15328947.870409317</v>
      </c>
      <c r="D49" s="1">
        <v>0</v>
      </c>
      <c r="E49" s="1">
        <v>0</v>
      </c>
      <c r="F49" s="1">
        <v>0</v>
      </c>
      <c r="G49" s="9">
        <f>SUM(TN_FINANCIAL)</f>
        <v>38818932.02589874</v>
      </c>
      <c r="L49" s="6">
        <v>14750000</v>
      </c>
      <c r="M49" s="1">
        <v>0</v>
      </c>
      <c r="O49" s="1">
        <v>12050000</v>
      </c>
      <c r="P49" s="1">
        <v>0</v>
      </c>
      <c r="R49" s="1">
        <v>0</v>
      </c>
      <c r="S49" s="1">
        <v>0</v>
      </c>
      <c r="U49" s="1">
        <v>0</v>
      </c>
      <c r="V49" s="9">
        <v>0</v>
      </c>
    </row>
    <row r="50" spans="1:22">
      <c r="A50" s="1" t="s">
        <v>71</v>
      </c>
      <c r="B50" s="6">
        <v>104484680.32172062</v>
      </c>
      <c r="C50" s="1">
        <v>129900108.43037565</v>
      </c>
      <c r="D50" s="1">
        <v>0</v>
      </c>
      <c r="E50" s="1">
        <v>11694106.677138282</v>
      </c>
      <c r="F50" s="1">
        <v>0</v>
      </c>
      <c r="G50" s="9">
        <f>SUM(TX_FINANCIAL)</f>
        <v>246078895.42923453</v>
      </c>
      <c r="L50" s="6">
        <v>125470495</v>
      </c>
      <c r="M50" s="1">
        <v>0</v>
      </c>
      <c r="O50" s="1">
        <v>63667619</v>
      </c>
      <c r="P50" s="1">
        <v>0</v>
      </c>
      <c r="R50" s="1">
        <v>0</v>
      </c>
      <c r="S50" s="1">
        <v>0</v>
      </c>
      <c r="U50" s="1">
        <v>0</v>
      </c>
      <c r="V50" s="9">
        <v>2500000</v>
      </c>
    </row>
    <row r="51" spans="1:22">
      <c r="A51" s="1" t="s">
        <v>72</v>
      </c>
      <c r="B51" s="6">
        <v>8355901.1790171433</v>
      </c>
      <c r="C51" s="1">
        <v>6690640.3930007918</v>
      </c>
      <c r="D51" s="1">
        <v>0</v>
      </c>
      <c r="E51" s="1">
        <v>243583.95965878727</v>
      </c>
      <c r="F51" s="1">
        <v>0</v>
      </c>
      <c r="G51" s="9">
        <f>SUM(UT_FINANCIAL)</f>
        <v>15290125.531676721</v>
      </c>
      <c r="L51" s="6">
        <v>9028563</v>
      </c>
      <c r="M51" s="1">
        <v>0</v>
      </c>
      <c r="O51" s="1">
        <v>6991039</v>
      </c>
      <c r="P51" s="1">
        <v>0</v>
      </c>
      <c r="R51" s="1">
        <v>590625</v>
      </c>
      <c r="S51" s="1">
        <v>0</v>
      </c>
      <c r="U51" s="1">
        <v>0</v>
      </c>
      <c r="V51" s="9">
        <v>0</v>
      </c>
    </row>
    <row r="52" spans="1:22">
      <c r="A52" s="1" t="s">
        <v>73</v>
      </c>
      <c r="B52" s="6">
        <v>0</v>
      </c>
      <c r="C52" s="1">
        <v>0</v>
      </c>
      <c r="D52" s="1">
        <v>0</v>
      </c>
      <c r="E52" s="1">
        <v>0</v>
      </c>
      <c r="F52" s="1">
        <v>0</v>
      </c>
      <c r="G52" s="9">
        <f>SUM(VT_FINANCIAL)</f>
        <v>0</v>
      </c>
      <c r="L52" s="6"/>
      <c r="V52" s="9"/>
    </row>
    <row r="53" spans="1:22">
      <c r="A53" s="1" t="s">
        <v>74</v>
      </c>
      <c r="B53" s="6">
        <v>10023083.742853783</v>
      </c>
      <c r="C53" s="1">
        <v>19288747.445246819</v>
      </c>
      <c r="D53" s="1">
        <v>0</v>
      </c>
      <c r="E53" s="1">
        <v>0</v>
      </c>
      <c r="F53" s="1">
        <v>0</v>
      </c>
      <c r="G53" s="9">
        <f>SUM(VA_FINANCIAL)</f>
        <v>29311831.188100602</v>
      </c>
      <c r="L53" s="6">
        <v>12439476</v>
      </c>
      <c r="M53" s="1">
        <v>0</v>
      </c>
      <c r="O53" s="1">
        <v>14214000</v>
      </c>
      <c r="P53" s="1">
        <v>2613992</v>
      </c>
      <c r="R53" s="1">
        <v>0</v>
      </c>
      <c r="S53" s="1">
        <v>0</v>
      </c>
      <c r="U53" s="1">
        <v>0</v>
      </c>
      <c r="V53" s="9">
        <v>0</v>
      </c>
    </row>
    <row r="54" spans="1:22">
      <c r="A54" s="1" t="s">
        <v>75</v>
      </c>
      <c r="B54" s="6">
        <v>33145336.030422173</v>
      </c>
      <c r="C54" s="1">
        <v>57840033.308280997</v>
      </c>
      <c r="D54" s="1">
        <v>0</v>
      </c>
      <c r="E54" s="1">
        <v>2198910.8440266382</v>
      </c>
      <c r="F54" s="1">
        <v>0</v>
      </c>
      <c r="G54" s="9">
        <f>SUM(WA_FINANCIAL)</f>
        <v>93184280.18272981</v>
      </c>
      <c r="L54" s="6">
        <v>41361000</v>
      </c>
      <c r="M54" s="1">
        <v>0</v>
      </c>
      <c r="O54" s="1">
        <v>46598000</v>
      </c>
      <c r="P54" s="1">
        <v>0</v>
      </c>
      <c r="R54" s="1">
        <v>0</v>
      </c>
      <c r="S54" s="1">
        <v>0</v>
      </c>
      <c r="U54" s="1">
        <v>2800000</v>
      </c>
      <c r="V54" s="9">
        <v>0</v>
      </c>
    </row>
    <row r="55" spans="1:22">
      <c r="A55" s="1" t="s">
        <v>76</v>
      </c>
      <c r="B55" s="6">
        <v>1786612.9564628005</v>
      </c>
      <c r="C55" s="1">
        <v>3470927.7477392894</v>
      </c>
      <c r="D55" s="1">
        <v>0</v>
      </c>
      <c r="E55" s="1">
        <v>0</v>
      </c>
      <c r="F55" s="1">
        <v>0</v>
      </c>
      <c r="G55" s="9">
        <f>SUM(WV_FINANCIAL)</f>
        <v>5257540.7042020895</v>
      </c>
      <c r="L55" s="6">
        <v>1598287</v>
      </c>
      <c r="M55" s="1">
        <v>0</v>
      </c>
      <c r="O55" s="1">
        <v>3529868</v>
      </c>
      <c r="P55" s="1">
        <v>980</v>
      </c>
      <c r="R55" s="1">
        <v>0</v>
      </c>
      <c r="S55" s="1">
        <v>0</v>
      </c>
      <c r="U55" s="1">
        <v>0</v>
      </c>
      <c r="V55" s="9">
        <v>0</v>
      </c>
    </row>
    <row r="56" spans="1:22">
      <c r="A56" s="1" t="s">
        <v>77</v>
      </c>
      <c r="B56" s="6">
        <v>14137007.864243656</v>
      </c>
      <c r="C56" s="1">
        <v>49334672.440901563</v>
      </c>
      <c r="D56" s="1">
        <v>0</v>
      </c>
      <c r="E56" s="1">
        <v>80317.446396894622</v>
      </c>
      <c r="F56" s="1">
        <v>0</v>
      </c>
      <c r="G56" s="9">
        <f>SUM(WI_FINANCIAL)</f>
        <v>63551997.751542114</v>
      </c>
      <c r="L56" s="6">
        <v>13800000</v>
      </c>
      <c r="M56" s="1">
        <v>0</v>
      </c>
      <c r="O56" s="1">
        <v>42947843</v>
      </c>
      <c r="P56" s="1">
        <v>0</v>
      </c>
      <c r="R56" s="1">
        <v>0</v>
      </c>
      <c r="S56" s="1">
        <v>0</v>
      </c>
      <c r="U56" s="1">
        <v>0</v>
      </c>
      <c r="V56" s="9">
        <v>0</v>
      </c>
    </row>
    <row r="57" spans="1:22">
      <c r="A57" s="1" t="s">
        <v>78</v>
      </c>
      <c r="B57" s="6">
        <v>2966218.1934526302</v>
      </c>
      <c r="C57" s="1">
        <v>3451172.3546469137</v>
      </c>
      <c r="D57" s="1">
        <v>0</v>
      </c>
      <c r="E57" s="1">
        <v>0</v>
      </c>
      <c r="F57" s="1">
        <v>0</v>
      </c>
      <c r="G57" s="9">
        <f>SUM(WY_FINANCIAL)</f>
        <v>6417390.5480995439</v>
      </c>
      <c r="L57" s="6">
        <v>2372109</v>
      </c>
      <c r="M57" s="1">
        <v>0</v>
      </c>
      <c r="O57" s="1">
        <v>2811297</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1154477065.9511697</v>
      </c>
      <c r="C60" s="1">
        <f>SUM(ALLOCATED)</f>
        <v>1668996950.1980577</v>
      </c>
      <c r="D60" s="1">
        <f>SUM(HEALTH)</f>
        <v>0</v>
      </c>
      <c r="E60" s="1">
        <f>SUM(UNALLOCATED)</f>
        <v>31873420.066984765</v>
      </c>
      <c r="F60" s="1">
        <f>SUM(LTC)</f>
        <v>0</v>
      </c>
      <c r="G60" s="9">
        <f>SUM(ALL_BLOCKS)</f>
        <v>2855347436.2162123</v>
      </c>
      <c r="L60" s="6">
        <f>SUM(LIFE_CALLED)</f>
        <v>1113947619</v>
      </c>
      <c r="M60" s="1">
        <f>SUM(LIFE_REFUNDED)</f>
        <v>2000065</v>
      </c>
      <c r="O60" s="1">
        <f>SUM(ALLOC_CALLED)</f>
        <v>1537640900</v>
      </c>
      <c r="P60" s="1">
        <f>SUM(ALLOC_REFUNDED)</f>
        <v>55463161.450000003</v>
      </c>
      <c r="R60" s="1">
        <f>SUM(HEALTH_CALLED)</f>
        <v>590625</v>
      </c>
      <c r="S60" s="1">
        <f>SUM(HEALTH_REFUNDED)</f>
        <v>0</v>
      </c>
      <c r="U60" s="1">
        <f>SUM(UNALLOC_CALLED)</f>
        <v>42365781</v>
      </c>
      <c r="V60" s="9">
        <f>SUM(UNALLOC_REFUNDED)</f>
        <v>23169526.82</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113</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48678.442617792622</v>
      </c>
      <c r="D6" s="1">
        <v>0</v>
      </c>
      <c r="E6" s="1">
        <v>0</v>
      </c>
      <c r="F6" s="1">
        <v>0</v>
      </c>
      <c r="G6" s="9">
        <f>SUM(AL_FINANCIAL)</f>
        <v>48678.442617792622</v>
      </c>
      <c r="L6" s="6"/>
      <c r="V6" s="9"/>
    </row>
    <row r="7" spans="1:22">
      <c r="A7" s="1" t="s">
        <v>12</v>
      </c>
      <c r="B7" s="6">
        <v>0</v>
      </c>
      <c r="C7" s="1">
        <v>78072.28103329039</v>
      </c>
      <c r="D7" s="1">
        <v>0</v>
      </c>
      <c r="E7" s="1">
        <v>0</v>
      </c>
      <c r="F7" s="1">
        <v>0</v>
      </c>
      <c r="G7" s="9">
        <f>SUM(AK_FINANCIAL)</f>
        <v>78072.28103329039</v>
      </c>
      <c r="I7" s="12"/>
      <c r="J7" s="15"/>
      <c r="L7" s="6"/>
      <c r="V7" s="9"/>
    </row>
    <row r="8" spans="1:22">
      <c r="A8" s="1" t="s">
        <v>13</v>
      </c>
      <c r="B8" s="6">
        <v>0</v>
      </c>
      <c r="C8" s="1">
        <v>1432107.8404046018</v>
      </c>
      <c r="D8" s="1">
        <v>0</v>
      </c>
      <c r="E8" s="1">
        <v>0</v>
      </c>
      <c r="F8" s="1">
        <v>0</v>
      </c>
      <c r="G8" s="9">
        <f>SUM(AZ_FINANCIAL)</f>
        <v>1432107.8404046018</v>
      </c>
      <c r="I8" s="13" t="s">
        <v>14</v>
      </c>
      <c r="J8" s="16"/>
      <c r="L8" s="6"/>
      <c r="V8" s="9"/>
    </row>
    <row r="9" spans="1:22">
      <c r="A9" s="1" t="s">
        <v>15</v>
      </c>
      <c r="B9" s="6">
        <v>0</v>
      </c>
      <c r="C9" s="1">
        <v>3004290.2072421615</v>
      </c>
      <c r="D9" s="1">
        <v>0</v>
      </c>
      <c r="E9" s="1">
        <v>0</v>
      </c>
      <c r="F9" s="1">
        <v>0</v>
      </c>
      <c r="G9" s="9">
        <f>SUM(AR_FINANCIAL)</f>
        <v>3004290.2072421615</v>
      </c>
      <c r="I9" s="13"/>
      <c r="J9" s="16"/>
      <c r="L9" s="6">
        <v>0</v>
      </c>
      <c r="M9" s="1">
        <v>0</v>
      </c>
      <c r="O9" s="1">
        <v>0</v>
      </c>
      <c r="P9" s="1">
        <v>0</v>
      </c>
      <c r="R9" s="1">
        <v>0</v>
      </c>
      <c r="S9" s="1">
        <v>0</v>
      </c>
      <c r="U9" s="1">
        <v>0</v>
      </c>
      <c r="V9" s="9">
        <v>0</v>
      </c>
    </row>
    <row r="10" spans="1:22">
      <c r="A10" s="1" t="s">
        <v>16</v>
      </c>
      <c r="B10" s="6">
        <v>0</v>
      </c>
      <c r="C10" s="1">
        <v>20783153.476236343</v>
      </c>
      <c r="D10" s="1">
        <v>0</v>
      </c>
      <c r="E10" s="1">
        <v>0</v>
      </c>
      <c r="F10" s="1">
        <v>0</v>
      </c>
      <c r="G10" s="9">
        <f>SUM(CA_FINANCIAL)</f>
        <v>20783153.476236343</v>
      </c>
      <c r="I10" s="13" t="s">
        <v>17</v>
      </c>
      <c r="J10" s="16">
        <v>1093779021.3092003</v>
      </c>
      <c r="L10" s="6">
        <v>0</v>
      </c>
      <c r="M10" s="1">
        <v>0</v>
      </c>
      <c r="O10" s="1">
        <v>24250000</v>
      </c>
      <c r="P10" s="1">
        <v>0</v>
      </c>
      <c r="R10" s="1">
        <v>0</v>
      </c>
      <c r="S10" s="1">
        <v>0</v>
      </c>
      <c r="U10" s="1">
        <v>0</v>
      </c>
      <c r="V10" s="9">
        <v>0</v>
      </c>
    </row>
    <row r="11" spans="1:22">
      <c r="A11" s="1" t="s">
        <v>18</v>
      </c>
      <c r="B11" s="6">
        <v>0</v>
      </c>
      <c r="C11" s="1">
        <v>1988186.6409802143</v>
      </c>
      <c r="D11" s="1">
        <v>0</v>
      </c>
      <c r="E11" s="1">
        <v>0</v>
      </c>
      <c r="F11" s="1">
        <v>0</v>
      </c>
      <c r="G11" s="9">
        <f>SUM(CO_FINANCIAL)</f>
        <v>1988186.6409802143</v>
      </c>
      <c r="I11" s="13"/>
      <c r="J11" s="16"/>
      <c r="L11" s="6">
        <v>0</v>
      </c>
      <c r="M11" s="1">
        <v>0</v>
      </c>
      <c r="O11" s="1">
        <v>1626177</v>
      </c>
      <c r="P11" s="1">
        <v>0</v>
      </c>
      <c r="R11" s="1">
        <v>0</v>
      </c>
      <c r="S11" s="1">
        <v>0</v>
      </c>
      <c r="U11" s="1">
        <v>0</v>
      </c>
      <c r="V11" s="9">
        <v>0</v>
      </c>
    </row>
    <row r="12" spans="1:22">
      <c r="A12" s="1" t="s">
        <v>19</v>
      </c>
      <c r="B12" s="6">
        <v>0</v>
      </c>
      <c r="C12" s="1">
        <v>24219690.909653828</v>
      </c>
      <c r="D12" s="1">
        <v>0</v>
      </c>
      <c r="E12" s="1">
        <v>0</v>
      </c>
      <c r="F12" s="1">
        <v>0</v>
      </c>
      <c r="G12" s="9">
        <f>SUM(CT_FINANCIAL)</f>
        <v>24219690.909653828</v>
      </c>
      <c r="I12" s="13" t="s">
        <v>20</v>
      </c>
      <c r="J12" s="16"/>
      <c r="L12" s="6">
        <v>0</v>
      </c>
      <c r="M12" s="1">
        <v>0</v>
      </c>
      <c r="O12" s="1">
        <v>16699169</v>
      </c>
      <c r="P12" s="1">
        <v>0</v>
      </c>
      <c r="R12" s="1">
        <v>0</v>
      </c>
      <c r="S12" s="1">
        <v>0</v>
      </c>
      <c r="U12" s="1">
        <v>0</v>
      </c>
      <c r="V12" s="9">
        <v>0</v>
      </c>
    </row>
    <row r="13" spans="1:22">
      <c r="A13" s="1" t="s">
        <v>21</v>
      </c>
      <c r="B13" s="6">
        <v>0</v>
      </c>
      <c r="C13" s="1">
        <v>2879784.8373853471</v>
      </c>
      <c r="D13" s="1">
        <v>0</v>
      </c>
      <c r="E13" s="1">
        <v>0</v>
      </c>
      <c r="F13" s="1">
        <v>0</v>
      </c>
      <c r="G13" s="9">
        <f>SUM(DE_FINANCIAL)</f>
        <v>2879784.8373853471</v>
      </c>
      <c r="I13" s="13" t="s">
        <v>22</v>
      </c>
      <c r="J13" s="16">
        <v>0</v>
      </c>
      <c r="L13" s="6">
        <v>0</v>
      </c>
      <c r="M13" s="1">
        <v>0</v>
      </c>
      <c r="O13" s="1">
        <v>2900000</v>
      </c>
      <c r="P13" s="1">
        <v>0</v>
      </c>
      <c r="R13" s="1">
        <v>0</v>
      </c>
      <c r="S13" s="1">
        <v>0</v>
      </c>
      <c r="U13" s="1">
        <v>0</v>
      </c>
      <c r="V13" s="9">
        <v>0</v>
      </c>
    </row>
    <row r="14" spans="1:22">
      <c r="A14" s="1" t="s">
        <v>23</v>
      </c>
      <c r="B14" s="6">
        <v>0</v>
      </c>
      <c r="C14" s="1">
        <v>7069.6846716789651</v>
      </c>
      <c r="D14" s="1">
        <v>0</v>
      </c>
      <c r="E14" s="1">
        <v>0</v>
      </c>
      <c r="F14" s="1">
        <v>0</v>
      </c>
      <c r="G14" s="9">
        <f>SUM(DC_FINANCIAL)</f>
        <v>7069.6846716789651</v>
      </c>
      <c r="I14" s="13" t="s">
        <v>24</v>
      </c>
      <c r="J14" s="16">
        <v>11849872.230000002</v>
      </c>
      <c r="L14" s="6"/>
      <c r="V14" s="9"/>
    </row>
    <row r="15" spans="1:22">
      <c r="A15" s="1" t="s">
        <v>25</v>
      </c>
      <c r="B15" s="6">
        <v>0</v>
      </c>
      <c r="C15" s="1">
        <v>325882.00149037072</v>
      </c>
      <c r="D15" s="1">
        <v>0</v>
      </c>
      <c r="E15" s="1">
        <v>0</v>
      </c>
      <c r="F15" s="1">
        <v>0</v>
      </c>
      <c r="G15" s="9">
        <f>SUM(FL_FINANCIAL)</f>
        <v>325882.00149037072</v>
      </c>
      <c r="I15" s="13" t="s">
        <v>26</v>
      </c>
      <c r="J15" s="16">
        <v>24364469.789999988</v>
      </c>
      <c r="L15" s="6"/>
      <c r="V15" s="9"/>
    </row>
    <row r="16" spans="1:22">
      <c r="A16" s="1" t="s">
        <v>27</v>
      </c>
      <c r="B16" s="6">
        <v>0</v>
      </c>
      <c r="C16" s="1">
        <v>4433588.8800366856</v>
      </c>
      <c r="D16" s="1">
        <v>0</v>
      </c>
      <c r="E16" s="1">
        <v>0</v>
      </c>
      <c r="F16" s="1">
        <v>0</v>
      </c>
      <c r="G16" s="9">
        <f>SUM(GA_FINANCIAL)</f>
        <v>4433588.8800366856</v>
      </c>
      <c r="I16" s="13" t="s">
        <v>28</v>
      </c>
      <c r="J16" s="16">
        <v>0</v>
      </c>
      <c r="L16" s="6"/>
      <c r="V16" s="9"/>
    </row>
    <row r="17" spans="1:22">
      <c r="A17" s="1" t="s">
        <v>29</v>
      </c>
      <c r="B17" s="6">
        <v>0</v>
      </c>
      <c r="C17" s="1">
        <v>528171.89674495871</v>
      </c>
      <c r="D17" s="1">
        <v>0</v>
      </c>
      <c r="E17" s="1">
        <v>0</v>
      </c>
      <c r="F17" s="1">
        <v>0</v>
      </c>
      <c r="G17" s="9">
        <f>SUM(HI_FINANCIAL)</f>
        <v>528171.89674495871</v>
      </c>
      <c r="I17" s="13"/>
      <c r="J17" s="16"/>
      <c r="L17" s="6"/>
      <c r="V17" s="9"/>
    </row>
    <row r="18" spans="1:22">
      <c r="A18" s="1" t="s">
        <v>30</v>
      </c>
      <c r="B18" s="6">
        <v>0</v>
      </c>
      <c r="C18" s="1">
        <v>321827.19079000532</v>
      </c>
      <c r="D18" s="1">
        <v>0</v>
      </c>
      <c r="E18" s="1">
        <v>0</v>
      </c>
      <c r="F18" s="1">
        <v>0</v>
      </c>
      <c r="G18" s="9">
        <f>SUM(ID_FINANCIAL)</f>
        <v>321827.19079000532</v>
      </c>
      <c r="I18" s="13" t="s">
        <v>31</v>
      </c>
      <c r="J18" s="16"/>
      <c r="L18" s="6"/>
      <c r="V18" s="9"/>
    </row>
    <row r="19" spans="1:22">
      <c r="A19" s="1" t="s">
        <v>32</v>
      </c>
      <c r="B19" s="6">
        <v>0</v>
      </c>
      <c r="C19" s="1">
        <v>21936203.563755721</v>
      </c>
      <c r="D19" s="1">
        <v>0</v>
      </c>
      <c r="E19" s="1">
        <v>0</v>
      </c>
      <c r="F19" s="1">
        <v>0</v>
      </c>
      <c r="G19" s="9">
        <f>SUM(IL_FINANCIAL)</f>
        <v>21936203.563755721</v>
      </c>
      <c r="I19" s="13" t="s">
        <v>33</v>
      </c>
      <c r="J19" s="16">
        <v>328133706.59276009</v>
      </c>
      <c r="L19" s="6">
        <v>0</v>
      </c>
      <c r="M19" s="1">
        <v>0</v>
      </c>
      <c r="O19" s="1">
        <v>23000000</v>
      </c>
      <c r="P19" s="1">
        <v>0</v>
      </c>
      <c r="R19" s="1">
        <v>0</v>
      </c>
      <c r="S19" s="1">
        <v>0</v>
      </c>
      <c r="U19" s="1">
        <v>0</v>
      </c>
      <c r="V19" s="9">
        <v>0</v>
      </c>
    </row>
    <row r="20" spans="1:22">
      <c r="A20" s="1" t="s">
        <v>34</v>
      </c>
      <c r="B20" s="6">
        <v>0</v>
      </c>
      <c r="C20" s="1">
        <v>1309809.167640497</v>
      </c>
      <c r="D20" s="1">
        <v>0</v>
      </c>
      <c r="E20" s="1">
        <v>0</v>
      </c>
      <c r="F20" s="1">
        <v>0</v>
      </c>
      <c r="G20" s="9">
        <f>SUM(IN_FINANCIAL)</f>
        <v>1309809.167640497</v>
      </c>
      <c r="I20" s="13" t="s">
        <v>35</v>
      </c>
      <c r="J20" s="16">
        <v>0</v>
      </c>
      <c r="L20" s="6"/>
      <c r="V20" s="9"/>
    </row>
    <row r="21" spans="1:22">
      <c r="A21" s="1" t="s">
        <v>36</v>
      </c>
      <c r="B21" s="6">
        <v>0</v>
      </c>
      <c r="C21" s="1">
        <v>3941250.6162275826</v>
      </c>
      <c r="D21" s="1">
        <v>0</v>
      </c>
      <c r="E21" s="1">
        <v>0</v>
      </c>
      <c r="F21" s="1">
        <v>0</v>
      </c>
      <c r="G21" s="9">
        <f>SUM(IA_FINANCIAL)</f>
        <v>3941250.6162275826</v>
      </c>
      <c r="I21" s="13" t="s">
        <v>37</v>
      </c>
      <c r="J21" s="16"/>
      <c r="L21" s="6">
        <v>0</v>
      </c>
      <c r="M21" s="1">
        <v>0</v>
      </c>
      <c r="O21" s="1">
        <v>4000000</v>
      </c>
      <c r="P21" s="1">
        <v>0</v>
      </c>
      <c r="R21" s="1">
        <v>0</v>
      </c>
      <c r="S21" s="1">
        <v>0</v>
      </c>
      <c r="U21" s="1">
        <v>0</v>
      </c>
      <c r="V21" s="9">
        <v>0</v>
      </c>
    </row>
    <row r="22" spans="1:22">
      <c r="A22" s="1" t="s">
        <v>38</v>
      </c>
      <c r="B22" s="6">
        <v>0</v>
      </c>
      <c r="C22" s="1">
        <v>19686.309343357927</v>
      </c>
      <c r="D22" s="1">
        <v>0</v>
      </c>
      <c r="E22" s="1">
        <v>0</v>
      </c>
      <c r="F22" s="1">
        <v>0</v>
      </c>
      <c r="G22" s="9">
        <f>SUM(KS_FINANCIAL)</f>
        <v>19686.309343357927</v>
      </c>
      <c r="I22" s="13" t="s">
        <v>39</v>
      </c>
      <c r="J22" s="16">
        <v>0</v>
      </c>
      <c r="L22" s="6"/>
      <c r="V22" s="9"/>
    </row>
    <row r="23" spans="1:22">
      <c r="A23" s="1" t="s">
        <v>40</v>
      </c>
      <c r="B23" s="6">
        <v>0</v>
      </c>
      <c r="C23" s="1">
        <v>1135555.2752268394</v>
      </c>
      <c r="D23" s="1">
        <v>0</v>
      </c>
      <c r="E23" s="1">
        <v>0</v>
      </c>
      <c r="F23" s="1">
        <v>0</v>
      </c>
      <c r="G23" s="9">
        <f>SUM(KY_FINANCIAL)</f>
        <v>1135555.2752268394</v>
      </c>
      <c r="I23" s="13" t="s">
        <v>41</v>
      </c>
      <c r="J23" s="16"/>
      <c r="L23" s="6">
        <v>0</v>
      </c>
      <c r="M23" s="1">
        <v>0</v>
      </c>
      <c r="O23" s="1">
        <v>1132915</v>
      </c>
      <c r="P23" s="1">
        <v>0</v>
      </c>
      <c r="R23" s="1">
        <v>0</v>
      </c>
      <c r="S23" s="1">
        <v>0</v>
      </c>
      <c r="U23" s="1">
        <v>0</v>
      </c>
      <c r="V23" s="9">
        <v>0</v>
      </c>
    </row>
    <row r="24" spans="1:22">
      <c r="A24" s="1" t="s">
        <v>42</v>
      </c>
      <c r="B24" s="6">
        <v>0</v>
      </c>
      <c r="C24" s="1">
        <v>7429.4779775317256</v>
      </c>
      <c r="D24" s="1">
        <v>0</v>
      </c>
      <c r="E24" s="1">
        <v>0</v>
      </c>
      <c r="F24" s="1">
        <v>0</v>
      </c>
      <c r="G24" s="9">
        <f>SUM(LA_FINANCIAL)</f>
        <v>7429.4779775317256</v>
      </c>
      <c r="I24" s="13" t="s">
        <v>43</v>
      </c>
      <c r="J24" s="16">
        <v>0</v>
      </c>
      <c r="L24" s="6"/>
      <c r="V24" s="9"/>
    </row>
    <row r="25" spans="1:22">
      <c r="A25" s="1" t="s">
        <v>44</v>
      </c>
      <c r="B25" s="6">
        <v>0</v>
      </c>
      <c r="C25" s="1">
        <v>1341927.8290652942</v>
      </c>
      <c r="D25" s="1">
        <v>0</v>
      </c>
      <c r="E25" s="1">
        <v>0</v>
      </c>
      <c r="F25" s="1">
        <v>0</v>
      </c>
      <c r="G25" s="9">
        <f>SUM(ME_FINANCIAL)</f>
        <v>1341927.8290652942</v>
      </c>
      <c r="I25" s="13"/>
      <c r="J25" s="16"/>
      <c r="L25" s="6">
        <v>0</v>
      </c>
      <c r="M25" s="1">
        <v>0</v>
      </c>
      <c r="O25" s="1">
        <v>1400000</v>
      </c>
      <c r="P25" s="1">
        <v>906</v>
      </c>
      <c r="R25" s="1">
        <v>0</v>
      </c>
      <c r="S25" s="1">
        <v>0</v>
      </c>
      <c r="U25" s="1">
        <v>0</v>
      </c>
      <c r="V25" s="9">
        <v>0</v>
      </c>
    </row>
    <row r="26" spans="1:22">
      <c r="A26" s="1" t="s">
        <v>45</v>
      </c>
      <c r="B26" s="6">
        <v>0</v>
      </c>
      <c r="C26" s="1">
        <v>5836199.1690442432</v>
      </c>
      <c r="D26" s="1">
        <v>0</v>
      </c>
      <c r="E26" s="1">
        <v>0</v>
      </c>
      <c r="F26" s="1">
        <v>0</v>
      </c>
      <c r="G26" s="9">
        <f>SUM(MD_FINANCIAL)</f>
        <v>5836199.1690442432</v>
      </c>
      <c r="I26" s="13" t="s">
        <v>46</v>
      </c>
      <c r="J26" s="16">
        <f>SUM(ADD_FINANCIAL)-SUM(LESS_FINANCIAL)</f>
        <v>801859656.73644018</v>
      </c>
      <c r="L26" s="6">
        <v>0</v>
      </c>
      <c r="M26" s="1">
        <v>0</v>
      </c>
      <c r="O26" s="1">
        <v>7530000</v>
      </c>
      <c r="P26" s="1">
        <v>0</v>
      </c>
      <c r="R26" s="1">
        <v>0</v>
      </c>
      <c r="S26" s="1">
        <v>0</v>
      </c>
      <c r="U26" s="1">
        <v>0</v>
      </c>
      <c r="V26" s="9">
        <v>0</v>
      </c>
    </row>
    <row r="27" spans="1:22">
      <c r="A27" s="1" t="s">
        <v>47</v>
      </c>
      <c r="B27" s="6">
        <v>0</v>
      </c>
      <c r="C27" s="1">
        <v>66419.10175918843</v>
      </c>
      <c r="D27" s="1">
        <v>0</v>
      </c>
      <c r="E27" s="1">
        <v>0</v>
      </c>
      <c r="F27" s="1">
        <v>0</v>
      </c>
      <c r="G27" s="9">
        <f>SUM(MA_FINANCIAL)</f>
        <v>66419.10175918843</v>
      </c>
      <c r="I27" s="13" t="s">
        <v>48</v>
      </c>
      <c r="J27" s="16">
        <f>SUM(ALL_BLOCKS)</f>
        <v>801859656.73644018</v>
      </c>
      <c r="L27" s="6"/>
      <c r="V27" s="9"/>
    </row>
    <row r="28" spans="1:22">
      <c r="A28" s="1" t="s">
        <v>49</v>
      </c>
      <c r="B28" s="6">
        <v>0</v>
      </c>
      <c r="C28" s="1">
        <v>12479567.758423336</v>
      </c>
      <c r="D28" s="1">
        <v>0</v>
      </c>
      <c r="E28" s="1">
        <v>0</v>
      </c>
      <c r="F28" s="1">
        <v>0</v>
      </c>
      <c r="G28" s="9">
        <f>SUM(MI_FINANCIAL)</f>
        <v>12479567.758423336</v>
      </c>
      <c r="I28" s="14"/>
      <c r="J28" s="17"/>
      <c r="L28" s="6">
        <v>0</v>
      </c>
      <c r="M28" s="1">
        <v>0</v>
      </c>
      <c r="O28" s="1">
        <v>8998201</v>
      </c>
      <c r="P28" s="1">
        <v>0</v>
      </c>
      <c r="R28" s="1">
        <v>0</v>
      </c>
      <c r="S28" s="1">
        <v>0</v>
      </c>
      <c r="U28" s="1">
        <v>0</v>
      </c>
      <c r="V28" s="9">
        <v>0</v>
      </c>
    </row>
    <row r="29" spans="1:22">
      <c r="A29" s="1" t="s">
        <v>50</v>
      </c>
      <c r="B29" s="6">
        <v>0</v>
      </c>
      <c r="C29" s="1">
        <v>4028909.0985589758</v>
      </c>
      <c r="D29" s="1">
        <v>0</v>
      </c>
      <c r="E29" s="1">
        <v>0</v>
      </c>
      <c r="F29" s="1">
        <v>0</v>
      </c>
      <c r="G29" s="9">
        <f>SUM(MN_FINANCIAL)</f>
        <v>4028909.0985589758</v>
      </c>
      <c r="L29" s="6"/>
      <c r="V29" s="9"/>
    </row>
    <row r="30" spans="1:22">
      <c r="A30" s="1" t="s">
        <v>51</v>
      </c>
      <c r="B30" s="6">
        <v>0</v>
      </c>
      <c r="C30" s="1">
        <v>662959.14359213831</v>
      </c>
      <c r="D30" s="1">
        <v>0</v>
      </c>
      <c r="E30" s="1">
        <v>0</v>
      </c>
      <c r="F30" s="1">
        <v>0</v>
      </c>
      <c r="G30" s="9">
        <f>SUM(MS_FINANCIAL)</f>
        <v>662959.14359213831</v>
      </c>
      <c r="L30" s="6"/>
      <c r="V30" s="9"/>
    </row>
    <row r="31" spans="1:22">
      <c r="A31" s="1" t="s">
        <v>52</v>
      </c>
      <c r="B31" s="6">
        <v>0</v>
      </c>
      <c r="C31" s="1">
        <v>25450.663316414753</v>
      </c>
      <c r="D31" s="1">
        <v>0</v>
      </c>
      <c r="E31" s="1">
        <v>0</v>
      </c>
      <c r="F31" s="1">
        <v>0</v>
      </c>
      <c r="G31" s="9">
        <f>SUM(MO_FINANCIAL)</f>
        <v>25450.663316414753</v>
      </c>
      <c r="L31" s="6"/>
      <c r="V31" s="9"/>
    </row>
    <row r="32" spans="1:22">
      <c r="A32" s="1" t="s">
        <v>53</v>
      </c>
      <c r="B32" s="6">
        <v>0</v>
      </c>
      <c r="C32" s="1">
        <v>785212.00094089587</v>
      </c>
      <c r="D32" s="1">
        <v>0</v>
      </c>
      <c r="E32" s="1">
        <v>0</v>
      </c>
      <c r="F32" s="1">
        <v>0</v>
      </c>
      <c r="G32" s="9">
        <f>SUM(MT_FINANCIAL)</f>
        <v>785212.00094089587</v>
      </c>
      <c r="L32" s="6"/>
      <c r="V32" s="9"/>
    </row>
    <row r="33" spans="1:22">
      <c r="A33" s="1" t="s">
        <v>54</v>
      </c>
      <c r="B33" s="6">
        <v>0</v>
      </c>
      <c r="C33" s="1">
        <v>579476.12675357307</v>
      </c>
      <c r="D33" s="1">
        <v>0</v>
      </c>
      <c r="E33" s="1">
        <v>0</v>
      </c>
      <c r="F33" s="1">
        <v>0</v>
      </c>
      <c r="G33" s="9">
        <f>SUM(NE_FINANCIAL)</f>
        <v>579476.12675357307</v>
      </c>
      <c r="L33" s="6">
        <v>0</v>
      </c>
      <c r="M33" s="1">
        <v>0</v>
      </c>
      <c r="O33" s="1">
        <v>275000</v>
      </c>
      <c r="P33" s="1">
        <v>0</v>
      </c>
      <c r="R33" s="1">
        <v>0</v>
      </c>
      <c r="S33" s="1">
        <v>0</v>
      </c>
      <c r="U33" s="1">
        <v>0</v>
      </c>
      <c r="V33" s="9">
        <v>0</v>
      </c>
    </row>
    <row r="34" spans="1:22">
      <c r="A34" s="1" t="s">
        <v>55</v>
      </c>
      <c r="B34" s="6">
        <v>0</v>
      </c>
      <c r="C34" s="1">
        <v>283678.9602049074</v>
      </c>
      <c r="D34" s="1">
        <v>0</v>
      </c>
      <c r="E34" s="1">
        <v>0</v>
      </c>
      <c r="F34" s="1">
        <v>0</v>
      </c>
      <c r="G34" s="9">
        <f>SUM(NV_FINANCIAL)</f>
        <v>283678.9602049074</v>
      </c>
      <c r="L34" s="6"/>
      <c r="V34" s="9"/>
    </row>
    <row r="35" spans="1:22">
      <c r="A35" s="1" t="s">
        <v>56</v>
      </c>
      <c r="B35" s="6">
        <v>0</v>
      </c>
      <c r="C35" s="1">
        <v>1874590.3152189655</v>
      </c>
      <c r="D35" s="1">
        <v>0</v>
      </c>
      <c r="E35" s="1">
        <v>0</v>
      </c>
      <c r="F35" s="1">
        <v>0</v>
      </c>
      <c r="G35" s="9">
        <f>SUM(NH_FINANCIAL)</f>
        <v>1874590.3152189655</v>
      </c>
      <c r="L35" s="6">
        <v>0</v>
      </c>
      <c r="M35" s="1">
        <v>0</v>
      </c>
      <c r="O35" s="1">
        <v>2049993</v>
      </c>
      <c r="P35" s="1">
        <v>0</v>
      </c>
      <c r="R35" s="1">
        <v>0</v>
      </c>
      <c r="S35" s="1">
        <v>0</v>
      </c>
      <c r="U35" s="1">
        <v>0</v>
      </c>
      <c r="V35" s="9">
        <v>0</v>
      </c>
    </row>
    <row r="36" spans="1:22">
      <c r="A36" s="1" t="s">
        <v>57</v>
      </c>
      <c r="B36" s="6">
        <v>0</v>
      </c>
      <c r="C36" s="1">
        <v>55882696.267626844</v>
      </c>
      <c r="D36" s="1">
        <v>0</v>
      </c>
      <c r="E36" s="1">
        <v>0</v>
      </c>
      <c r="F36" s="1">
        <v>0</v>
      </c>
      <c r="G36" s="9">
        <f>SUM(NJ_FINANCIAL)</f>
        <v>55882696.267626844</v>
      </c>
      <c r="L36" s="6">
        <v>0</v>
      </c>
      <c r="M36" s="1">
        <v>0</v>
      </c>
      <c r="O36" s="1">
        <v>63000000</v>
      </c>
      <c r="P36" s="1">
        <v>6500000</v>
      </c>
      <c r="R36" s="1">
        <v>0</v>
      </c>
      <c r="S36" s="1">
        <v>0</v>
      </c>
      <c r="U36" s="1">
        <v>0</v>
      </c>
      <c r="V36" s="9">
        <v>0</v>
      </c>
    </row>
    <row r="37" spans="1:22">
      <c r="A37" s="1" t="s">
        <v>58</v>
      </c>
      <c r="B37" s="6">
        <v>0</v>
      </c>
      <c r="C37" s="1">
        <v>376972.28106557485</v>
      </c>
      <c r="D37" s="1">
        <v>0</v>
      </c>
      <c r="E37" s="1">
        <v>0</v>
      </c>
      <c r="F37" s="1">
        <v>0</v>
      </c>
      <c r="G37" s="9">
        <f>SUM(NM_FINANCIAL)</f>
        <v>376972.28106557485</v>
      </c>
      <c r="L37" s="6">
        <v>0</v>
      </c>
      <c r="M37" s="1">
        <v>0</v>
      </c>
      <c r="O37" s="1">
        <v>499991</v>
      </c>
      <c r="P37" s="1">
        <v>0</v>
      </c>
      <c r="R37" s="1">
        <v>0</v>
      </c>
      <c r="S37" s="1">
        <v>0</v>
      </c>
      <c r="U37" s="1">
        <v>0</v>
      </c>
      <c r="V37" s="9">
        <v>0</v>
      </c>
    </row>
    <row r="38" spans="1:22">
      <c r="A38" s="1" t="s">
        <v>59</v>
      </c>
      <c r="B38" s="6">
        <v>0</v>
      </c>
      <c r="C38" s="1">
        <v>537970827.55575466</v>
      </c>
      <c r="D38" s="1">
        <v>0</v>
      </c>
      <c r="E38" s="1">
        <v>0</v>
      </c>
      <c r="F38" s="1">
        <v>0</v>
      </c>
      <c r="G38" s="9">
        <f>SUM(NY_FINANCIAL)</f>
        <v>537970827.55575466</v>
      </c>
      <c r="L38" s="6">
        <v>556478179</v>
      </c>
      <c r="M38" s="1">
        <v>0</v>
      </c>
      <c r="O38" s="1">
        <v>0</v>
      </c>
      <c r="P38" s="1">
        <v>0</v>
      </c>
      <c r="R38" s="1">
        <v>0</v>
      </c>
      <c r="S38" s="1">
        <v>0</v>
      </c>
      <c r="U38" s="1">
        <v>0</v>
      </c>
      <c r="V38" s="9">
        <v>0</v>
      </c>
    </row>
    <row r="39" spans="1:22">
      <c r="A39" s="1" t="s">
        <v>60</v>
      </c>
      <c r="B39" s="6">
        <v>0</v>
      </c>
      <c r="C39" s="1">
        <v>19856462.973592471</v>
      </c>
      <c r="D39" s="1">
        <v>0</v>
      </c>
      <c r="E39" s="1">
        <v>0</v>
      </c>
      <c r="F39" s="1">
        <v>0</v>
      </c>
      <c r="G39" s="9">
        <f>SUM(NC_FINANCIAL)</f>
        <v>19856462.973592471</v>
      </c>
      <c r="L39" s="6">
        <v>0</v>
      </c>
      <c r="M39" s="1">
        <v>0</v>
      </c>
      <c r="O39" s="1">
        <v>20000000</v>
      </c>
      <c r="P39" s="1">
        <v>0</v>
      </c>
      <c r="R39" s="1">
        <v>0</v>
      </c>
      <c r="S39" s="1">
        <v>0</v>
      </c>
      <c r="U39" s="1">
        <v>0</v>
      </c>
      <c r="V39" s="9">
        <v>0</v>
      </c>
    </row>
    <row r="40" spans="1:22">
      <c r="A40" s="1" t="s">
        <v>61</v>
      </c>
      <c r="B40" s="6">
        <v>0</v>
      </c>
      <c r="C40" s="1">
        <v>2468.5100000000002</v>
      </c>
      <c r="D40" s="1">
        <v>0</v>
      </c>
      <c r="E40" s="1">
        <v>0</v>
      </c>
      <c r="F40" s="1">
        <v>0</v>
      </c>
      <c r="G40" s="9">
        <f>SUM(ND_FINANCIAL)</f>
        <v>2468.5100000000002</v>
      </c>
      <c r="L40" s="6"/>
      <c r="V40" s="9"/>
    </row>
    <row r="41" spans="1:22">
      <c r="A41" s="1" t="s">
        <v>62</v>
      </c>
      <c r="B41" s="6">
        <v>0</v>
      </c>
      <c r="C41" s="1">
        <v>5090773.1191857867</v>
      </c>
      <c r="D41" s="1">
        <v>0</v>
      </c>
      <c r="E41" s="1">
        <v>0</v>
      </c>
      <c r="F41" s="1">
        <v>0</v>
      </c>
      <c r="G41" s="9">
        <f>SUM(OH_FINANCIAL)</f>
        <v>5090773.1191857867</v>
      </c>
      <c r="L41" s="6">
        <v>0</v>
      </c>
      <c r="M41" s="1">
        <v>0</v>
      </c>
      <c r="O41" s="1">
        <v>5800000</v>
      </c>
      <c r="P41" s="1">
        <v>0</v>
      </c>
      <c r="R41" s="1">
        <v>0</v>
      </c>
      <c r="S41" s="1">
        <v>0</v>
      </c>
      <c r="U41" s="1">
        <v>0</v>
      </c>
      <c r="V41" s="9">
        <v>0</v>
      </c>
    </row>
    <row r="42" spans="1:22">
      <c r="A42" s="1" t="s">
        <v>63</v>
      </c>
      <c r="B42" s="6">
        <v>0</v>
      </c>
      <c r="C42" s="1">
        <v>269474.40169923898</v>
      </c>
      <c r="D42" s="1">
        <v>0</v>
      </c>
      <c r="E42" s="1">
        <v>0</v>
      </c>
      <c r="F42" s="1">
        <v>0</v>
      </c>
      <c r="G42" s="9">
        <f>SUM(OK_FINANCIAL)</f>
        <v>269474.40169923898</v>
      </c>
      <c r="L42" s="6">
        <v>0</v>
      </c>
      <c r="M42" s="1">
        <v>0</v>
      </c>
      <c r="O42" s="1">
        <v>200000</v>
      </c>
      <c r="P42" s="1">
        <v>0</v>
      </c>
      <c r="R42" s="1">
        <v>0</v>
      </c>
      <c r="S42" s="1">
        <v>0</v>
      </c>
      <c r="U42" s="1">
        <v>0</v>
      </c>
      <c r="V42" s="9">
        <v>0</v>
      </c>
    </row>
    <row r="43" spans="1:22">
      <c r="A43" s="1" t="s">
        <v>64</v>
      </c>
      <c r="B43" s="6">
        <v>0</v>
      </c>
      <c r="C43" s="1">
        <v>37908.929663322015</v>
      </c>
      <c r="D43" s="1">
        <v>0</v>
      </c>
      <c r="E43" s="1">
        <v>0</v>
      </c>
      <c r="F43" s="1">
        <v>0</v>
      </c>
      <c r="G43" s="9">
        <f>SUM(OR_FINANCIAL)</f>
        <v>37908.929663322015</v>
      </c>
      <c r="L43" s="6"/>
      <c r="V43" s="9"/>
    </row>
    <row r="44" spans="1:22">
      <c r="A44" s="1" t="s">
        <v>65</v>
      </c>
      <c r="B44" s="6">
        <v>0</v>
      </c>
      <c r="C44" s="1">
        <v>45305320.181837142</v>
      </c>
      <c r="D44" s="1">
        <v>0</v>
      </c>
      <c r="E44" s="1">
        <v>0</v>
      </c>
      <c r="F44" s="1">
        <v>0</v>
      </c>
      <c r="G44" s="9">
        <f>SUM(PA_FINANCIAL)</f>
        <v>45305320.181837142</v>
      </c>
      <c r="L44" s="6">
        <v>0</v>
      </c>
      <c r="M44" s="1">
        <v>0</v>
      </c>
      <c r="O44" s="1">
        <v>1714000</v>
      </c>
      <c r="P44" s="1">
        <v>0</v>
      </c>
      <c r="R44" s="1">
        <v>0</v>
      </c>
      <c r="S44" s="1">
        <v>0</v>
      </c>
      <c r="U44" s="1">
        <v>0</v>
      </c>
      <c r="V44" s="9">
        <v>0</v>
      </c>
    </row>
    <row r="45" spans="1:22">
      <c r="A45" s="1" t="s">
        <v>66</v>
      </c>
      <c r="B45" s="6">
        <v>0</v>
      </c>
      <c r="C45" s="1">
        <v>48703.951362923312</v>
      </c>
      <c r="D45" s="1">
        <v>0</v>
      </c>
      <c r="E45" s="1">
        <v>0</v>
      </c>
      <c r="F45" s="1">
        <v>0</v>
      </c>
      <c r="G45" s="9">
        <f>SUM(PR_FINANCIAL)</f>
        <v>48703.951362923312</v>
      </c>
      <c r="L45" s="6"/>
      <c r="V45" s="9"/>
    </row>
    <row r="46" spans="1:22">
      <c r="A46" s="1" t="s">
        <v>67</v>
      </c>
      <c r="B46" s="6">
        <v>0</v>
      </c>
      <c r="C46" s="1">
        <v>4664410.2225790117</v>
      </c>
      <c r="D46" s="1">
        <v>0</v>
      </c>
      <c r="E46" s="1">
        <v>0</v>
      </c>
      <c r="F46" s="1">
        <v>0</v>
      </c>
      <c r="G46" s="9">
        <f>SUM(RI_FINANCIAL)</f>
        <v>4664410.2225790117</v>
      </c>
      <c r="L46" s="6">
        <v>0</v>
      </c>
      <c r="M46" s="1">
        <v>0</v>
      </c>
      <c r="O46" s="1">
        <v>4500536</v>
      </c>
      <c r="P46" s="1">
        <v>0</v>
      </c>
      <c r="R46" s="1">
        <v>0</v>
      </c>
      <c r="S46" s="1">
        <v>0</v>
      </c>
      <c r="U46" s="1">
        <v>0</v>
      </c>
      <c r="V46" s="9">
        <v>0</v>
      </c>
    </row>
    <row r="47" spans="1:22">
      <c r="A47" s="1" t="s">
        <v>68</v>
      </c>
      <c r="B47" s="6">
        <v>0</v>
      </c>
      <c r="C47" s="1">
        <v>976007.89523986541</v>
      </c>
      <c r="D47" s="1">
        <v>0</v>
      </c>
      <c r="E47" s="1">
        <v>0</v>
      </c>
      <c r="F47" s="1">
        <v>0</v>
      </c>
      <c r="G47" s="9">
        <f>SUM(SC_FINANCIAL)</f>
        <v>976007.89523986541</v>
      </c>
      <c r="L47" s="6">
        <v>0</v>
      </c>
      <c r="M47" s="1">
        <v>0</v>
      </c>
      <c r="O47" s="1">
        <v>1000000</v>
      </c>
      <c r="P47" s="1">
        <v>0</v>
      </c>
      <c r="R47" s="1">
        <v>0</v>
      </c>
      <c r="S47" s="1">
        <v>0</v>
      </c>
      <c r="U47" s="1">
        <v>0</v>
      </c>
      <c r="V47" s="9">
        <v>0</v>
      </c>
    </row>
    <row r="48" spans="1:22">
      <c r="A48" s="1" t="s">
        <v>69</v>
      </c>
      <c r="B48" s="6">
        <v>0</v>
      </c>
      <c r="C48" s="1">
        <v>828388.92936768045</v>
      </c>
      <c r="D48" s="1">
        <v>0</v>
      </c>
      <c r="E48" s="1">
        <v>0</v>
      </c>
      <c r="F48" s="1">
        <v>0</v>
      </c>
      <c r="G48" s="9">
        <f>SUM(SD_FINANCIAL)</f>
        <v>828388.92936768045</v>
      </c>
      <c r="L48" s="6">
        <v>0</v>
      </c>
      <c r="M48" s="1">
        <v>0</v>
      </c>
      <c r="O48" s="1">
        <v>910000</v>
      </c>
      <c r="P48" s="1">
        <v>0</v>
      </c>
      <c r="R48" s="1">
        <v>0</v>
      </c>
      <c r="S48" s="1">
        <v>0</v>
      </c>
      <c r="U48" s="1">
        <v>0</v>
      </c>
      <c r="V48" s="9">
        <v>0</v>
      </c>
    </row>
    <row r="49" spans="1:22">
      <c r="A49" s="1" t="s">
        <v>70</v>
      </c>
      <c r="B49" s="6">
        <v>0</v>
      </c>
      <c r="C49" s="1">
        <v>1695583.988745257</v>
      </c>
      <c r="D49" s="1">
        <v>0</v>
      </c>
      <c r="E49" s="1">
        <v>0</v>
      </c>
      <c r="F49" s="1">
        <v>0</v>
      </c>
      <c r="G49" s="9">
        <f>SUM(TN_FINANCIAL)</f>
        <v>1695583.988745257</v>
      </c>
      <c r="L49" s="6"/>
      <c r="V49" s="9"/>
    </row>
    <row r="50" spans="1:22">
      <c r="A50" s="1" t="s">
        <v>71</v>
      </c>
      <c r="B50" s="6">
        <v>0</v>
      </c>
      <c r="C50" s="1">
        <v>261971.64994985829</v>
      </c>
      <c r="D50" s="1">
        <v>0</v>
      </c>
      <c r="E50" s="1">
        <v>0</v>
      </c>
      <c r="F50" s="1">
        <v>0</v>
      </c>
      <c r="G50" s="9">
        <f>SUM(TX_FINANCIAL)</f>
        <v>261971.64994985829</v>
      </c>
      <c r="L50" s="6"/>
      <c r="V50" s="9"/>
    </row>
    <row r="51" spans="1:22">
      <c r="A51" s="1" t="s">
        <v>72</v>
      </c>
      <c r="B51" s="6">
        <v>0</v>
      </c>
      <c r="C51" s="1">
        <v>715657.1658459492</v>
      </c>
      <c r="D51" s="1">
        <v>0</v>
      </c>
      <c r="E51" s="1">
        <v>0</v>
      </c>
      <c r="F51" s="1">
        <v>0</v>
      </c>
      <c r="G51" s="9">
        <f>SUM(UT_FINANCIAL)</f>
        <v>715657.1658459492</v>
      </c>
      <c r="L51" s="6">
        <v>0</v>
      </c>
      <c r="M51" s="1">
        <v>0</v>
      </c>
      <c r="O51" s="1">
        <v>749937</v>
      </c>
      <c r="P51" s="1">
        <v>0</v>
      </c>
      <c r="R51" s="1">
        <v>0</v>
      </c>
      <c r="S51" s="1">
        <v>0</v>
      </c>
      <c r="U51" s="1">
        <v>0</v>
      </c>
      <c r="V51" s="9">
        <v>0</v>
      </c>
    </row>
    <row r="52" spans="1:22">
      <c r="A52" s="1" t="s">
        <v>73</v>
      </c>
      <c r="B52" s="6">
        <v>0</v>
      </c>
      <c r="C52" s="1">
        <v>960733.90013028344</v>
      </c>
      <c r="D52" s="1">
        <v>0</v>
      </c>
      <c r="E52" s="1">
        <v>0</v>
      </c>
      <c r="F52" s="1">
        <v>0</v>
      </c>
      <c r="G52" s="9">
        <f>SUM(VT_FINANCIAL)</f>
        <v>960733.90013028344</v>
      </c>
      <c r="L52" s="6">
        <v>0</v>
      </c>
      <c r="M52" s="1">
        <v>0</v>
      </c>
      <c r="O52" s="1">
        <v>800000</v>
      </c>
      <c r="P52" s="1">
        <v>0</v>
      </c>
      <c r="R52" s="1">
        <v>0</v>
      </c>
      <c r="S52" s="1">
        <v>0</v>
      </c>
      <c r="U52" s="1">
        <v>0</v>
      </c>
      <c r="V52" s="9">
        <v>0</v>
      </c>
    </row>
    <row r="53" spans="1:22">
      <c r="A53" s="1" t="s">
        <v>74</v>
      </c>
      <c r="B53" s="6">
        <v>0</v>
      </c>
      <c r="C53" s="1">
        <v>2675864.606143611</v>
      </c>
      <c r="D53" s="1">
        <v>0</v>
      </c>
      <c r="E53" s="1">
        <v>0</v>
      </c>
      <c r="F53" s="1">
        <v>0</v>
      </c>
      <c r="G53" s="9">
        <f>SUM(VA_FINANCIAL)</f>
        <v>2675864.606143611</v>
      </c>
      <c r="L53" s="6">
        <v>0</v>
      </c>
      <c r="M53" s="1">
        <v>0</v>
      </c>
      <c r="O53" s="1">
        <v>3000000</v>
      </c>
      <c r="P53" s="1">
        <v>0</v>
      </c>
      <c r="R53" s="1">
        <v>0</v>
      </c>
      <c r="S53" s="1">
        <v>0</v>
      </c>
      <c r="U53" s="1">
        <v>0</v>
      </c>
      <c r="V53" s="9">
        <v>0</v>
      </c>
    </row>
    <row r="54" spans="1:22">
      <c r="A54" s="1" t="s">
        <v>75</v>
      </c>
      <c r="B54" s="6">
        <v>0</v>
      </c>
      <c r="C54" s="1">
        <v>5340509.8100646436</v>
      </c>
      <c r="D54" s="1">
        <v>0</v>
      </c>
      <c r="E54" s="1">
        <v>0</v>
      </c>
      <c r="F54" s="1">
        <v>0</v>
      </c>
      <c r="G54" s="9">
        <f>SUM(WA_FINANCIAL)</f>
        <v>5340509.8100646436</v>
      </c>
      <c r="L54" s="6"/>
      <c r="V54" s="9"/>
    </row>
    <row r="55" spans="1:22">
      <c r="A55" s="1" t="s">
        <v>76</v>
      </c>
      <c r="B55" s="6">
        <v>0</v>
      </c>
      <c r="C55" s="1">
        <v>2035792.6577130139</v>
      </c>
      <c r="D55" s="1">
        <v>0</v>
      </c>
      <c r="E55" s="1">
        <v>0</v>
      </c>
      <c r="F55" s="1">
        <v>0</v>
      </c>
      <c r="G55" s="9">
        <f>SUM(WV_FINANCIAL)</f>
        <v>2035792.6577130139</v>
      </c>
      <c r="L55" s="6">
        <v>0</v>
      </c>
      <c r="M55" s="1">
        <v>0</v>
      </c>
      <c r="O55" s="1">
        <v>2500000</v>
      </c>
      <c r="P55" s="1">
        <v>0</v>
      </c>
      <c r="R55" s="1">
        <v>0</v>
      </c>
      <c r="S55" s="1">
        <v>0</v>
      </c>
      <c r="U55" s="1">
        <v>0</v>
      </c>
      <c r="V55" s="9">
        <v>0</v>
      </c>
    </row>
    <row r="56" spans="1:22">
      <c r="A56" s="1" t="s">
        <v>77</v>
      </c>
      <c r="B56" s="6">
        <v>0</v>
      </c>
      <c r="C56" s="1">
        <v>108497.05277777466</v>
      </c>
      <c r="D56" s="1">
        <v>0</v>
      </c>
      <c r="E56" s="1">
        <v>0</v>
      </c>
      <c r="F56" s="1">
        <v>0</v>
      </c>
      <c r="G56" s="9">
        <f>SUM(WI_FINANCIAL)</f>
        <v>108497.05277777466</v>
      </c>
      <c r="L56" s="6"/>
      <c r="V56" s="9"/>
    </row>
    <row r="57" spans="1:22">
      <c r="A57" s="1" t="s">
        <v>78</v>
      </c>
      <c r="B57" s="6">
        <v>0</v>
      </c>
      <c r="C57" s="1">
        <v>389801.81975850457</v>
      </c>
      <c r="D57" s="1">
        <v>0</v>
      </c>
      <c r="E57" s="1">
        <v>0</v>
      </c>
      <c r="F57" s="1">
        <v>0</v>
      </c>
      <c r="G57" s="9">
        <f>SUM(WY_FINANCIAL)</f>
        <v>389801.81975850457</v>
      </c>
      <c r="L57" s="6">
        <v>0</v>
      </c>
      <c r="M57" s="1">
        <v>0</v>
      </c>
      <c r="O57" s="1">
        <v>96000</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801859656.73644018</v>
      </c>
      <c r="D60" s="1">
        <f>SUM(HEALTH)</f>
        <v>0</v>
      </c>
      <c r="E60" s="1">
        <f>SUM(UNALLOCATED)</f>
        <v>0</v>
      </c>
      <c r="F60" s="1">
        <f>SUM(LTC)</f>
        <v>0</v>
      </c>
      <c r="G60" s="9">
        <f>SUM(ALL_BLOCKS)</f>
        <v>801859656.73644018</v>
      </c>
      <c r="L60" s="6">
        <f>SUM(LIFE_CALLED)</f>
        <v>556478179</v>
      </c>
      <c r="M60" s="1">
        <f>SUM(LIFE_REFUNDED)</f>
        <v>0</v>
      </c>
      <c r="O60" s="1">
        <f>SUM(ALLOC_CALLED)</f>
        <v>198631919</v>
      </c>
      <c r="P60" s="1">
        <f>SUM(ALLOC_REFUNDED)</f>
        <v>6500906</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114</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26260815</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388973</v>
      </c>
      <c r="L14" s="6"/>
      <c r="V14" s="9"/>
    </row>
    <row r="15" spans="1:22">
      <c r="A15" s="1" t="s">
        <v>25</v>
      </c>
      <c r="B15" s="6">
        <v>0</v>
      </c>
      <c r="C15" s="1">
        <v>0</v>
      </c>
      <c r="D15" s="1">
        <v>0</v>
      </c>
      <c r="E15" s="1">
        <v>0</v>
      </c>
      <c r="F15" s="1">
        <v>0</v>
      </c>
      <c r="G15" s="9">
        <f>SUM(FL_FINANCIAL)</f>
        <v>0</v>
      </c>
      <c r="I15" s="13" t="s">
        <v>26</v>
      </c>
      <c r="J15" s="16">
        <v>819493.75902153191</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-605559</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3081877</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5222500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19770463.759021532</v>
      </c>
      <c r="L26" s="6"/>
      <c r="V26" s="9"/>
    </row>
    <row r="27" spans="1:22">
      <c r="A27" s="1" t="s">
        <v>47</v>
      </c>
      <c r="B27" s="6">
        <v>0</v>
      </c>
      <c r="C27" s="1">
        <v>0</v>
      </c>
      <c r="D27" s="1">
        <v>0</v>
      </c>
      <c r="E27" s="1">
        <v>0</v>
      </c>
      <c r="F27" s="1">
        <v>0</v>
      </c>
      <c r="G27" s="9">
        <f>SUM(MA_FINANCIAL)</f>
        <v>0</v>
      </c>
      <c r="I27" s="13" t="s">
        <v>48</v>
      </c>
      <c r="J27" s="16">
        <f>SUM(ALL_BLOCKS)</f>
        <v>19770463.759021532</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19770463.759021532</v>
      </c>
      <c r="C30" s="1">
        <v>0</v>
      </c>
      <c r="D30" s="1">
        <v>0</v>
      </c>
      <c r="E30" s="1">
        <v>0</v>
      </c>
      <c r="F30" s="1">
        <v>0</v>
      </c>
      <c r="G30" s="9">
        <f>SUM(MS_FINANCIAL)</f>
        <v>19770463.759021532</v>
      </c>
      <c r="L30" s="6">
        <v>13800320</v>
      </c>
      <c r="M30" s="1">
        <v>0</v>
      </c>
      <c r="O30" s="1">
        <v>4950590</v>
      </c>
      <c r="P30" s="1">
        <v>0</v>
      </c>
      <c r="R30" s="1">
        <v>0</v>
      </c>
      <c r="S30" s="1">
        <v>0</v>
      </c>
      <c r="U30" s="1">
        <v>1518800</v>
      </c>
      <c r="V30" s="9">
        <v>0</v>
      </c>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19770463.759021532</v>
      </c>
      <c r="C60" s="1">
        <f>SUM(ALLOCATED)</f>
        <v>0</v>
      </c>
      <c r="D60" s="1">
        <f>SUM(HEALTH)</f>
        <v>0</v>
      </c>
      <c r="E60" s="1">
        <f>SUM(UNALLOCATED)</f>
        <v>0</v>
      </c>
      <c r="F60" s="1">
        <f>SUM(LTC)</f>
        <v>0</v>
      </c>
      <c r="G60" s="9">
        <f>SUM(ALL_BLOCKS)</f>
        <v>19770463.759021532</v>
      </c>
      <c r="L60" s="6">
        <f>SUM(LIFE_CALLED)</f>
        <v>13800320</v>
      </c>
      <c r="M60" s="1">
        <f>SUM(LIFE_REFUNDED)</f>
        <v>0</v>
      </c>
      <c r="O60" s="1">
        <f>SUM(ALLOC_CALLED)</f>
        <v>4950590</v>
      </c>
      <c r="P60" s="1">
        <f>SUM(ALLOC_REFUNDED)</f>
        <v>0</v>
      </c>
      <c r="R60" s="1">
        <f>SUM(HEALTH_CALLED)</f>
        <v>0</v>
      </c>
      <c r="S60" s="1">
        <f>SUM(HEALTH_REFUNDED)</f>
        <v>0</v>
      </c>
      <c r="U60" s="1">
        <f>SUM(UNALLOC_CALLED)</f>
        <v>1518800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115</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8850514</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346163.40568823193</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9196677.4056882318</v>
      </c>
      <c r="L26" s="6"/>
      <c r="V26" s="9"/>
    </row>
    <row r="27" spans="1:22">
      <c r="A27" s="1" t="s">
        <v>47</v>
      </c>
      <c r="B27" s="6">
        <v>0</v>
      </c>
      <c r="C27" s="1">
        <v>0</v>
      </c>
      <c r="D27" s="1">
        <v>0</v>
      </c>
      <c r="E27" s="1">
        <v>0</v>
      </c>
      <c r="F27" s="1">
        <v>0</v>
      </c>
      <c r="G27" s="9">
        <f>SUM(MA_FINANCIAL)</f>
        <v>0</v>
      </c>
      <c r="I27" s="13" t="s">
        <v>48</v>
      </c>
      <c r="J27" s="16">
        <f>SUM(ALL_BLOCKS)</f>
        <v>9196677.4056882318</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4721553.5146318031</v>
      </c>
      <c r="C42" s="1">
        <v>4475123.8910564287</v>
      </c>
      <c r="D42" s="1">
        <v>0</v>
      </c>
      <c r="E42" s="1">
        <v>0</v>
      </c>
      <c r="F42" s="1">
        <v>0</v>
      </c>
      <c r="G42" s="9">
        <f>SUM(OK_FINANCIAL)</f>
        <v>9196677.4056882318</v>
      </c>
      <c r="L42" s="6">
        <v>7965000</v>
      </c>
      <c r="M42" s="1">
        <v>3015000</v>
      </c>
      <c r="O42" s="1">
        <v>885000</v>
      </c>
      <c r="P42" s="1">
        <v>335000</v>
      </c>
      <c r="R42" s="1">
        <v>0</v>
      </c>
      <c r="S42" s="1">
        <v>0</v>
      </c>
      <c r="U42" s="1">
        <v>0</v>
      </c>
      <c r="V42" s="9">
        <v>0</v>
      </c>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4721553.5146318031</v>
      </c>
      <c r="C60" s="1">
        <f>SUM(ALLOCATED)</f>
        <v>4475123.8910564287</v>
      </c>
      <c r="D60" s="1">
        <f>SUM(HEALTH)</f>
        <v>0</v>
      </c>
      <c r="E60" s="1">
        <f>SUM(UNALLOCATED)</f>
        <v>0</v>
      </c>
      <c r="F60" s="1">
        <f>SUM(LTC)</f>
        <v>0</v>
      </c>
      <c r="G60" s="9">
        <f>SUM(ALL_BLOCKS)</f>
        <v>9196677.4056882318</v>
      </c>
      <c r="L60" s="6">
        <f>SUM(LIFE_CALLED)</f>
        <v>7965000</v>
      </c>
      <c r="M60" s="1">
        <f>SUM(LIFE_REFUNDED)</f>
        <v>3015000</v>
      </c>
      <c r="O60" s="1">
        <f>SUM(ALLOC_CALLED)</f>
        <v>885000</v>
      </c>
      <c r="P60" s="1">
        <f>SUM(ALLOC_REFUNDED)</f>
        <v>335000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116</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1799.6324644488068</v>
      </c>
      <c r="C6" s="1">
        <v>382253.76467821293</v>
      </c>
      <c r="D6" s="1">
        <v>0</v>
      </c>
      <c r="E6" s="1">
        <v>0</v>
      </c>
      <c r="F6" s="1">
        <v>0</v>
      </c>
      <c r="G6" s="9">
        <f>SUM(AL_FINANCIAL)</f>
        <v>384053.39714266174</v>
      </c>
      <c r="L6" s="6"/>
      <c r="V6" s="9"/>
    </row>
    <row r="7" spans="1:22">
      <c r="A7" s="1" t="s">
        <v>12</v>
      </c>
      <c r="B7" s="6">
        <v>723.03365774358747</v>
      </c>
      <c r="C7" s="1">
        <v>1871.4052157662916</v>
      </c>
      <c r="D7" s="1">
        <v>0</v>
      </c>
      <c r="E7" s="1">
        <v>0</v>
      </c>
      <c r="F7" s="1">
        <v>0</v>
      </c>
      <c r="G7" s="9">
        <f>SUM(AK_FINANCIAL)</f>
        <v>2594.4388735098792</v>
      </c>
      <c r="I7" s="12"/>
      <c r="J7" s="15"/>
      <c r="L7" s="6">
        <v>4005</v>
      </c>
      <c r="M7" s="1">
        <v>30</v>
      </c>
      <c r="O7" s="1">
        <v>6000</v>
      </c>
      <c r="P7" s="1">
        <v>20</v>
      </c>
      <c r="R7" s="1">
        <v>5</v>
      </c>
      <c r="S7" s="1">
        <v>0</v>
      </c>
      <c r="U7" s="1">
        <v>0</v>
      </c>
      <c r="V7" s="9">
        <v>0</v>
      </c>
    </row>
    <row r="8" spans="1:22">
      <c r="A8" s="1" t="s">
        <v>13</v>
      </c>
      <c r="B8" s="6">
        <v>2316.7189140999139</v>
      </c>
      <c r="C8" s="1">
        <v>49016.133866603574</v>
      </c>
      <c r="D8" s="1">
        <v>0</v>
      </c>
      <c r="E8" s="1">
        <v>0</v>
      </c>
      <c r="F8" s="1">
        <v>0</v>
      </c>
      <c r="G8" s="9">
        <f>SUM(AZ_FINANCIAL)</f>
        <v>51332.852780703484</v>
      </c>
      <c r="I8" s="13" t="s">
        <v>14</v>
      </c>
      <c r="J8" s="16"/>
      <c r="L8" s="6"/>
      <c r="V8" s="9"/>
    </row>
    <row r="9" spans="1:22">
      <c r="A9" s="1" t="s">
        <v>15</v>
      </c>
      <c r="B9" s="6">
        <v>2259.2803646248208</v>
      </c>
      <c r="C9" s="1">
        <v>13185.200961231976</v>
      </c>
      <c r="D9" s="1">
        <v>0</v>
      </c>
      <c r="E9" s="1">
        <v>0</v>
      </c>
      <c r="F9" s="1">
        <v>0</v>
      </c>
      <c r="G9" s="9">
        <f>SUM(AR_FINANCIAL)</f>
        <v>15444.481325856797</v>
      </c>
      <c r="I9" s="13"/>
      <c r="J9" s="16"/>
      <c r="L9" s="6">
        <v>36125</v>
      </c>
      <c r="M9" s="1">
        <v>0</v>
      </c>
      <c r="O9" s="1">
        <v>0</v>
      </c>
      <c r="P9" s="1">
        <v>0</v>
      </c>
      <c r="R9" s="1">
        <v>0</v>
      </c>
      <c r="S9" s="1">
        <v>0</v>
      </c>
      <c r="U9" s="1">
        <v>0</v>
      </c>
      <c r="V9" s="9">
        <v>0</v>
      </c>
    </row>
    <row r="10" spans="1:22">
      <c r="A10" s="1" t="s">
        <v>16</v>
      </c>
      <c r="B10" s="6">
        <v>31046.759389887586</v>
      </c>
      <c r="C10" s="1">
        <v>249805.78607366551</v>
      </c>
      <c r="D10" s="1">
        <v>0</v>
      </c>
      <c r="E10" s="1">
        <v>0</v>
      </c>
      <c r="F10" s="1">
        <v>0</v>
      </c>
      <c r="G10" s="9">
        <f>SUM(CA_FINANCIAL)</f>
        <v>280852.54546355311</v>
      </c>
      <c r="I10" s="13" t="s">
        <v>17</v>
      </c>
      <c r="J10" s="16">
        <v>11499999</v>
      </c>
      <c r="L10" s="6">
        <v>205036</v>
      </c>
      <c r="M10" s="1">
        <v>0</v>
      </c>
      <c r="O10" s="1">
        <v>314964</v>
      </c>
      <c r="P10" s="1">
        <v>0</v>
      </c>
      <c r="R10" s="1">
        <v>0</v>
      </c>
      <c r="S10" s="1">
        <v>0</v>
      </c>
      <c r="U10" s="1">
        <v>0</v>
      </c>
      <c r="V10" s="9">
        <v>0</v>
      </c>
    </row>
    <row r="11" spans="1:22">
      <c r="A11" s="1" t="s">
        <v>18</v>
      </c>
      <c r="B11" s="6">
        <v>0</v>
      </c>
      <c r="C11" s="1">
        <v>0</v>
      </c>
      <c r="D11" s="1">
        <v>0</v>
      </c>
      <c r="E11" s="1">
        <v>0</v>
      </c>
      <c r="F11" s="1">
        <v>0</v>
      </c>
      <c r="G11" s="9">
        <f>SUM(CO_FINANCIAL)</f>
        <v>0</v>
      </c>
      <c r="I11" s="13"/>
      <c r="J11" s="16"/>
      <c r="L11" s="6"/>
      <c r="V11" s="9"/>
    </row>
    <row r="12" spans="1:22">
      <c r="A12" s="1" t="s">
        <v>19</v>
      </c>
      <c r="B12" s="6">
        <v>9007.1263700879808</v>
      </c>
      <c r="C12" s="1">
        <v>163387.86060254782</v>
      </c>
      <c r="D12" s="1">
        <v>0</v>
      </c>
      <c r="E12" s="1">
        <v>0</v>
      </c>
      <c r="F12" s="1">
        <v>0</v>
      </c>
      <c r="G12" s="9">
        <f>SUM(CT_FINANCIAL)</f>
        <v>172394.98697263582</v>
      </c>
      <c r="I12" s="13" t="s">
        <v>20</v>
      </c>
      <c r="J12" s="16"/>
      <c r="L12" s="6">
        <v>210000</v>
      </c>
      <c r="M12" s="1">
        <v>0</v>
      </c>
      <c r="O12" s="1">
        <v>0</v>
      </c>
      <c r="P12" s="1">
        <v>0</v>
      </c>
      <c r="R12" s="1">
        <v>0</v>
      </c>
      <c r="S12" s="1">
        <v>0</v>
      </c>
      <c r="U12" s="1">
        <v>0</v>
      </c>
      <c r="V12" s="9">
        <v>0</v>
      </c>
    </row>
    <row r="13" spans="1:22">
      <c r="A13" s="1" t="s">
        <v>21</v>
      </c>
      <c r="B13" s="6">
        <v>815.68946251259217</v>
      </c>
      <c r="C13" s="1">
        <v>29731.343645641267</v>
      </c>
      <c r="D13" s="1">
        <v>0</v>
      </c>
      <c r="E13" s="1">
        <v>0</v>
      </c>
      <c r="F13" s="1">
        <v>0</v>
      </c>
      <c r="G13" s="9">
        <f>SUM(DE_FINANCIAL)</f>
        <v>30547.033108153861</v>
      </c>
      <c r="I13" s="13" t="s">
        <v>22</v>
      </c>
      <c r="J13" s="16">
        <v>11499999</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11352.212309064294</v>
      </c>
      <c r="C15" s="1">
        <v>272677.84176931792</v>
      </c>
      <c r="D15" s="1">
        <v>0</v>
      </c>
      <c r="E15" s="1">
        <v>0</v>
      </c>
      <c r="F15" s="1">
        <v>0</v>
      </c>
      <c r="G15" s="9">
        <f>SUM(FL_FINANCIAL)</f>
        <v>284030.05407838221</v>
      </c>
      <c r="I15" s="13" t="s">
        <v>26</v>
      </c>
      <c r="J15" s="16">
        <v>2940462.4499999993</v>
      </c>
      <c r="L15" s="6"/>
      <c r="V15" s="9"/>
    </row>
    <row r="16" spans="1:22">
      <c r="A16" s="1" t="s">
        <v>27</v>
      </c>
      <c r="B16" s="6">
        <v>10137.048501976175</v>
      </c>
      <c r="C16" s="1">
        <v>15586.6937083266</v>
      </c>
      <c r="D16" s="1">
        <v>0</v>
      </c>
      <c r="E16" s="1">
        <v>0</v>
      </c>
      <c r="F16" s="1">
        <v>0</v>
      </c>
      <c r="G16" s="9">
        <f>SUM(GA_FINANCIAL)</f>
        <v>25723.742210302775</v>
      </c>
      <c r="I16" s="13" t="s">
        <v>28</v>
      </c>
      <c r="J16" s="16">
        <v>0</v>
      </c>
      <c r="L16" s="6"/>
      <c r="V16" s="9"/>
    </row>
    <row r="17" spans="1:22">
      <c r="A17" s="1" t="s">
        <v>29</v>
      </c>
      <c r="B17" s="6">
        <v>664.66850272275087</v>
      </c>
      <c r="C17" s="1">
        <v>18314.638995122856</v>
      </c>
      <c r="D17" s="1">
        <v>0</v>
      </c>
      <c r="E17" s="1">
        <v>0</v>
      </c>
      <c r="F17" s="1">
        <v>0</v>
      </c>
      <c r="G17" s="9">
        <f>SUM(HI_FINANCIAL)</f>
        <v>18979.307497845606</v>
      </c>
      <c r="I17" s="13"/>
      <c r="J17" s="16"/>
      <c r="L17" s="6">
        <v>77</v>
      </c>
      <c r="M17" s="1">
        <v>0</v>
      </c>
      <c r="O17" s="1">
        <v>1692</v>
      </c>
      <c r="P17" s="1">
        <v>0</v>
      </c>
      <c r="R17" s="1">
        <v>73</v>
      </c>
      <c r="S17" s="1">
        <v>0</v>
      </c>
      <c r="U17" s="1">
        <v>0</v>
      </c>
      <c r="V17" s="9">
        <v>0</v>
      </c>
    </row>
    <row r="18" spans="1:22">
      <c r="A18" s="1" t="s">
        <v>30</v>
      </c>
      <c r="B18" s="6">
        <v>348.25803565988809</v>
      </c>
      <c r="C18" s="1">
        <v>158024.07655813478</v>
      </c>
      <c r="D18" s="1">
        <v>0</v>
      </c>
      <c r="E18" s="1">
        <v>0</v>
      </c>
      <c r="F18" s="1">
        <v>0</v>
      </c>
      <c r="G18" s="9">
        <f>SUM(ID_FINANCIAL)</f>
        <v>158372.33459379466</v>
      </c>
      <c r="I18" s="13" t="s">
        <v>31</v>
      </c>
      <c r="J18" s="16"/>
      <c r="L18" s="6"/>
      <c r="V18" s="9"/>
    </row>
    <row r="19" spans="1:22">
      <c r="A19" s="1" t="s">
        <v>32</v>
      </c>
      <c r="B19" s="6">
        <v>13087.039744516891</v>
      </c>
      <c r="C19" s="1">
        <v>630500.0300065825</v>
      </c>
      <c r="D19" s="1">
        <v>0</v>
      </c>
      <c r="E19" s="1">
        <v>0</v>
      </c>
      <c r="F19" s="1">
        <v>0</v>
      </c>
      <c r="G19" s="9">
        <f>SUM(IL_FINANCIAL)</f>
        <v>643587.06975109933</v>
      </c>
      <c r="I19" s="13" t="s">
        <v>33</v>
      </c>
      <c r="J19" s="16">
        <v>0</v>
      </c>
      <c r="L19" s="6">
        <v>80000</v>
      </c>
      <c r="M19" s="1">
        <v>0</v>
      </c>
      <c r="O19" s="1">
        <v>895000</v>
      </c>
      <c r="P19" s="1">
        <v>0</v>
      </c>
      <c r="R19" s="1">
        <v>5000</v>
      </c>
      <c r="S19" s="1">
        <v>0</v>
      </c>
      <c r="U19" s="1">
        <v>35000</v>
      </c>
      <c r="V19" s="9">
        <v>0</v>
      </c>
    </row>
    <row r="20" spans="1:22">
      <c r="A20" s="1" t="s">
        <v>34</v>
      </c>
      <c r="B20" s="6">
        <v>6785.1273746141524</v>
      </c>
      <c r="C20" s="1">
        <v>1120676.5569827275</v>
      </c>
      <c r="D20" s="1">
        <v>0</v>
      </c>
      <c r="E20" s="1">
        <v>0</v>
      </c>
      <c r="F20" s="1">
        <v>0</v>
      </c>
      <c r="G20" s="9">
        <f>SUM(IN_FINANCIAL)</f>
        <v>1127461.6843573416</v>
      </c>
      <c r="I20" s="13" t="s">
        <v>35</v>
      </c>
      <c r="J20" s="16">
        <v>11499999</v>
      </c>
      <c r="L20" s="6"/>
      <c r="V20" s="9"/>
    </row>
    <row r="21" spans="1:22">
      <c r="A21" s="1" t="s">
        <v>36</v>
      </c>
      <c r="B21" s="6">
        <v>1909.0058210929424</v>
      </c>
      <c r="C21" s="1">
        <v>61383.605649586818</v>
      </c>
      <c r="D21" s="1">
        <v>0</v>
      </c>
      <c r="E21" s="1">
        <v>0</v>
      </c>
      <c r="F21" s="1">
        <v>0</v>
      </c>
      <c r="G21" s="9">
        <f>SUM(IA_FINANCIAL)</f>
        <v>63292.61147067976</v>
      </c>
      <c r="I21" s="13" t="s">
        <v>37</v>
      </c>
      <c r="J21" s="16"/>
      <c r="L21" s="6"/>
      <c r="V21" s="9"/>
    </row>
    <row r="22" spans="1:22">
      <c r="A22" s="1" t="s">
        <v>38</v>
      </c>
      <c r="B22" s="6">
        <v>2015.8066605397948</v>
      </c>
      <c r="C22" s="1">
        <v>15596.238715640842</v>
      </c>
      <c r="D22" s="1">
        <v>0</v>
      </c>
      <c r="E22" s="1">
        <v>0</v>
      </c>
      <c r="F22" s="1">
        <v>0</v>
      </c>
      <c r="G22" s="9">
        <f>SUM(KS_FINANCIAL)</f>
        <v>17612.045376180638</v>
      </c>
      <c r="I22" s="13" t="s">
        <v>39</v>
      </c>
      <c r="J22" s="16">
        <v>0</v>
      </c>
      <c r="L22" s="6"/>
      <c r="V22" s="9"/>
    </row>
    <row r="23" spans="1:22">
      <c r="A23" s="1" t="s">
        <v>40</v>
      </c>
      <c r="B23" s="6">
        <v>1487.9397772359164</v>
      </c>
      <c r="C23" s="1">
        <v>28971.000904697292</v>
      </c>
      <c r="D23" s="1">
        <v>0</v>
      </c>
      <c r="E23" s="1">
        <v>0</v>
      </c>
      <c r="F23" s="1">
        <v>0</v>
      </c>
      <c r="G23" s="9">
        <f>SUM(KY_FINANCIAL)</f>
        <v>30458.940681933207</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1431.834669562963</v>
      </c>
      <c r="C25" s="1">
        <v>16000.25252292334</v>
      </c>
      <c r="D25" s="1">
        <v>0</v>
      </c>
      <c r="E25" s="1">
        <v>0</v>
      </c>
      <c r="F25" s="1">
        <v>0</v>
      </c>
      <c r="G25" s="9">
        <f>SUM(ME_FINANCIAL)</f>
        <v>17432.087192486302</v>
      </c>
      <c r="I25" s="13"/>
      <c r="J25" s="16"/>
      <c r="L25" s="6"/>
      <c r="V25" s="9"/>
    </row>
    <row r="26" spans="1:22">
      <c r="A26" s="1" t="s">
        <v>45</v>
      </c>
      <c r="B26" s="6">
        <v>12654.787991078008</v>
      </c>
      <c r="C26" s="1">
        <v>25691.506637563078</v>
      </c>
      <c r="D26" s="1">
        <v>0</v>
      </c>
      <c r="E26" s="1">
        <v>0</v>
      </c>
      <c r="F26" s="1">
        <v>0</v>
      </c>
      <c r="G26" s="9">
        <f>SUM(MD_FINANCIAL)</f>
        <v>38346.294628641088</v>
      </c>
      <c r="I26" s="13" t="s">
        <v>46</v>
      </c>
      <c r="J26" s="16">
        <f>SUM(ADD_FINANCIAL)-SUM(LESS_FINANCIAL)</f>
        <v>14440461.449999999</v>
      </c>
      <c r="L26" s="6"/>
      <c r="V26" s="9"/>
    </row>
    <row r="27" spans="1:22">
      <c r="A27" s="1" t="s">
        <v>47</v>
      </c>
      <c r="B27" s="6">
        <v>10992.479706298687</v>
      </c>
      <c r="C27" s="1">
        <v>108416.3319795979</v>
      </c>
      <c r="D27" s="1">
        <v>0</v>
      </c>
      <c r="E27" s="1">
        <v>0</v>
      </c>
      <c r="F27" s="1">
        <v>0</v>
      </c>
      <c r="G27" s="9">
        <f>SUM(MA_FINANCIAL)</f>
        <v>119408.8116858966</v>
      </c>
      <c r="I27" s="13" t="s">
        <v>48</v>
      </c>
      <c r="J27" s="16">
        <f>SUM(ALL_BLOCKS)</f>
        <v>14440461.449999997</v>
      </c>
      <c r="L27" s="6"/>
      <c r="V27" s="9"/>
    </row>
    <row r="28" spans="1:22">
      <c r="A28" s="1" t="s">
        <v>49</v>
      </c>
      <c r="B28" s="6">
        <v>9442.9647994595125</v>
      </c>
      <c r="C28" s="1">
        <v>123577.4923670373</v>
      </c>
      <c r="D28" s="1">
        <v>0</v>
      </c>
      <c r="E28" s="1">
        <v>0</v>
      </c>
      <c r="F28" s="1">
        <v>0</v>
      </c>
      <c r="G28" s="9">
        <f>SUM(MI_FINANCIAL)</f>
        <v>133020.45716649681</v>
      </c>
      <c r="I28" s="14"/>
      <c r="J28" s="17"/>
      <c r="L28" s="6"/>
      <c r="V28" s="9"/>
    </row>
    <row r="29" spans="1:22">
      <c r="A29" s="1" t="s">
        <v>50</v>
      </c>
      <c r="B29" s="6">
        <v>8062.0958639939954</v>
      </c>
      <c r="C29" s="1">
        <v>1058872.4774863066</v>
      </c>
      <c r="D29" s="1">
        <v>0</v>
      </c>
      <c r="E29" s="1">
        <v>0</v>
      </c>
      <c r="F29" s="1">
        <v>0</v>
      </c>
      <c r="G29" s="9">
        <f>SUM(MN_FINANCIAL)</f>
        <v>1066934.5733503005</v>
      </c>
      <c r="L29" s="6">
        <v>286000</v>
      </c>
      <c r="M29" s="1">
        <v>0</v>
      </c>
      <c r="O29" s="1">
        <v>814000</v>
      </c>
      <c r="P29" s="1">
        <v>0</v>
      </c>
      <c r="R29" s="1">
        <v>0</v>
      </c>
      <c r="S29" s="1">
        <v>0</v>
      </c>
      <c r="U29" s="1">
        <v>0</v>
      </c>
      <c r="V29" s="9">
        <v>0</v>
      </c>
    </row>
    <row r="30" spans="1:22">
      <c r="A30" s="1" t="s">
        <v>51</v>
      </c>
      <c r="B30" s="6">
        <v>1547.6222243954485</v>
      </c>
      <c r="C30" s="1">
        <v>9452.2249807436292</v>
      </c>
      <c r="D30" s="1">
        <v>0</v>
      </c>
      <c r="E30" s="1">
        <v>0</v>
      </c>
      <c r="F30" s="1">
        <v>0</v>
      </c>
      <c r="G30" s="9">
        <f>SUM(MS_FINANCIAL)</f>
        <v>10999.847205139078</v>
      </c>
      <c r="L30" s="6"/>
      <c r="V30" s="9"/>
    </row>
    <row r="31" spans="1:22">
      <c r="A31" s="1" t="s">
        <v>52</v>
      </c>
      <c r="B31" s="6">
        <v>3512.3774388894781</v>
      </c>
      <c r="C31" s="1">
        <v>78283.247043423995</v>
      </c>
      <c r="D31" s="1">
        <v>0</v>
      </c>
      <c r="E31" s="1">
        <v>0</v>
      </c>
      <c r="F31" s="1">
        <v>0</v>
      </c>
      <c r="G31" s="9">
        <f>SUM(MO_FINANCIAL)</f>
        <v>81795.624482313477</v>
      </c>
      <c r="L31" s="6"/>
      <c r="V31" s="9"/>
    </row>
    <row r="32" spans="1:22">
      <c r="A32" s="1" t="s">
        <v>53</v>
      </c>
      <c r="B32" s="6">
        <v>561.47965162386288</v>
      </c>
      <c r="C32" s="1">
        <v>27761.943400361939</v>
      </c>
      <c r="D32" s="1">
        <v>0</v>
      </c>
      <c r="E32" s="1">
        <v>0</v>
      </c>
      <c r="F32" s="1">
        <v>0</v>
      </c>
      <c r="G32" s="9">
        <f>SUM(MT_FINANCIAL)</f>
        <v>28323.423051985803</v>
      </c>
      <c r="L32" s="6"/>
      <c r="V32" s="9"/>
    </row>
    <row r="33" spans="1:22">
      <c r="A33" s="1" t="s">
        <v>54</v>
      </c>
      <c r="B33" s="6">
        <v>802.6090993740695</v>
      </c>
      <c r="C33" s="1">
        <v>397573.25326913968</v>
      </c>
      <c r="D33" s="1">
        <v>0</v>
      </c>
      <c r="E33" s="1">
        <v>0</v>
      </c>
      <c r="F33" s="1">
        <v>0</v>
      </c>
      <c r="G33" s="9">
        <f>SUM(NE_FINANCIAL)</f>
        <v>398375.86236851377</v>
      </c>
      <c r="L33" s="6"/>
      <c r="V33" s="9"/>
    </row>
    <row r="34" spans="1:22">
      <c r="A34" s="1" t="s">
        <v>55</v>
      </c>
      <c r="B34" s="6">
        <v>540.57371675506431</v>
      </c>
      <c r="C34" s="1">
        <v>87858.406522177174</v>
      </c>
      <c r="D34" s="1">
        <v>0</v>
      </c>
      <c r="E34" s="1">
        <v>0</v>
      </c>
      <c r="F34" s="1">
        <v>0</v>
      </c>
      <c r="G34" s="9">
        <f>SUM(NV_FINANCIAL)</f>
        <v>88398.980238932243</v>
      </c>
      <c r="L34" s="6"/>
      <c r="V34" s="9"/>
    </row>
    <row r="35" spans="1:22">
      <c r="A35" s="1" t="s">
        <v>56</v>
      </c>
      <c r="B35" s="6">
        <v>3878.3608939476085</v>
      </c>
      <c r="C35" s="1">
        <v>259028.93056086489</v>
      </c>
      <c r="D35" s="1">
        <v>0</v>
      </c>
      <c r="E35" s="1">
        <v>0</v>
      </c>
      <c r="F35" s="1">
        <v>0</v>
      </c>
      <c r="G35" s="9">
        <f>SUM(NH_FINANCIAL)</f>
        <v>262907.29145481251</v>
      </c>
      <c r="L35" s="6"/>
      <c r="V35" s="9"/>
    </row>
    <row r="36" spans="1:22">
      <c r="A36" s="1" t="s">
        <v>57</v>
      </c>
      <c r="B36" s="6">
        <v>12917.261060499834</v>
      </c>
      <c r="C36" s="1">
        <v>145681.2218065674</v>
      </c>
      <c r="D36" s="1">
        <v>0</v>
      </c>
      <c r="E36" s="1">
        <v>0</v>
      </c>
      <c r="F36" s="1">
        <v>0</v>
      </c>
      <c r="G36" s="9">
        <f>SUM(NJ_FINANCIAL)</f>
        <v>158598.48286706721</v>
      </c>
      <c r="L36" s="6"/>
      <c r="V36" s="9"/>
    </row>
    <row r="37" spans="1:22">
      <c r="A37" s="1" t="s">
        <v>58</v>
      </c>
      <c r="B37" s="6">
        <v>635.93615647607555</v>
      </c>
      <c r="C37" s="1">
        <v>271543.23759245529</v>
      </c>
      <c r="D37" s="1">
        <v>0</v>
      </c>
      <c r="E37" s="1">
        <v>0</v>
      </c>
      <c r="F37" s="1">
        <v>0</v>
      </c>
      <c r="G37" s="9">
        <f>SUM(NM_FINANCIAL)</f>
        <v>272179.17374893138</v>
      </c>
      <c r="L37" s="6">
        <v>49965</v>
      </c>
      <c r="M37" s="1">
        <v>0</v>
      </c>
      <c r="O37" s="1">
        <v>349994</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8696.5836764464912</v>
      </c>
      <c r="C39" s="1">
        <v>119657.92989066108</v>
      </c>
      <c r="D39" s="1">
        <v>0</v>
      </c>
      <c r="E39" s="1">
        <v>0</v>
      </c>
      <c r="F39" s="1">
        <v>0</v>
      </c>
      <c r="G39" s="9">
        <f>SUM(NC_FINANCIAL)</f>
        <v>128354.51356710757</v>
      </c>
      <c r="L39" s="6">
        <v>12800</v>
      </c>
      <c r="M39" s="1">
        <v>0</v>
      </c>
      <c r="O39" s="1">
        <v>147200</v>
      </c>
      <c r="P39" s="1">
        <v>0</v>
      </c>
      <c r="R39" s="1">
        <v>0</v>
      </c>
      <c r="S39" s="1">
        <v>0</v>
      </c>
      <c r="U39" s="1">
        <v>0</v>
      </c>
      <c r="V39" s="9">
        <v>0</v>
      </c>
    </row>
    <row r="40" spans="1:22">
      <c r="A40" s="1" t="s">
        <v>61</v>
      </c>
      <c r="B40" s="6">
        <v>552.06069327136561</v>
      </c>
      <c r="C40" s="1">
        <v>20115.992318379445</v>
      </c>
      <c r="D40" s="1">
        <v>0</v>
      </c>
      <c r="E40" s="1">
        <v>0</v>
      </c>
      <c r="F40" s="1">
        <v>0</v>
      </c>
      <c r="G40" s="9">
        <f>SUM(ND_FINANCIAL)</f>
        <v>20668.053011650813</v>
      </c>
      <c r="L40" s="6"/>
      <c r="V40" s="9"/>
    </row>
    <row r="41" spans="1:22">
      <c r="A41" s="1" t="s">
        <v>62</v>
      </c>
      <c r="B41" s="6">
        <v>14266.412093490315</v>
      </c>
      <c r="C41" s="1">
        <v>200845.76865189485</v>
      </c>
      <c r="D41" s="1">
        <v>0</v>
      </c>
      <c r="E41" s="1">
        <v>0</v>
      </c>
      <c r="F41" s="1">
        <v>0</v>
      </c>
      <c r="G41" s="9">
        <f>SUM(OH_FINANCIAL)</f>
        <v>215112.18074538515</v>
      </c>
      <c r="L41" s="6"/>
      <c r="V41" s="9"/>
    </row>
    <row r="42" spans="1:22">
      <c r="A42" s="1" t="s">
        <v>63</v>
      </c>
      <c r="B42" s="6">
        <v>1022.0756637615145</v>
      </c>
      <c r="C42" s="1">
        <v>28163.386616148615</v>
      </c>
      <c r="D42" s="1">
        <v>0</v>
      </c>
      <c r="E42" s="1">
        <v>0</v>
      </c>
      <c r="F42" s="1">
        <v>0</v>
      </c>
      <c r="G42" s="9">
        <f>SUM(OK_FINANCIAL)</f>
        <v>29185.462279910131</v>
      </c>
      <c r="L42" s="6">
        <v>5500</v>
      </c>
      <c r="M42" s="1">
        <v>0</v>
      </c>
      <c r="O42" s="1">
        <v>44500</v>
      </c>
      <c r="P42" s="1">
        <v>0</v>
      </c>
      <c r="R42" s="1">
        <v>0</v>
      </c>
      <c r="S42" s="1">
        <v>0</v>
      </c>
      <c r="U42" s="1">
        <v>0</v>
      </c>
      <c r="V42" s="9">
        <v>0</v>
      </c>
    </row>
    <row r="43" spans="1:22">
      <c r="A43" s="1" t="s">
        <v>64</v>
      </c>
      <c r="B43" s="6">
        <v>2955.5576402142351</v>
      </c>
      <c r="C43" s="1">
        <v>57065.327498658502</v>
      </c>
      <c r="D43" s="1">
        <v>0</v>
      </c>
      <c r="E43" s="1">
        <v>0</v>
      </c>
      <c r="F43" s="1">
        <v>0</v>
      </c>
      <c r="G43" s="9">
        <f>SUM(OR_FINANCIAL)</f>
        <v>60020.885138872734</v>
      </c>
      <c r="L43" s="6"/>
      <c r="V43" s="9"/>
    </row>
    <row r="44" spans="1:22">
      <c r="A44" s="1" t="s">
        <v>65</v>
      </c>
      <c r="B44" s="6">
        <v>13758.729814338165</v>
      </c>
      <c r="C44" s="1">
        <v>3793202.2854570295</v>
      </c>
      <c r="D44" s="1">
        <v>0</v>
      </c>
      <c r="E44" s="1">
        <v>0</v>
      </c>
      <c r="F44" s="1">
        <v>0</v>
      </c>
      <c r="G44" s="9">
        <f>SUM(PA_FINANCIAL)</f>
        <v>3806961.0152713675</v>
      </c>
      <c r="L44" s="6"/>
      <c r="V44" s="9"/>
    </row>
    <row r="45" spans="1:22">
      <c r="A45" s="1" t="s">
        <v>66</v>
      </c>
      <c r="B45" s="6">
        <v>0</v>
      </c>
      <c r="C45" s="1">
        <v>0</v>
      </c>
      <c r="D45" s="1">
        <v>0</v>
      </c>
      <c r="E45" s="1">
        <v>0</v>
      </c>
      <c r="F45" s="1">
        <v>0</v>
      </c>
      <c r="G45" s="9">
        <f>SUM(PR_FINANCIAL)</f>
        <v>0</v>
      </c>
      <c r="L45" s="6"/>
      <c r="V45" s="9"/>
    </row>
    <row r="46" spans="1:22">
      <c r="A46" s="1" t="s">
        <v>67</v>
      </c>
      <c r="B46" s="6">
        <v>970.57573919617062</v>
      </c>
      <c r="C46" s="1">
        <v>209785.39261775569</v>
      </c>
      <c r="D46" s="1">
        <v>0</v>
      </c>
      <c r="E46" s="1">
        <v>0</v>
      </c>
      <c r="F46" s="1">
        <v>0</v>
      </c>
      <c r="G46" s="9">
        <f>SUM(RI_FINANCIAL)</f>
        <v>210755.96835695187</v>
      </c>
      <c r="L46" s="6"/>
      <c r="V46" s="9"/>
    </row>
    <row r="47" spans="1:22">
      <c r="A47" s="1" t="s">
        <v>68</v>
      </c>
      <c r="B47" s="6">
        <v>3904.214762537862</v>
      </c>
      <c r="C47" s="1">
        <v>667149.33167845919</v>
      </c>
      <c r="D47" s="1">
        <v>0</v>
      </c>
      <c r="E47" s="1">
        <v>0</v>
      </c>
      <c r="F47" s="1">
        <v>0</v>
      </c>
      <c r="G47" s="9">
        <f>SUM(SC_FINANCIAL)</f>
        <v>671053.54644099704</v>
      </c>
      <c r="L47" s="6"/>
      <c r="V47" s="9"/>
    </row>
    <row r="48" spans="1:22">
      <c r="A48" s="1" t="s">
        <v>69</v>
      </c>
      <c r="B48" s="6">
        <v>136.67673281348777</v>
      </c>
      <c r="C48" s="1">
        <v>9203.2657938941229</v>
      </c>
      <c r="D48" s="1">
        <v>0</v>
      </c>
      <c r="E48" s="1">
        <v>0</v>
      </c>
      <c r="F48" s="1">
        <v>0</v>
      </c>
      <c r="G48" s="9">
        <f>SUM(SD_FINANCIAL)</f>
        <v>9339.9425267076113</v>
      </c>
      <c r="L48" s="6"/>
      <c r="V48" s="9"/>
    </row>
    <row r="49" spans="1:22">
      <c r="A49" s="1" t="s">
        <v>70</v>
      </c>
      <c r="B49" s="6">
        <v>5330.4469552819555</v>
      </c>
      <c r="C49" s="1">
        <v>55760.650938937433</v>
      </c>
      <c r="D49" s="1">
        <v>0</v>
      </c>
      <c r="E49" s="1">
        <v>0</v>
      </c>
      <c r="F49" s="1">
        <v>0</v>
      </c>
      <c r="G49" s="9">
        <f>SUM(TN_FINANCIAL)</f>
        <v>61091.097894219391</v>
      </c>
      <c r="L49" s="6"/>
      <c r="V49" s="9"/>
    </row>
    <row r="50" spans="1:22">
      <c r="A50" s="1" t="s">
        <v>71</v>
      </c>
      <c r="B50" s="6">
        <v>10108.940880951886</v>
      </c>
      <c r="C50" s="1">
        <v>130448.55491229151</v>
      </c>
      <c r="D50" s="1">
        <v>0</v>
      </c>
      <c r="E50" s="1">
        <v>0</v>
      </c>
      <c r="F50" s="1">
        <v>0</v>
      </c>
      <c r="G50" s="9">
        <f>SUM(TX_FINANCIAL)</f>
        <v>140557.4957932434</v>
      </c>
      <c r="L50" s="6"/>
      <c r="V50" s="9"/>
    </row>
    <row r="51" spans="1:22">
      <c r="A51" s="1" t="s">
        <v>72</v>
      </c>
      <c r="B51" s="6">
        <v>483.80135233725957</v>
      </c>
      <c r="C51" s="1">
        <v>35745.170700541072</v>
      </c>
      <c r="D51" s="1">
        <v>0</v>
      </c>
      <c r="E51" s="1">
        <v>0</v>
      </c>
      <c r="F51" s="1">
        <v>0</v>
      </c>
      <c r="G51" s="9">
        <f>SUM(UT_FINANCIAL)</f>
        <v>36228.972052878329</v>
      </c>
      <c r="L51" s="6">
        <v>0</v>
      </c>
      <c r="M51" s="1">
        <v>0</v>
      </c>
      <c r="O51" s="1">
        <v>0</v>
      </c>
      <c r="P51" s="1">
        <v>0</v>
      </c>
      <c r="R51" s="1">
        <v>325000</v>
      </c>
      <c r="S51" s="1">
        <v>0</v>
      </c>
      <c r="U51" s="1">
        <v>0</v>
      </c>
      <c r="V51" s="9">
        <v>0</v>
      </c>
    </row>
    <row r="52" spans="1:22">
      <c r="A52" s="1" t="s">
        <v>73</v>
      </c>
      <c r="B52" s="6">
        <v>2346.2563675777387</v>
      </c>
      <c r="C52" s="1">
        <v>26086.642991661865</v>
      </c>
      <c r="D52" s="1">
        <v>0</v>
      </c>
      <c r="E52" s="1">
        <v>0</v>
      </c>
      <c r="F52" s="1">
        <v>0</v>
      </c>
      <c r="G52" s="9">
        <f>SUM(VT_FINANCIAL)</f>
        <v>28432.899359239604</v>
      </c>
      <c r="L52" s="6"/>
      <c r="V52" s="9"/>
    </row>
    <row r="53" spans="1:22">
      <c r="A53" s="1" t="s">
        <v>74</v>
      </c>
      <c r="B53" s="6">
        <v>37858.883010188052</v>
      </c>
      <c r="C53" s="1">
        <v>2300954.378364895</v>
      </c>
      <c r="D53" s="1">
        <v>0</v>
      </c>
      <c r="E53" s="1">
        <v>0</v>
      </c>
      <c r="F53" s="1">
        <v>0</v>
      </c>
      <c r="G53" s="9">
        <f>SUM(VA_FINANCIAL)</f>
        <v>2338813.2613750831</v>
      </c>
      <c r="L53" s="6"/>
      <c r="V53" s="9"/>
    </row>
    <row r="54" spans="1:22">
      <c r="A54" s="1" t="s">
        <v>75</v>
      </c>
      <c r="B54" s="6">
        <v>2547.1101924792069</v>
      </c>
      <c r="C54" s="1">
        <v>39424.15866288932</v>
      </c>
      <c r="D54" s="1">
        <v>0</v>
      </c>
      <c r="E54" s="1">
        <v>0</v>
      </c>
      <c r="F54" s="1">
        <v>0</v>
      </c>
      <c r="G54" s="9">
        <f>SUM(WA_FINANCIAL)</f>
        <v>41971.268855368529</v>
      </c>
      <c r="L54" s="6"/>
      <c r="V54" s="9"/>
    </row>
    <row r="55" spans="1:22">
      <c r="A55" s="1" t="s">
        <v>76</v>
      </c>
      <c r="B55" s="6">
        <v>929.62875049806917</v>
      </c>
      <c r="C55" s="1">
        <v>47409.251534309027</v>
      </c>
      <c r="D55" s="1">
        <v>0</v>
      </c>
      <c r="E55" s="1">
        <v>0</v>
      </c>
      <c r="F55" s="1">
        <v>0</v>
      </c>
      <c r="G55" s="9">
        <f>SUM(WV_FINANCIAL)</f>
        <v>48338.880284807099</v>
      </c>
      <c r="L55" s="6">
        <v>0</v>
      </c>
      <c r="M55" s="1">
        <v>0</v>
      </c>
      <c r="O55" s="1">
        <v>75000</v>
      </c>
      <c r="P55" s="1">
        <v>0</v>
      </c>
      <c r="R55" s="1">
        <v>0</v>
      </c>
      <c r="S55" s="1">
        <v>0</v>
      </c>
      <c r="U55" s="1">
        <v>0</v>
      </c>
      <c r="V55" s="9">
        <v>0</v>
      </c>
    </row>
    <row r="56" spans="1:22">
      <c r="A56" s="1" t="s">
        <v>77</v>
      </c>
      <c r="B56" s="6">
        <v>7247.7291211556312</v>
      </c>
      <c r="C56" s="1">
        <v>589468.57488654205</v>
      </c>
      <c r="D56" s="1">
        <v>0</v>
      </c>
      <c r="E56" s="1">
        <v>0</v>
      </c>
      <c r="F56" s="1">
        <v>0</v>
      </c>
      <c r="G56" s="9">
        <f>SUM(WI_FINANCIAL)</f>
        <v>596716.30400769773</v>
      </c>
      <c r="L56" s="6"/>
      <c r="V56" s="9"/>
    </row>
    <row r="57" spans="1:22">
      <c r="A57" s="1" t="s">
        <v>78</v>
      </c>
      <c r="B57" s="6">
        <v>90.058902130206789</v>
      </c>
      <c r="C57" s="1">
        <v>13311.209010230526</v>
      </c>
      <c r="D57" s="1">
        <v>0</v>
      </c>
      <c r="E57" s="1">
        <v>0</v>
      </c>
      <c r="F57" s="1">
        <v>0</v>
      </c>
      <c r="G57" s="9">
        <f>SUM(WY_FINANCIAL)</f>
        <v>13401.267912360734</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275941.47297185229</v>
      </c>
      <c r="C60" s="1">
        <f>SUM(ALLOCATED)</f>
        <v>14164519.977028148</v>
      </c>
      <c r="D60" s="1">
        <f>SUM(HEALTH)</f>
        <v>0</v>
      </c>
      <c r="E60" s="1">
        <f>SUM(UNALLOCATED)</f>
        <v>0</v>
      </c>
      <c r="F60" s="1">
        <f>SUM(LTC)</f>
        <v>0</v>
      </c>
      <c r="G60" s="9">
        <f>SUM(ALL_BLOCKS)</f>
        <v>14440461.449999997</v>
      </c>
      <c r="L60" s="6">
        <f>SUM(LIFE_CALLED)</f>
        <v>889508</v>
      </c>
      <c r="M60" s="1">
        <f>SUM(LIFE_REFUNDED)</f>
        <v>30</v>
      </c>
      <c r="O60" s="1">
        <f>SUM(ALLOC_CALLED)</f>
        <v>2648350</v>
      </c>
      <c r="P60" s="1">
        <f>SUM(ALLOC_REFUNDED)</f>
        <v>20</v>
      </c>
      <c r="R60" s="1">
        <f>SUM(HEALTH_CALLED)</f>
        <v>330078</v>
      </c>
      <c r="S60" s="1">
        <f>SUM(HEALTH_REFUNDED)</f>
        <v>0</v>
      </c>
      <c r="U60" s="1">
        <f>SUM(UNALLOC_CALLED)</f>
        <v>35000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117</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21200.36318150732</v>
      </c>
      <c r="C6" s="1">
        <v>38.520311795796026</v>
      </c>
      <c r="D6" s="1">
        <v>0</v>
      </c>
      <c r="E6" s="1">
        <v>0</v>
      </c>
      <c r="F6" s="1">
        <v>0</v>
      </c>
      <c r="G6" s="9">
        <f>SUM(AL_FINANCIAL)</f>
        <v>21238.883493303118</v>
      </c>
      <c r="L6" s="6"/>
      <c r="V6" s="9"/>
    </row>
    <row r="7" spans="1:22">
      <c r="A7" s="1" t="s">
        <v>12</v>
      </c>
      <c r="B7" s="6">
        <v>0</v>
      </c>
      <c r="C7" s="1">
        <v>0</v>
      </c>
      <c r="D7" s="1">
        <v>0</v>
      </c>
      <c r="E7" s="1">
        <v>0</v>
      </c>
      <c r="F7" s="1">
        <v>0</v>
      </c>
      <c r="G7" s="9">
        <f>SUM(AK_FINANCIAL)</f>
        <v>0</v>
      </c>
      <c r="I7" s="12"/>
      <c r="J7" s="15"/>
      <c r="L7" s="6"/>
      <c r="V7" s="9"/>
    </row>
    <row r="8" spans="1:22">
      <c r="A8" s="1" t="s">
        <v>13</v>
      </c>
      <c r="B8" s="6">
        <v>12092.716539992469</v>
      </c>
      <c r="C8" s="1">
        <v>62.845634994093302</v>
      </c>
      <c r="D8" s="1">
        <v>0</v>
      </c>
      <c r="E8" s="1">
        <v>0</v>
      </c>
      <c r="F8" s="1">
        <v>0</v>
      </c>
      <c r="G8" s="9">
        <f>SUM(AZ_FINANCIAL)</f>
        <v>12155.562174986562</v>
      </c>
      <c r="I8" s="13" t="s">
        <v>14</v>
      </c>
      <c r="J8" s="16"/>
      <c r="L8" s="6"/>
      <c r="V8" s="9"/>
    </row>
    <row r="9" spans="1:22">
      <c r="A9" s="1" t="s">
        <v>15</v>
      </c>
      <c r="B9" s="6">
        <v>4660.6168227693252</v>
      </c>
      <c r="C9" s="1">
        <v>38.517494403052275</v>
      </c>
      <c r="D9" s="1">
        <v>0</v>
      </c>
      <c r="E9" s="1">
        <v>0</v>
      </c>
      <c r="F9" s="1">
        <v>0</v>
      </c>
      <c r="G9" s="9">
        <f>SUM(AR_FINANCIAL)</f>
        <v>4699.1343171723775</v>
      </c>
      <c r="I9" s="13"/>
      <c r="J9" s="16"/>
      <c r="L9" s="6">
        <v>4523</v>
      </c>
      <c r="M9" s="1">
        <v>0</v>
      </c>
      <c r="O9" s="1">
        <v>0</v>
      </c>
      <c r="P9" s="1">
        <v>0</v>
      </c>
      <c r="R9" s="1">
        <v>0</v>
      </c>
      <c r="S9" s="1">
        <v>0</v>
      </c>
      <c r="U9" s="1">
        <v>0</v>
      </c>
      <c r="V9" s="9">
        <v>0</v>
      </c>
    </row>
    <row r="10" spans="1:22">
      <c r="A10" s="1" t="s">
        <v>16</v>
      </c>
      <c r="B10" s="6">
        <v>93122.38880827614</v>
      </c>
      <c r="C10" s="1">
        <v>3215.3812868727482</v>
      </c>
      <c r="D10" s="1">
        <v>0</v>
      </c>
      <c r="E10" s="1">
        <v>0</v>
      </c>
      <c r="F10" s="1">
        <v>0</v>
      </c>
      <c r="G10" s="9">
        <f>SUM(CA_FINANCIAL)</f>
        <v>96337.770095148895</v>
      </c>
      <c r="I10" s="13" t="s">
        <v>17</v>
      </c>
      <c r="J10" s="16">
        <v>629575000</v>
      </c>
      <c r="L10" s="6"/>
      <c r="V10" s="9"/>
    </row>
    <row r="11" spans="1:22">
      <c r="A11" s="1" t="s">
        <v>18</v>
      </c>
      <c r="B11" s="6">
        <v>18189.826780828131</v>
      </c>
      <c r="C11" s="1">
        <v>2844.4412587496513</v>
      </c>
      <c r="D11" s="1">
        <v>0</v>
      </c>
      <c r="E11" s="1">
        <v>0</v>
      </c>
      <c r="F11" s="1">
        <v>0</v>
      </c>
      <c r="G11" s="9">
        <f>SUM(CO_FINANCIAL)</f>
        <v>21034.268039577782</v>
      </c>
      <c r="I11" s="13"/>
      <c r="J11" s="16"/>
      <c r="L11" s="6"/>
      <c r="V11" s="9"/>
    </row>
    <row r="12" spans="1:22">
      <c r="A12" s="1" t="s">
        <v>19</v>
      </c>
      <c r="B12" s="6">
        <v>12519.37660454067</v>
      </c>
      <c r="C12" s="1">
        <v>121.64576457853285</v>
      </c>
      <c r="D12" s="1">
        <v>0</v>
      </c>
      <c r="E12" s="1">
        <v>0</v>
      </c>
      <c r="F12" s="1">
        <v>0</v>
      </c>
      <c r="G12" s="9">
        <f>SUM(CT_FINANCIAL)</f>
        <v>12641.022369119202</v>
      </c>
      <c r="I12" s="13" t="s">
        <v>20</v>
      </c>
      <c r="J12" s="16"/>
      <c r="L12" s="6"/>
      <c r="V12" s="9"/>
    </row>
    <row r="13" spans="1:22">
      <c r="A13" s="1" t="s">
        <v>21</v>
      </c>
      <c r="B13" s="6">
        <v>10376.222740459049</v>
      </c>
      <c r="C13" s="1">
        <v>760.27423362097363</v>
      </c>
      <c r="D13" s="1">
        <v>0</v>
      </c>
      <c r="E13" s="1">
        <v>0</v>
      </c>
      <c r="F13" s="1">
        <v>0</v>
      </c>
      <c r="G13" s="9">
        <f>SUM(DE_FINANCIAL)</f>
        <v>11136.496974080022</v>
      </c>
      <c r="I13" s="13" t="s">
        <v>22</v>
      </c>
      <c r="J13" s="16">
        <v>0</v>
      </c>
      <c r="L13" s="6"/>
      <c r="V13" s="9"/>
    </row>
    <row r="14" spans="1:22">
      <c r="A14" s="1" t="s">
        <v>23</v>
      </c>
      <c r="B14" s="6">
        <v>5264.7210434097315</v>
      </c>
      <c r="C14" s="1">
        <v>490.59010108015207</v>
      </c>
      <c r="D14" s="1">
        <v>0</v>
      </c>
      <c r="E14" s="1">
        <v>0</v>
      </c>
      <c r="F14" s="1">
        <v>0</v>
      </c>
      <c r="G14" s="9">
        <f>SUM(DC_FINANCIAL)</f>
        <v>5755.3111444898832</v>
      </c>
      <c r="I14" s="13" t="s">
        <v>24</v>
      </c>
      <c r="J14" s="16">
        <v>0</v>
      </c>
      <c r="L14" s="6">
        <v>2326</v>
      </c>
      <c r="M14" s="1">
        <v>0</v>
      </c>
      <c r="O14" s="1">
        <v>3076</v>
      </c>
      <c r="P14" s="1">
        <v>0</v>
      </c>
      <c r="R14" s="1">
        <v>0</v>
      </c>
      <c r="S14" s="1">
        <v>0</v>
      </c>
      <c r="U14" s="1">
        <v>0</v>
      </c>
      <c r="V14" s="9">
        <v>0</v>
      </c>
    </row>
    <row r="15" spans="1:22">
      <c r="A15" s="1" t="s">
        <v>25</v>
      </c>
      <c r="B15" s="6">
        <v>86764.96364113556</v>
      </c>
      <c r="C15" s="1">
        <v>7533.6730352702225</v>
      </c>
      <c r="D15" s="1">
        <v>0</v>
      </c>
      <c r="E15" s="1">
        <v>0</v>
      </c>
      <c r="F15" s="1">
        <v>0</v>
      </c>
      <c r="G15" s="9">
        <f>SUM(FL_FINANCIAL)</f>
        <v>94298.636676405789</v>
      </c>
      <c r="I15" s="13" t="s">
        <v>26</v>
      </c>
      <c r="J15" s="16">
        <v>1276371.1400000013</v>
      </c>
      <c r="L15" s="6"/>
      <c r="V15" s="9"/>
    </row>
    <row r="16" spans="1:22">
      <c r="A16" s="1" t="s">
        <v>27</v>
      </c>
      <c r="B16" s="6">
        <v>17486.047886899429</v>
      </c>
      <c r="C16" s="1">
        <v>478.45881754298722</v>
      </c>
      <c r="D16" s="1">
        <v>0</v>
      </c>
      <c r="E16" s="1">
        <v>1194.1196759865231</v>
      </c>
      <c r="F16" s="1">
        <v>0</v>
      </c>
      <c r="G16" s="9">
        <f>SUM(GA_FINANCIAL)</f>
        <v>19158.626380428941</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444.33650000157172</v>
      </c>
      <c r="C18" s="1">
        <v>0</v>
      </c>
      <c r="D18" s="1">
        <v>0</v>
      </c>
      <c r="E18" s="1">
        <v>0</v>
      </c>
      <c r="F18" s="1">
        <v>0</v>
      </c>
      <c r="G18" s="9">
        <f>SUM(ID_FINANCIAL)</f>
        <v>444.33650000157172</v>
      </c>
      <c r="I18" s="13" t="s">
        <v>31</v>
      </c>
      <c r="J18" s="16"/>
      <c r="L18" s="6"/>
      <c r="V18" s="9"/>
    </row>
    <row r="19" spans="1:22">
      <c r="A19" s="1" t="s">
        <v>32</v>
      </c>
      <c r="B19" s="6">
        <v>75689.47685472414</v>
      </c>
      <c r="C19" s="1">
        <v>6522.0187239954885</v>
      </c>
      <c r="D19" s="1">
        <v>0</v>
      </c>
      <c r="E19" s="1">
        <v>360.87016875076063</v>
      </c>
      <c r="F19" s="1">
        <v>0</v>
      </c>
      <c r="G19" s="9">
        <f>SUM(IL_FINANCIAL)</f>
        <v>82572.36574747038</v>
      </c>
      <c r="I19" s="13" t="s">
        <v>33</v>
      </c>
      <c r="J19" s="16">
        <v>0</v>
      </c>
      <c r="L19" s="6"/>
      <c r="V19" s="9"/>
    </row>
    <row r="20" spans="1:22">
      <c r="A20" s="1" t="s">
        <v>34</v>
      </c>
      <c r="B20" s="6">
        <v>9904.0121364298811</v>
      </c>
      <c r="C20" s="1">
        <v>1879.4307575169905</v>
      </c>
      <c r="D20" s="1">
        <v>0</v>
      </c>
      <c r="E20" s="1">
        <v>0</v>
      </c>
      <c r="F20" s="1">
        <v>0</v>
      </c>
      <c r="G20" s="9">
        <f>SUM(IN_FINANCIAL)</f>
        <v>11783.442893946871</v>
      </c>
      <c r="I20" s="13" t="s">
        <v>35</v>
      </c>
      <c r="J20" s="16">
        <v>629575000</v>
      </c>
      <c r="L20" s="6"/>
      <c r="V20" s="9"/>
    </row>
    <row r="21" spans="1:22">
      <c r="A21" s="1" t="s">
        <v>36</v>
      </c>
      <c r="B21" s="6">
        <v>1417.381599702599</v>
      </c>
      <c r="C21" s="1">
        <v>176.41230210890723</v>
      </c>
      <c r="D21" s="1">
        <v>0</v>
      </c>
      <c r="E21" s="1">
        <v>0</v>
      </c>
      <c r="F21" s="1">
        <v>0</v>
      </c>
      <c r="G21" s="9">
        <f>SUM(IA_FINANCIAL)</f>
        <v>1593.7939018115062</v>
      </c>
      <c r="I21" s="13" t="s">
        <v>37</v>
      </c>
      <c r="J21" s="16"/>
      <c r="L21" s="6"/>
      <c r="V21" s="9"/>
    </row>
    <row r="22" spans="1:22">
      <c r="A22" s="1" t="s">
        <v>38</v>
      </c>
      <c r="B22" s="6">
        <v>4541.5534324040636</v>
      </c>
      <c r="C22" s="1">
        <v>10.137396054473356</v>
      </c>
      <c r="D22" s="1">
        <v>0</v>
      </c>
      <c r="E22" s="1">
        <v>0</v>
      </c>
      <c r="F22" s="1">
        <v>0</v>
      </c>
      <c r="G22" s="9">
        <f>SUM(KS_FINANCIAL)</f>
        <v>4551.690828458537</v>
      </c>
      <c r="I22" s="13" t="s">
        <v>39</v>
      </c>
      <c r="J22" s="16">
        <v>0</v>
      </c>
      <c r="L22" s="6"/>
      <c r="V22" s="9"/>
    </row>
    <row r="23" spans="1:22">
      <c r="A23" s="1" t="s">
        <v>40</v>
      </c>
      <c r="B23" s="6">
        <v>24521.021388672641</v>
      </c>
      <c r="C23" s="1">
        <v>3405.9789940446499</v>
      </c>
      <c r="D23" s="1">
        <v>0</v>
      </c>
      <c r="E23" s="1">
        <v>0</v>
      </c>
      <c r="F23" s="1">
        <v>0</v>
      </c>
      <c r="G23" s="9">
        <f>SUM(KY_FINANCIAL)</f>
        <v>27927.000382717291</v>
      </c>
      <c r="I23" s="13" t="s">
        <v>41</v>
      </c>
      <c r="J23" s="16"/>
      <c r="L23" s="6"/>
      <c r="V23" s="9"/>
    </row>
    <row r="24" spans="1:22">
      <c r="A24" s="1" t="s">
        <v>42</v>
      </c>
      <c r="B24" s="6">
        <v>1947.8588781107271</v>
      </c>
      <c r="C24" s="1">
        <v>0</v>
      </c>
      <c r="D24" s="1">
        <v>0</v>
      </c>
      <c r="E24" s="1">
        <v>0</v>
      </c>
      <c r="F24" s="1">
        <v>0</v>
      </c>
      <c r="G24" s="9">
        <f>SUM(LA_FINANCIAL)</f>
        <v>1947.8588781107271</v>
      </c>
      <c r="I24" s="13" t="s">
        <v>43</v>
      </c>
      <c r="J24" s="16">
        <v>0</v>
      </c>
      <c r="L24" s="6"/>
      <c r="V24" s="9"/>
    </row>
    <row r="25" spans="1:22">
      <c r="A25" s="1" t="s">
        <v>44</v>
      </c>
      <c r="B25" s="6">
        <v>6515.7437060130296</v>
      </c>
      <c r="C25" s="1">
        <v>5149.3431901907579</v>
      </c>
      <c r="D25" s="1">
        <v>0</v>
      </c>
      <c r="E25" s="1">
        <v>0</v>
      </c>
      <c r="F25" s="1">
        <v>0</v>
      </c>
      <c r="G25" s="9">
        <f>SUM(ME_FINANCIAL)</f>
        <v>11665.086896203788</v>
      </c>
      <c r="I25" s="13"/>
      <c r="J25" s="16"/>
      <c r="L25" s="6"/>
      <c r="V25" s="9"/>
    </row>
    <row r="26" spans="1:22">
      <c r="A26" s="1" t="s">
        <v>45</v>
      </c>
      <c r="B26" s="6">
        <v>30055.140758027785</v>
      </c>
      <c r="C26" s="1">
        <v>693.34624885298501</v>
      </c>
      <c r="D26" s="1">
        <v>0</v>
      </c>
      <c r="E26" s="1">
        <v>0</v>
      </c>
      <c r="F26" s="1">
        <v>0</v>
      </c>
      <c r="G26" s="9">
        <f>SUM(MD_FINANCIAL)</f>
        <v>30748.487006880769</v>
      </c>
      <c r="I26" s="13" t="s">
        <v>46</v>
      </c>
      <c r="J26" s="16">
        <f>SUM(ADD_FINANCIAL)-SUM(LESS_FINANCIAL)</f>
        <v>1276371.1399999857</v>
      </c>
      <c r="L26" s="6">
        <v>34200</v>
      </c>
      <c r="M26" s="1">
        <v>0</v>
      </c>
      <c r="O26" s="1">
        <v>800</v>
      </c>
      <c r="P26" s="1">
        <v>0</v>
      </c>
      <c r="R26" s="1">
        <v>0</v>
      </c>
      <c r="S26" s="1">
        <v>0</v>
      </c>
      <c r="U26" s="1">
        <v>0</v>
      </c>
      <c r="V26" s="9">
        <v>0</v>
      </c>
    </row>
    <row r="27" spans="1:22">
      <c r="A27" s="1" t="s">
        <v>47</v>
      </c>
      <c r="B27" s="6">
        <v>69635.441162725401</v>
      </c>
      <c r="C27" s="1">
        <v>2576.7627145051815</v>
      </c>
      <c r="D27" s="1">
        <v>0</v>
      </c>
      <c r="E27" s="1">
        <v>0</v>
      </c>
      <c r="F27" s="1">
        <v>0</v>
      </c>
      <c r="G27" s="9">
        <f>SUM(MA_FINANCIAL)</f>
        <v>72212.203877230582</v>
      </c>
      <c r="I27" s="13" t="s">
        <v>48</v>
      </c>
      <c r="J27" s="16">
        <f>SUM(ALL_BLOCKS)</f>
        <v>1276371.1400000004</v>
      </c>
      <c r="L27" s="6"/>
      <c r="V27" s="9"/>
    </row>
    <row r="28" spans="1:22">
      <c r="A28" s="1" t="s">
        <v>49</v>
      </c>
      <c r="B28" s="6">
        <v>20066.935039530545</v>
      </c>
      <c r="C28" s="1">
        <v>1484.0368204623519</v>
      </c>
      <c r="D28" s="1">
        <v>0</v>
      </c>
      <c r="E28" s="1">
        <v>748.10052834782493</v>
      </c>
      <c r="F28" s="1">
        <v>0</v>
      </c>
      <c r="G28" s="9">
        <f>SUM(MI_FINANCIAL)</f>
        <v>22299.072388340723</v>
      </c>
      <c r="I28" s="14"/>
      <c r="J28" s="17"/>
      <c r="L28" s="6"/>
      <c r="V28" s="9"/>
    </row>
    <row r="29" spans="1:22">
      <c r="A29" s="1" t="s">
        <v>50</v>
      </c>
      <c r="B29" s="6">
        <v>5207.9463484135267</v>
      </c>
      <c r="C29" s="1">
        <v>68.925720453896417</v>
      </c>
      <c r="D29" s="1">
        <v>0</v>
      </c>
      <c r="E29" s="1">
        <v>0</v>
      </c>
      <c r="F29" s="1">
        <v>0</v>
      </c>
      <c r="G29" s="9">
        <f>SUM(MN_FINANCIAL)</f>
        <v>5276.872068867423</v>
      </c>
      <c r="L29" s="6"/>
      <c r="V29" s="9"/>
    </row>
    <row r="30" spans="1:22">
      <c r="A30" s="1" t="s">
        <v>51</v>
      </c>
      <c r="B30" s="6">
        <v>1721.1770519248237</v>
      </c>
      <c r="C30" s="1">
        <v>0</v>
      </c>
      <c r="D30" s="1">
        <v>0</v>
      </c>
      <c r="E30" s="1">
        <v>0</v>
      </c>
      <c r="F30" s="1">
        <v>0</v>
      </c>
      <c r="G30" s="9">
        <f>SUM(MS_FINANCIAL)</f>
        <v>1721.1770519248237</v>
      </c>
      <c r="L30" s="6"/>
      <c r="V30" s="9"/>
    </row>
    <row r="31" spans="1:22">
      <c r="A31" s="1" t="s">
        <v>52</v>
      </c>
      <c r="B31" s="6">
        <v>7464.6286714659209</v>
      </c>
      <c r="C31" s="1">
        <v>269.63487596549902</v>
      </c>
      <c r="D31" s="1">
        <v>0</v>
      </c>
      <c r="E31" s="1">
        <v>0</v>
      </c>
      <c r="F31" s="1">
        <v>0</v>
      </c>
      <c r="G31" s="9">
        <f>SUM(MO_FINANCIAL)</f>
        <v>7734.2635474314202</v>
      </c>
      <c r="L31" s="6"/>
      <c r="V31" s="9"/>
    </row>
    <row r="32" spans="1:22">
      <c r="A32" s="1" t="s">
        <v>53</v>
      </c>
      <c r="B32" s="6">
        <v>583.75585327520241</v>
      </c>
      <c r="C32" s="1">
        <v>0</v>
      </c>
      <c r="D32" s="1">
        <v>0</v>
      </c>
      <c r="E32" s="1">
        <v>0</v>
      </c>
      <c r="F32" s="1">
        <v>0</v>
      </c>
      <c r="G32" s="9">
        <f>SUM(MT_FINANCIAL)</f>
        <v>583.75585327520241</v>
      </c>
      <c r="L32" s="6"/>
      <c r="V32" s="9"/>
    </row>
    <row r="33" spans="1:22">
      <c r="A33" s="1" t="s">
        <v>54</v>
      </c>
      <c r="B33" s="6">
        <v>1385.1663803660733</v>
      </c>
      <c r="C33" s="1">
        <v>0</v>
      </c>
      <c r="D33" s="1">
        <v>0</v>
      </c>
      <c r="E33" s="1">
        <v>0</v>
      </c>
      <c r="F33" s="1">
        <v>0</v>
      </c>
      <c r="G33" s="9">
        <f>SUM(NE_FINANCIAL)</f>
        <v>1385.1663803660733</v>
      </c>
      <c r="L33" s="6"/>
      <c r="V33" s="9"/>
    </row>
    <row r="34" spans="1:22">
      <c r="A34" s="1" t="s">
        <v>55</v>
      </c>
      <c r="B34" s="6">
        <v>1897.7080316094211</v>
      </c>
      <c r="C34" s="1">
        <v>0</v>
      </c>
      <c r="D34" s="1">
        <v>0</v>
      </c>
      <c r="E34" s="1">
        <v>0</v>
      </c>
      <c r="F34" s="1">
        <v>0</v>
      </c>
      <c r="G34" s="9">
        <f>SUM(NV_FINANCIAL)</f>
        <v>1897.7080316094211</v>
      </c>
      <c r="L34" s="6"/>
      <c r="V34" s="9"/>
    </row>
    <row r="35" spans="1:22">
      <c r="A35" s="1" t="s">
        <v>56</v>
      </c>
      <c r="B35" s="6">
        <v>9409.2942696320315</v>
      </c>
      <c r="C35" s="1">
        <v>285.86737600045603</v>
      </c>
      <c r="D35" s="1">
        <v>0</v>
      </c>
      <c r="E35" s="1">
        <v>0</v>
      </c>
      <c r="F35" s="1">
        <v>0</v>
      </c>
      <c r="G35" s="9">
        <f>SUM(NH_FINANCIAL)</f>
        <v>9695.1616456324882</v>
      </c>
      <c r="L35" s="6"/>
      <c r="V35" s="9"/>
    </row>
    <row r="36" spans="1:22">
      <c r="A36" s="1" t="s">
        <v>57</v>
      </c>
      <c r="B36" s="6">
        <v>76212.291690024998</v>
      </c>
      <c r="C36" s="1">
        <v>4987.2908479852495</v>
      </c>
      <c r="D36" s="1">
        <v>0</v>
      </c>
      <c r="E36" s="1">
        <v>2637.5875582230933</v>
      </c>
      <c r="F36" s="1">
        <v>0</v>
      </c>
      <c r="G36" s="9">
        <f>SUM(NJ_FINANCIAL)</f>
        <v>83837.170096233342</v>
      </c>
      <c r="L36" s="6"/>
      <c r="V36" s="9"/>
    </row>
    <row r="37" spans="1:22">
      <c r="A37" s="1" t="s">
        <v>58</v>
      </c>
      <c r="B37" s="6">
        <v>1096.2975045185503</v>
      </c>
      <c r="C37" s="1">
        <v>0</v>
      </c>
      <c r="D37" s="1">
        <v>0</v>
      </c>
      <c r="E37" s="1">
        <v>0</v>
      </c>
      <c r="F37" s="1">
        <v>0</v>
      </c>
      <c r="G37" s="9">
        <f>SUM(NM_FINANCIAL)</f>
        <v>1096.2975045185503</v>
      </c>
      <c r="L37" s="6"/>
      <c r="V37" s="9"/>
    </row>
    <row r="38" spans="1:22">
      <c r="A38" s="1" t="s">
        <v>59</v>
      </c>
      <c r="B38" s="6">
        <v>66077.781985260372</v>
      </c>
      <c r="C38" s="1">
        <v>8241.2230776572706</v>
      </c>
      <c r="D38" s="1">
        <v>0</v>
      </c>
      <c r="E38" s="1">
        <v>2625.4326901761783</v>
      </c>
      <c r="F38" s="1">
        <v>0</v>
      </c>
      <c r="G38" s="9">
        <f>SUM(NY_FINANCIAL)</f>
        <v>76944.437753093822</v>
      </c>
      <c r="L38" s="6"/>
      <c r="V38" s="9"/>
    </row>
    <row r="39" spans="1:22">
      <c r="A39" s="1" t="s">
        <v>60</v>
      </c>
      <c r="B39" s="6">
        <v>28042.292841207513</v>
      </c>
      <c r="C39" s="1">
        <v>24494.431904819925</v>
      </c>
      <c r="D39" s="1">
        <v>0</v>
      </c>
      <c r="E39" s="1">
        <v>3367.4268659084501</v>
      </c>
      <c r="F39" s="1">
        <v>0</v>
      </c>
      <c r="G39" s="9">
        <f>SUM(NC_FINANCIAL)</f>
        <v>55904.151611935886</v>
      </c>
      <c r="L39" s="6"/>
      <c r="V39" s="9"/>
    </row>
    <row r="40" spans="1:22">
      <c r="A40" s="1" t="s">
        <v>61</v>
      </c>
      <c r="B40" s="6">
        <v>148.44650564386592</v>
      </c>
      <c r="C40" s="1">
        <v>0</v>
      </c>
      <c r="D40" s="1">
        <v>0</v>
      </c>
      <c r="E40" s="1">
        <v>0</v>
      </c>
      <c r="F40" s="1">
        <v>0</v>
      </c>
      <c r="G40" s="9">
        <f>SUM(ND_FINANCIAL)</f>
        <v>148.44650564386592</v>
      </c>
      <c r="L40" s="6"/>
      <c r="V40" s="9"/>
    </row>
    <row r="41" spans="1:22">
      <c r="A41" s="1" t="s">
        <v>62</v>
      </c>
      <c r="B41" s="6">
        <v>39535.601098444437</v>
      </c>
      <c r="C41" s="1">
        <v>429.80090420338553</v>
      </c>
      <c r="D41" s="1">
        <v>0</v>
      </c>
      <c r="E41" s="1">
        <v>3699.9370291093323</v>
      </c>
      <c r="F41" s="1">
        <v>0</v>
      </c>
      <c r="G41" s="9">
        <f>SUM(OH_FINANCIAL)</f>
        <v>43665.339031757154</v>
      </c>
      <c r="L41" s="6"/>
      <c r="V41" s="9"/>
    </row>
    <row r="42" spans="1:22">
      <c r="A42" s="1" t="s">
        <v>63</v>
      </c>
      <c r="B42" s="6">
        <v>3203.5714454908834</v>
      </c>
      <c r="C42" s="1">
        <v>6.082730592704209</v>
      </c>
      <c r="D42" s="1">
        <v>0</v>
      </c>
      <c r="E42" s="1">
        <v>0</v>
      </c>
      <c r="F42" s="1">
        <v>0</v>
      </c>
      <c r="G42" s="9">
        <f>SUM(OK_FINANCIAL)</f>
        <v>3209.6541760835876</v>
      </c>
      <c r="L42" s="6"/>
      <c r="V42" s="9"/>
    </row>
    <row r="43" spans="1:22">
      <c r="A43" s="1" t="s">
        <v>64</v>
      </c>
      <c r="B43" s="6">
        <v>3519.5864074616584</v>
      </c>
      <c r="C43" s="1">
        <v>0</v>
      </c>
      <c r="D43" s="1">
        <v>0</v>
      </c>
      <c r="E43" s="1">
        <v>0</v>
      </c>
      <c r="F43" s="1">
        <v>0</v>
      </c>
      <c r="G43" s="9">
        <f>SUM(OR_FINANCIAL)</f>
        <v>3519.5864074616584</v>
      </c>
      <c r="L43" s="6"/>
      <c r="V43" s="9"/>
    </row>
    <row r="44" spans="1:22">
      <c r="A44" s="1" t="s">
        <v>65</v>
      </c>
      <c r="B44" s="6">
        <v>214485.48782082714</v>
      </c>
      <c r="C44" s="1">
        <v>22140.476691127853</v>
      </c>
      <c r="D44" s="1">
        <v>0</v>
      </c>
      <c r="E44" s="1">
        <v>13441.201397507341</v>
      </c>
      <c r="F44" s="1">
        <v>0</v>
      </c>
      <c r="G44" s="9">
        <f>SUM(PA_FINANCIAL)</f>
        <v>250067.16590946232</v>
      </c>
      <c r="L44" s="6"/>
      <c r="V44" s="9"/>
    </row>
    <row r="45" spans="1:22">
      <c r="A45" s="1" t="s">
        <v>66</v>
      </c>
      <c r="B45" s="6">
        <v>0</v>
      </c>
      <c r="C45" s="1">
        <v>0</v>
      </c>
      <c r="D45" s="1">
        <v>0</v>
      </c>
      <c r="E45" s="1">
        <v>0</v>
      </c>
      <c r="F45" s="1">
        <v>0</v>
      </c>
      <c r="G45" s="9">
        <f>SUM(PR_FINANCIAL)</f>
        <v>0</v>
      </c>
      <c r="L45" s="6"/>
      <c r="V45" s="9"/>
    </row>
    <row r="46" spans="1:22">
      <c r="A46" s="1" t="s">
        <v>67</v>
      </c>
      <c r="B46" s="6">
        <v>9465.290217201582</v>
      </c>
      <c r="C46" s="1">
        <v>208.80807290035617</v>
      </c>
      <c r="D46" s="1">
        <v>0</v>
      </c>
      <c r="E46" s="1">
        <v>0</v>
      </c>
      <c r="F46" s="1">
        <v>0</v>
      </c>
      <c r="G46" s="9">
        <f>SUM(RI_FINANCIAL)</f>
        <v>9674.0982901019379</v>
      </c>
      <c r="L46" s="6"/>
      <c r="V46" s="9"/>
    </row>
    <row r="47" spans="1:22">
      <c r="A47" s="1" t="s">
        <v>68</v>
      </c>
      <c r="B47" s="6">
        <v>14241.950983454335</v>
      </c>
      <c r="C47" s="1">
        <v>275.71606174374227</v>
      </c>
      <c r="D47" s="1">
        <v>0</v>
      </c>
      <c r="E47" s="1">
        <v>0</v>
      </c>
      <c r="F47" s="1">
        <v>0</v>
      </c>
      <c r="G47" s="9">
        <f>SUM(SC_FINANCIAL)</f>
        <v>14517.667045198077</v>
      </c>
      <c r="L47" s="6"/>
      <c r="V47" s="9"/>
    </row>
    <row r="48" spans="1:22">
      <c r="A48" s="1" t="s">
        <v>69</v>
      </c>
      <c r="B48" s="6">
        <v>172.51891196449282</v>
      </c>
      <c r="C48" s="1">
        <v>0</v>
      </c>
      <c r="D48" s="1">
        <v>0</v>
      </c>
      <c r="E48" s="1">
        <v>0</v>
      </c>
      <c r="F48" s="1">
        <v>0</v>
      </c>
      <c r="G48" s="9">
        <f>SUM(SD_FINANCIAL)</f>
        <v>172.51891196449282</v>
      </c>
      <c r="L48" s="6"/>
      <c r="V48" s="9"/>
    </row>
    <row r="49" spans="1:22">
      <c r="A49" s="1" t="s">
        <v>70</v>
      </c>
      <c r="B49" s="6">
        <v>55717.817149563125</v>
      </c>
      <c r="C49" s="1">
        <v>10564.550637353035</v>
      </c>
      <c r="D49" s="1">
        <v>0</v>
      </c>
      <c r="E49" s="1">
        <v>0</v>
      </c>
      <c r="F49" s="1">
        <v>0</v>
      </c>
      <c r="G49" s="9">
        <f>SUM(TN_FINANCIAL)</f>
        <v>66282.367786916162</v>
      </c>
      <c r="L49" s="6"/>
      <c r="V49" s="9"/>
    </row>
    <row r="50" spans="1:22">
      <c r="A50" s="1" t="s">
        <v>71</v>
      </c>
      <c r="B50" s="6">
        <v>22376.386915284387</v>
      </c>
      <c r="C50" s="1">
        <v>277.75346628558134</v>
      </c>
      <c r="D50" s="1">
        <v>0</v>
      </c>
      <c r="E50" s="1">
        <v>0</v>
      </c>
      <c r="F50" s="1">
        <v>0</v>
      </c>
      <c r="G50" s="9">
        <f>SUM(TX_FINANCIAL)</f>
        <v>22654.140381569967</v>
      </c>
      <c r="L50" s="6"/>
      <c r="V50" s="9"/>
    </row>
    <row r="51" spans="1:22">
      <c r="A51" s="1" t="s">
        <v>72</v>
      </c>
      <c r="B51" s="6">
        <v>720.16615575875494</v>
      </c>
      <c r="C51" s="1">
        <v>0</v>
      </c>
      <c r="D51" s="1">
        <v>0</v>
      </c>
      <c r="E51" s="1">
        <v>0</v>
      </c>
      <c r="F51" s="1">
        <v>0</v>
      </c>
      <c r="G51" s="9">
        <f>SUM(UT_FINANCIAL)</f>
        <v>720.16615575875494</v>
      </c>
      <c r="L51" s="6"/>
      <c r="V51" s="9"/>
    </row>
    <row r="52" spans="1:22">
      <c r="A52" s="1" t="s">
        <v>73</v>
      </c>
      <c r="B52" s="6">
        <v>1425.2870575671182</v>
      </c>
      <c r="C52" s="1">
        <v>0</v>
      </c>
      <c r="D52" s="1">
        <v>0</v>
      </c>
      <c r="E52" s="1">
        <v>0</v>
      </c>
      <c r="F52" s="1">
        <v>0</v>
      </c>
      <c r="G52" s="9">
        <f>SUM(VT_FINANCIAL)</f>
        <v>1425.2870575671182</v>
      </c>
      <c r="L52" s="6"/>
      <c r="V52" s="9"/>
    </row>
    <row r="53" spans="1:22">
      <c r="A53" s="1" t="s">
        <v>74</v>
      </c>
      <c r="B53" s="6">
        <v>25102.912423246769</v>
      </c>
      <c r="C53" s="1">
        <v>1390.7767664631951</v>
      </c>
      <c r="D53" s="1">
        <v>0</v>
      </c>
      <c r="E53" s="1">
        <v>0</v>
      </c>
      <c r="F53" s="1">
        <v>0</v>
      </c>
      <c r="G53" s="9">
        <f>SUM(VA_FINANCIAL)</f>
        <v>26493.689189709963</v>
      </c>
      <c r="L53" s="6"/>
      <c r="V53" s="9"/>
    </row>
    <row r="54" spans="1:22">
      <c r="A54" s="1" t="s">
        <v>75</v>
      </c>
      <c r="B54" s="6">
        <v>10840.255144554691</v>
      </c>
      <c r="C54" s="1">
        <v>2990.3453035754947</v>
      </c>
      <c r="D54" s="1">
        <v>0</v>
      </c>
      <c r="E54" s="1">
        <v>0</v>
      </c>
      <c r="F54" s="1">
        <v>0</v>
      </c>
      <c r="G54" s="9">
        <f>SUM(WA_FINANCIAL)</f>
        <v>13830.600448130186</v>
      </c>
      <c r="L54" s="6"/>
      <c r="V54" s="9"/>
    </row>
    <row r="55" spans="1:22">
      <c r="A55" s="1" t="s">
        <v>76</v>
      </c>
      <c r="B55" s="6">
        <v>3289.8955304856772</v>
      </c>
      <c r="C55" s="1">
        <v>0</v>
      </c>
      <c r="D55" s="1">
        <v>0</v>
      </c>
      <c r="E55" s="1">
        <v>0</v>
      </c>
      <c r="F55" s="1">
        <v>0</v>
      </c>
      <c r="G55" s="9">
        <f>SUM(WV_FINANCIAL)</f>
        <v>3289.8955304856772</v>
      </c>
      <c r="L55" s="6"/>
      <c r="V55" s="9"/>
    </row>
    <row r="56" spans="1:22">
      <c r="A56" s="1" t="s">
        <v>77</v>
      </c>
      <c r="B56" s="6">
        <v>4374.6523644977042</v>
      </c>
      <c r="C56" s="1">
        <v>48.652296917490681</v>
      </c>
      <c r="D56" s="1">
        <v>0</v>
      </c>
      <c r="E56" s="1">
        <v>0</v>
      </c>
      <c r="F56" s="1">
        <v>0</v>
      </c>
      <c r="G56" s="9">
        <f>SUM(WI_FINANCIAL)</f>
        <v>4423.3046614151945</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1134134.3122653055</v>
      </c>
      <c r="C60" s="1">
        <f>SUM(ALLOCATED)</f>
        <v>114162.15182068512</v>
      </c>
      <c r="D60" s="1">
        <f>SUM(HEALTH)</f>
        <v>0</v>
      </c>
      <c r="E60" s="1">
        <f>SUM(UNALLOCATED)</f>
        <v>28074.675914009502</v>
      </c>
      <c r="F60" s="1">
        <f>SUM(LTC)</f>
        <v>0</v>
      </c>
      <c r="G60" s="9">
        <f>SUM(ALL_BLOCKS)</f>
        <v>1276371.1400000004</v>
      </c>
      <c r="L60" s="6">
        <f>SUM(LIFE_CALLED)</f>
        <v>41049</v>
      </c>
      <c r="M60" s="1">
        <f>SUM(LIFE_REFUNDED)</f>
        <v>0</v>
      </c>
      <c r="O60" s="1">
        <f>SUM(ALLOC_CALLED)</f>
        <v>3876</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118</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472.66592606319318</v>
      </c>
      <c r="C6" s="1">
        <v>29.860300819050536</v>
      </c>
      <c r="D6" s="1">
        <v>0</v>
      </c>
      <c r="E6" s="1">
        <v>0</v>
      </c>
      <c r="F6" s="1">
        <v>0</v>
      </c>
      <c r="G6" s="9">
        <f>SUM(AL_FINANCIAL)</f>
        <v>502.52622688224369</v>
      </c>
      <c r="L6" s="6"/>
      <c r="V6" s="9"/>
    </row>
    <row r="7" spans="1:22">
      <c r="A7" s="1" t="s">
        <v>12</v>
      </c>
      <c r="B7" s="6">
        <v>56.965968690487045</v>
      </c>
      <c r="C7" s="1">
        <v>8.2835661522373556</v>
      </c>
      <c r="D7" s="1">
        <v>0</v>
      </c>
      <c r="E7" s="1">
        <v>0</v>
      </c>
      <c r="F7" s="1">
        <v>0</v>
      </c>
      <c r="G7" s="9">
        <f>SUM(AK_FINANCIAL)</f>
        <v>65.249534842724401</v>
      </c>
      <c r="I7" s="12"/>
      <c r="J7" s="15"/>
      <c r="L7" s="6">
        <v>337</v>
      </c>
      <c r="M7" s="1">
        <v>4800</v>
      </c>
      <c r="O7" s="1">
        <v>40</v>
      </c>
      <c r="P7" s="1">
        <v>0</v>
      </c>
      <c r="R7" s="1">
        <v>10</v>
      </c>
      <c r="S7" s="1">
        <v>0</v>
      </c>
      <c r="U7" s="1">
        <v>0</v>
      </c>
      <c r="V7" s="9">
        <v>0</v>
      </c>
    </row>
    <row r="8" spans="1:22">
      <c r="A8" s="1" t="s">
        <v>13</v>
      </c>
      <c r="B8" s="6">
        <v>1917.2627463264744</v>
      </c>
      <c r="C8" s="1">
        <v>128.55786830523584</v>
      </c>
      <c r="D8" s="1">
        <v>0</v>
      </c>
      <c r="E8" s="1">
        <v>0</v>
      </c>
      <c r="F8" s="1">
        <v>0</v>
      </c>
      <c r="G8" s="9">
        <f>SUM(AZ_FINANCIAL)</f>
        <v>2045.8206146317102</v>
      </c>
      <c r="I8" s="13" t="s">
        <v>14</v>
      </c>
      <c r="J8" s="16"/>
      <c r="L8" s="6"/>
      <c r="V8" s="9"/>
    </row>
    <row r="9" spans="1:22">
      <c r="A9" s="1" t="s">
        <v>15</v>
      </c>
      <c r="B9" s="6">
        <v>392.42935110358349</v>
      </c>
      <c r="C9" s="1">
        <v>9.1835993654157733</v>
      </c>
      <c r="D9" s="1">
        <v>0</v>
      </c>
      <c r="E9" s="1">
        <v>0</v>
      </c>
      <c r="F9" s="1">
        <v>0</v>
      </c>
      <c r="G9" s="9">
        <f>SUM(AR_FINANCIAL)</f>
        <v>401.61295046899926</v>
      </c>
      <c r="I9" s="13"/>
      <c r="J9" s="16"/>
      <c r="L9" s="6">
        <v>5587</v>
      </c>
      <c r="M9" s="1">
        <v>0</v>
      </c>
      <c r="O9" s="1">
        <v>0</v>
      </c>
      <c r="P9" s="1">
        <v>0</v>
      </c>
      <c r="R9" s="1">
        <v>0</v>
      </c>
      <c r="S9" s="1">
        <v>0</v>
      </c>
      <c r="U9" s="1">
        <v>0</v>
      </c>
      <c r="V9" s="9">
        <v>0</v>
      </c>
    </row>
    <row r="10" spans="1:22">
      <c r="A10" s="1" t="s">
        <v>16</v>
      </c>
      <c r="B10" s="6">
        <v>5795.1946298203184</v>
      </c>
      <c r="C10" s="1">
        <v>701.92352633718747</v>
      </c>
      <c r="D10" s="1">
        <v>0</v>
      </c>
      <c r="E10" s="1">
        <v>0</v>
      </c>
      <c r="F10" s="1">
        <v>0</v>
      </c>
      <c r="G10" s="9">
        <f>SUM(CA_FINANCIAL)</f>
        <v>6497.1181561575058</v>
      </c>
      <c r="I10" s="13" t="s">
        <v>17</v>
      </c>
      <c r="J10" s="16">
        <v>0</v>
      </c>
      <c r="L10" s="6"/>
      <c r="V10" s="9"/>
    </row>
    <row r="11" spans="1:22">
      <c r="A11" s="1" t="s">
        <v>18</v>
      </c>
      <c r="B11" s="6">
        <v>0</v>
      </c>
      <c r="C11" s="1">
        <v>0</v>
      </c>
      <c r="D11" s="1">
        <v>0</v>
      </c>
      <c r="E11" s="1">
        <v>0</v>
      </c>
      <c r="F11" s="1">
        <v>0</v>
      </c>
      <c r="G11" s="9">
        <f>SUM(CO_FINANCIAL)</f>
        <v>0</v>
      </c>
      <c r="I11" s="13"/>
      <c r="J11" s="16"/>
      <c r="L11" s="6"/>
      <c r="V11" s="9"/>
    </row>
    <row r="12" spans="1:22">
      <c r="A12" s="1" t="s">
        <v>19</v>
      </c>
      <c r="B12" s="6">
        <v>430.37725463655943</v>
      </c>
      <c r="C12" s="1">
        <v>87.453679230016633</v>
      </c>
      <c r="D12" s="1">
        <v>0</v>
      </c>
      <c r="E12" s="1">
        <v>0</v>
      </c>
      <c r="F12" s="1">
        <v>0</v>
      </c>
      <c r="G12" s="9">
        <f>SUM(CT_FINANCIAL)</f>
        <v>517.83093386657606</v>
      </c>
      <c r="I12" s="13" t="s">
        <v>20</v>
      </c>
      <c r="J12" s="16"/>
      <c r="L12" s="6">
        <v>106000</v>
      </c>
      <c r="M12" s="1">
        <v>0</v>
      </c>
      <c r="O12" s="1">
        <v>210000</v>
      </c>
      <c r="P12" s="1">
        <v>0</v>
      </c>
      <c r="R12" s="1">
        <v>0</v>
      </c>
      <c r="S12" s="1">
        <v>0</v>
      </c>
      <c r="U12" s="1">
        <v>0</v>
      </c>
      <c r="V12" s="9">
        <v>0</v>
      </c>
    </row>
    <row r="13" spans="1:22">
      <c r="A13" s="1" t="s">
        <v>21</v>
      </c>
      <c r="B13" s="6">
        <v>125.75662729314615</v>
      </c>
      <c r="C13" s="1">
        <v>29.181787346455138</v>
      </c>
      <c r="D13" s="1">
        <v>0</v>
      </c>
      <c r="E13" s="1">
        <v>0</v>
      </c>
      <c r="F13" s="1">
        <v>0</v>
      </c>
      <c r="G13" s="9">
        <f>SUM(DE_FINANCIAL)</f>
        <v>154.93841463960129</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4955.7293882024242</v>
      </c>
      <c r="C15" s="1">
        <v>661.81648731888254</v>
      </c>
      <c r="D15" s="1">
        <v>0</v>
      </c>
      <c r="E15" s="1">
        <v>0</v>
      </c>
      <c r="F15" s="1">
        <v>0</v>
      </c>
      <c r="G15" s="9">
        <f>SUM(FL_FINANCIAL)</f>
        <v>5617.5458755213067</v>
      </c>
      <c r="I15" s="13" t="s">
        <v>26</v>
      </c>
      <c r="J15" s="16">
        <v>380962.74000000011</v>
      </c>
      <c r="L15" s="6"/>
      <c r="V15" s="9"/>
    </row>
    <row r="16" spans="1:22">
      <c r="A16" s="1" t="s">
        <v>27</v>
      </c>
      <c r="B16" s="6">
        <v>584.47946686664909</v>
      </c>
      <c r="C16" s="1">
        <v>38.335605502551346</v>
      </c>
      <c r="D16" s="1">
        <v>0</v>
      </c>
      <c r="E16" s="1">
        <v>0</v>
      </c>
      <c r="F16" s="1">
        <v>0</v>
      </c>
      <c r="G16" s="9">
        <f>SUM(GA_FINANCIAL)</f>
        <v>622.81507236920038</v>
      </c>
      <c r="I16" s="13" t="s">
        <v>28</v>
      </c>
      <c r="J16" s="16">
        <v>0</v>
      </c>
      <c r="L16" s="6"/>
      <c r="V16" s="9"/>
    </row>
    <row r="17" spans="1:22">
      <c r="A17" s="1" t="s">
        <v>29</v>
      </c>
      <c r="B17" s="6">
        <v>288.77183211837632</v>
      </c>
      <c r="C17" s="1">
        <v>55.775824940285361</v>
      </c>
      <c r="D17" s="1">
        <v>0</v>
      </c>
      <c r="E17" s="1">
        <v>0</v>
      </c>
      <c r="F17" s="1">
        <v>0</v>
      </c>
      <c r="G17" s="9">
        <f>SUM(HI_FINANCIAL)</f>
        <v>344.54765705866168</v>
      </c>
      <c r="I17" s="13"/>
      <c r="J17" s="16"/>
      <c r="L17" s="6">
        <v>0</v>
      </c>
      <c r="M17" s="1">
        <v>12871</v>
      </c>
      <c r="O17" s="1">
        <v>0</v>
      </c>
      <c r="P17" s="1">
        <v>2463</v>
      </c>
      <c r="R17" s="1">
        <v>0</v>
      </c>
      <c r="S17" s="1">
        <v>0</v>
      </c>
      <c r="U17" s="1">
        <v>0</v>
      </c>
      <c r="V17" s="9">
        <v>0</v>
      </c>
    </row>
    <row r="18" spans="1:22">
      <c r="A18" s="1" t="s">
        <v>30</v>
      </c>
      <c r="B18" s="6">
        <v>202.3853514738355</v>
      </c>
      <c r="C18" s="1">
        <v>8.6112703671656803</v>
      </c>
      <c r="D18" s="1">
        <v>0</v>
      </c>
      <c r="E18" s="1">
        <v>0</v>
      </c>
      <c r="F18" s="1">
        <v>0</v>
      </c>
      <c r="G18" s="9">
        <f>SUM(ID_FINANCIAL)</f>
        <v>210.99662184100117</v>
      </c>
      <c r="I18" s="13" t="s">
        <v>31</v>
      </c>
      <c r="J18" s="16"/>
      <c r="L18" s="6"/>
      <c r="V18" s="9"/>
    </row>
    <row r="19" spans="1:22">
      <c r="A19" s="1" t="s">
        <v>32</v>
      </c>
      <c r="B19" s="6">
        <v>1797.41345066961</v>
      </c>
      <c r="C19" s="1">
        <v>95.499456227894825</v>
      </c>
      <c r="D19" s="1">
        <v>0</v>
      </c>
      <c r="E19" s="1">
        <v>0</v>
      </c>
      <c r="F19" s="1">
        <v>0</v>
      </c>
      <c r="G19" s="9">
        <f>SUM(IL_FINANCIAL)</f>
        <v>1892.9129068975049</v>
      </c>
      <c r="I19" s="13" t="s">
        <v>33</v>
      </c>
      <c r="J19" s="16">
        <v>0</v>
      </c>
      <c r="L19" s="6"/>
      <c r="V19" s="9"/>
    </row>
    <row r="20" spans="1:22">
      <c r="A20" s="1" t="s">
        <v>34</v>
      </c>
      <c r="B20" s="6">
        <v>1125.2876183745157</v>
      </c>
      <c r="C20" s="1">
        <v>83.638629609381837</v>
      </c>
      <c r="D20" s="1">
        <v>0</v>
      </c>
      <c r="E20" s="1">
        <v>0</v>
      </c>
      <c r="F20" s="1">
        <v>0</v>
      </c>
      <c r="G20" s="9">
        <f>SUM(IN_FINANCIAL)</f>
        <v>1208.9262479838976</v>
      </c>
      <c r="I20" s="13" t="s">
        <v>35</v>
      </c>
      <c r="J20" s="16">
        <v>0</v>
      </c>
      <c r="L20" s="6"/>
      <c r="V20" s="9"/>
    </row>
    <row r="21" spans="1:22">
      <c r="A21" s="1" t="s">
        <v>36</v>
      </c>
      <c r="B21" s="6">
        <v>1431.4623919970763</v>
      </c>
      <c r="C21" s="1">
        <v>116.92411646858386</v>
      </c>
      <c r="D21" s="1">
        <v>0</v>
      </c>
      <c r="E21" s="1">
        <v>0</v>
      </c>
      <c r="F21" s="1">
        <v>0</v>
      </c>
      <c r="G21" s="9">
        <f>SUM(IA_FINANCIAL)</f>
        <v>1548.3865084656602</v>
      </c>
      <c r="I21" s="13" t="s">
        <v>37</v>
      </c>
      <c r="J21" s="16"/>
      <c r="L21" s="6"/>
      <c r="V21" s="9"/>
    </row>
    <row r="22" spans="1:22">
      <c r="A22" s="1" t="s">
        <v>38</v>
      </c>
      <c r="B22" s="6">
        <v>272.98502145484872</v>
      </c>
      <c r="C22" s="1">
        <v>28.740635367011322</v>
      </c>
      <c r="D22" s="1">
        <v>0</v>
      </c>
      <c r="E22" s="1">
        <v>0</v>
      </c>
      <c r="F22" s="1">
        <v>0</v>
      </c>
      <c r="G22" s="9">
        <f>SUM(KS_FINANCIAL)</f>
        <v>301.72565682186007</v>
      </c>
      <c r="I22" s="13" t="s">
        <v>39</v>
      </c>
      <c r="J22" s="16">
        <v>0</v>
      </c>
      <c r="L22" s="6"/>
      <c r="V22" s="9"/>
    </row>
    <row r="23" spans="1:22">
      <c r="A23" s="1" t="s">
        <v>40</v>
      </c>
      <c r="B23" s="6">
        <v>824.60096203023659</v>
      </c>
      <c r="C23" s="1">
        <v>70.375232515432515</v>
      </c>
      <c r="D23" s="1">
        <v>0</v>
      </c>
      <c r="E23" s="1">
        <v>0</v>
      </c>
      <c r="F23" s="1">
        <v>0</v>
      </c>
      <c r="G23" s="9">
        <f>SUM(KY_FINANCIAL)</f>
        <v>894.97619454566916</v>
      </c>
      <c r="I23" s="13" t="s">
        <v>41</v>
      </c>
      <c r="J23" s="16"/>
      <c r="L23" s="6"/>
      <c r="V23" s="9"/>
    </row>
    <row r="24" spans="1:22">
      <c r="A24" s="1" t="s">
        <v>42</v>
      </c>
      <c r="B24" s="6">
        <v>0</v>
      </c>
      <c r="C24" s="1">
        <v>0</v>
      </c>
      <c r="D24" s="1">
        <v>0</v>
      </c>
      <c r="E24" s="1">
        <v>0</v>
      </c>
      <c r="F24" s="1">
        <v>0</v>
      </c>
      <c r="G24" s="9">
        <f>SUM(LA_FINANCIAL)</f>
        <v>0</v>
      </c>
      <c r="I24" s="13" t="s">
        <v>43</v>
      </c>
      <c r="J24" s="16">
        <v>333632.99999999994</v>
      </c>
      <c r="L24" s="6"/>
      <c r="V24" s="9"/>
    </row>
    <row r="25" spans="1:22">
      <c r="A25" s="1" t="s">
        <v>44</v>
      </c>
      <c r="B25" s="6">
        <v>348.65768800618207</v>
      </c>
      <c r="C25" s="1">
        <v>47.856055537685677</v>
      </c>
      <c r="D25" s="1">
        <v>0</v>
      </c>
      <c r="E25" s="1">
        <v>0</v>
      </c>
      <c r="F25" s="1">
        <v>0</v>
      </c>
      <c r="G25" s="9">
        <f>SUM(ME_FINANCIAL)</f>
        <v>396.51374354386775</v>
      </c>
      <c r="I25" s="13"/>
      <c r="J25" s="16"/>
      <c r="L25" s="6"/>
      <c r="V25" s="9"/>
    </row>
    <row r="26" spans="1:22">
      <c r="A26" s="1" t="s">
        <v>45</v>
      </c>
      <c r="B26" s="6">
        <v>731.31304206343066</v>
      </c>
      <c r="C26" s="1">
        <v>65.801841601207173</v>
      </c>
      <c r="D26" s="1">
        <v>0</v>
      </c>
      <c r="E26" s="1">
        <v>0</v>
      </c>
      <c r="F26" s="1">
        <v>0</v>
      </c>
      <c r="G26" s="9">
        <f>SUM(MD_FINANCIAL)</f>
        <v>797.11488366463777</v>
      </c>
      <c r="I26" s="13" t="s">
        <v>46</v>
      </c>
      <c r="J26" s="16">
        <f>SUM(ADD_FINANCIAL)-SUM(LESS_FINANCIAL)</f>
        <v>47329.740000000165</v>
      </c>
      <c r="L26" s="6"/>
      <c r="V26" s="9"/>
    </row>
    <row r="27" spans="1:22">
      <c r="A27" s="1" t="s">
        <v>47</v>
      </c>
      <c r="B27" s="6">
        <v>1713.3808526730227</v>
      </c>
      <c r="C27" s="1">
        <v>159.13758859360451</v>
      </c>
      <c r="D27" s="1">
        <v>0</v>
      </c>
      <c r="E27" s="1">
        <v>0</v>
      </c>
      <c r="F27" s="1">
        <v>0</v>
      </c>
      <c r="G27" s="9">
        <f>SUM(MA_FINANCIAL)</f>
        <v>1872.5184412666272</v>
      </c>
      <c r="I27" s="13" t="s">
        <v>48</v>
      </c>
      <c r="J27" s="16">
        <f>SUM(ALL_BLOCKS)</f>
        <v>47329.740000000027</v>
      </c>
      <c r="L27" s="6"/>
      <c r="V27" s="9"/>
    </row>
    <row r="28" spans="1:22">
      <c r="A28" s="1" t="s">
        <v>49</v>
      </c>
      <c r="B28" s="6">
        <v>792.79295418059883</v>
      </c>
      <c r="C28" s="1">
        <v>56.316360804998169</v>
      </c>
      <c r="D28" s="1">
        <v>0</v>
      </c>
      <c r="E28" s="1">
        <v>0</v>
      </c>
      <c r="F28" s="1">
        <v>0</v>
      </c>
      <c r="G28" s="9">
        <f>SUM(MI_FINANCIAL)</f>
        <v>849.10931498559694</v>
      </c>
      <c r="I28" s="14"/>
      <c r="J28" s="17"/>
      <c r="L28" s="6"/>
      <c r="V28" s="9"/>
    </row>
    <row r="29" spans="1:22">
      <c r="A29" s="1" t="s">
        <v>50</v>
      </c>
      <c r="B29" s="6">
        <v>517.09699297705492</v>
      </c>
      <c r="C29" s="1">
        <v>61.896079155344523</v>
      </c>
      <c r="D29" s="1">
        <v>0</v>
      </c>
      <c r="E29" s="1">
        <v>0</v>
      </c>
      <c r="F29" s="1">
        <v>0</v>
      </c>
      <c r="G29" s="9">
        <f>SUM(MN_FINANCIAL)</f>
        <v>578.99307213239945</v>
      </c>
      <c r="L29" s="6"/>
      <c r="V29" s="9"/>
    </row>
    <row r="30" spans="1:22">
      <c r="A30" s="1" t="s">
        <v>51</v>
      </c>
      <c r="B30" s="6">
        <v>132.52032831226256</v>
      </c>
      <c r="C30" s="1">
        <v>0</v>
      </c>
      <c r="D30" s="1">
        <v>0</v>
      </c>
      <c r="E30" s="1">
        <v>0</v>
      </c>
      <c r="F30" s="1">
        <v>0</v>
      </c>
      <c r="G30" s="9">
        <f>SUM(MS_FINANCIAL)</f>
        <v>132.52032831226256</v>
      </c>
      <c r="L30" s="6"/>
      <c r="V30" s="9"/>
    </row>
    <row r="31" spans="1:22">
      <c r="A31" s="1" t="s">
        <v>52</v>
      </c>
      <c r="B31" s="6">
        <v>637.81107936456192</v>
      </c>
      <c r="C31" s="1">
        <v>197.0407700296214</v>
      </c>
      <c r="D31" s="1">
        <v>0</v>
      </c>
      <c r="E31" s="1">
        <v>0</v>
      </c>
      <c r="F31" s="1">
        <v>0</v>
      </c>
      <c r="G31" s="9">
        <f>SUM(MO_FINANCIAL)</f>
        <v>834.85184939418332</v>
      </c>
      <c r="L31" s="6"/>
      <c r="V31" s="9"/>
    </row>
    <row r="32" spans="1:22">
      <c r="A32" s="1" t="s">
        <v>53</v>
      </c>
      <c r="B32" s="6">
        <v>102.95579366687298</v>
      </c>
      <c r="C32" s="1">
        <v>0</v>
      </c>
      <c r="D32" s="1">
        <v>0</v>
      </c>
      <c r="E32" s="1">
        <v>0</v>
      </c>
      <c r="F32" s="1">
        <v>0</v>
      </c>
      <c r="G32" s="9">
        <f>SUM(MT_FINANCIAL)</f>
        <v>102.95579366687298</v>
      </c>
      <c r="L32" s="6">
        <v>300000</v>
      </c>
      <c r="M32" s="1">
        <v>0</v>
      </c>
      <c r="O32" s="1">
        <v>0</v>
      </c>
      <c r="P32" s="1">
        <v>0</v>
      </c>
      <c r="R32" s="1">
        <v>0</v>
      </c>
      <c r="S32" s="1">
        <v>0</v>
      </c>
      <c r="U32" s="1">
        <v>0</v>
      </c>
      <c r="V32" s="9">
        <v>0</v>
      </c>
    </row>
    <row r="33" spans="1:22">
      <c r="A33" s="1" t="s">
        <v>54</v>
      </c>
      <c r="B33" s="6">
        <v>451.77266715650831</v>
      </c>
      <c r="C33" s="1">
        <v>13.047300901587477</v>
      </c>
      <c r="D33" s="1">
        <v>0</v>
      </c>
      <c r="E33" s="1">
        <v>0</v>
      </c>
      <c r="F33" s="1">
        <v>0</v>
      </c>
      <c r="G33" s="9">
        <f>SUM(NE_FINANCIAL)</f>
        <v>464.81996805809581</v>
      </c>
      <c r="L33" s="6"/>
      <c r="V33" s="9"/>
    </row>
    <row r="34" spans="1:22">
      <c r="A34" s="1" t="s">
        <v>55</v>
      </c>
      <c r="B34" s="6">
        <v>554.96358780478613</v>
      </c>
      <c r="C34" s="1">
        <v>7.7035187164677623</v>
      </c>
      <c r="D34" s="1">
        <v>0</v>
      </c>
      <c r="E34" s="1">
        <v>0</v>
      </c>
      <c r="F34" s="1">
        <v>0</v>
      </c>
      <c r="G34" s="9">
        <f>SUM(NV_FINANCIAL)</f>
        <v>562.66710652125391</v>
      </c>
      <c r="L34" s="6"/>
      <c r="V34" s="9"/>
    </row>
    <row r="35" spans="1:22">
      <c r="A35" s="1" t="s">
        <v>56</v>
      </c>
      <c r="B35" s="6">
        <v>351.1477685851255</v>
      </c>
      <c r="C35" s="1">
        <v>19.888836890253913</v>
      </c>
      <c r="D35" s="1">
        <v>0</v>
      </c>
      <c r="E35" s="1">
        <v>0</v>
      </c>
      <c r="F35" s="1">
        <v>0</v>
      </c>
      <c r="G35" s="9">
        <f>SUM(NH_FINANCIAL)</f>
        <v>371.03660547537942</v>
      </c>
      <c r="L35" s="6"/>
      <c r="V35" s="9"/>
    </row>
    <row r="36" spans="1:22">
      <c r="A36" s="1" t="s">
        <v>57</v>
      </c>
      <c r="B36" s="6">
        <v>2616.000748205166</v>
      </c>
      <c r="C36" s="1">
        <v>145.3805082641245</v>
      </c>
      <c r="D36" s="1">
        <v>0</v>
      </c>
      <c r="E36" s="1">
        <v>0</v>
      </c>
      <c r="F36" s="1">
        <v>0</v>
      </c>
      <c r="G36" s="9">
        <f>SUM(NJ_FINANCIAL)</f>
        <v>2761.3812564692907</v>
      </c>
      <c r="L36" s="6"/>
      <c r="V36" s="9"/>
    </row>
    <row r="37" spans="1:22">
      <c r="A37" s="1" t="s">
        <v>58</v>
      </c>
      <c r="B37" s="6">
        <v>348.35955772001626</v>
      </c>
      <c r="C37" s="1">
        <v>35.936875416421543</v>
      </c>
      <c r="D37" s="1">
        <v>0</v>
      </c>
      <c r="E37" s="1">
        <v>0</v>
      </c>
      <c r="F37" s="1">
        <v>0</v>
      </c>
      <c r="G37" s="9">
        <f>SUM(NM_FINANCIAL)</f>
        <v>384.29643313643783</v>
      </c>
      <c r="L37" s="6">
        <v>200000</v>
      </c>
      <c r="M37" s="1">
        <v>0</v>
      </c>
      <c r="O37" s="1">
        <v>502555</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642.70559758578111</v>
      </c>
      <c r="C39" s="1">
        <v>71.840871833924382</v>
      </c>
      <c r="D39" s="1">
        <v>0</v>
      </c>
      <c r="E39" s="1">
        <v>0</v>
      </c>
      <c r="F39" s="1">
        <v>0</v>
      </c>
      <c r="G39" s="9">
        <f>SUM(NC_FINANCIAL)</f>
        <v>714.54646941970555</v>
      </c>
      <c r="L39" s="6"/>
      <c r="V39" s="9"/>
    </row>
    <row r="40" spans="1:22">
      <c r="A40" s="1" t="s">
        <v>61</v>
      </c>
      <c r="B40" s="6">
        <v>224.25408743241337</v>
      </c>
      <c r="C40" s="1">
        <v>0</v>
      </c>
      <c r="D40" s="1">
        <v>0</v>
      </c>
      <c r="E40" s="1">
        <v>0</v>
      </c>
      <c r="F40" s="1">
        <v>0</v>
      </c>
      <c r="G40" s="9">
        <f>SUM(ND_FINANCIAL)</f>
        <v>224.25408743241337</v>
      </c>
      <c r="L40" s="6"/>
      <c r="V40" s="9"/>
    </row>
    <row r="41" spans="1:22">
      <c r="A41" s="1" t="s">
        <v>62</v>
      </c>
      <c r="B41" s="6">
        <v>1394.9459735831188</v>
      </c>
      <c r="C41" s="1">
        <v>61.680792996283117</v>
      </c>
      <c r="D41" s="1">
        <v>0</v>
      </c>
      <c r="E41" s="1">
        <v>0</v>
      </c>
      <c r="F41" s="1">
        <v>0</v>
      </c>
      <c r="G41" s="9">
        <f>SUM(OH_FINANCIAL)</f>
        <v>1456.6267665794019</v>
      </c>
      <c r="L41" s="6"/>
      <c r="V41" s="9"/>
    </row>
    <row r="42" spans="1:22">
      <c r="A42" s="1" t="s">
        <v>63</v>
      </c>
      <c r="B42" s="6">
        <v>529.2734775733702</v>
      </c>
      <c r="C42" s="1">
        <v>15.048766779570201</v>
      </c>
      <c r="D42" s="1">
        <v>0</v>
      </c>
      <c r="E42" s="1">
        <v>0</v>
      </c>
      <c r="F42" s="1">
        <v>0</v>
      </c>
      <c r="G42" s="9">
        <f>SUM(OK_FINANCIAL)</f>
        <v>544.3222443529404</v>
      </c>
      <c r="L42" s="6"/>
      <c r="V42" s="9"/>
    </row>
    <row r="43" spans="1:22">
      <c r="A43" s="1" t="s">
        <v>64</v>
      </c>
      <c r="B43" s="6">
        <v>377.16090689290741</v>
      </c>
      <c r="C43" s="1">
        <v>67.264595534309649</v>
      </c>
      <c r="D43" s="1">
        <v>0</v>
      </c>
      <c r="E43" s="1">
        <v>0</v>
      </c>
      <c r="F43" s="1">
        <v>0</v>
      </c>
      <c r="G43" s="9">
        <f>SUM(OR_FINANCIAL)</f>
        <v>444.42550242721705</v>
      </c>
      <c r="L43" s="6"/>
      <c r="V43" s="9"/>
    </row>
    <row r="44" spans="1:22">
      <c r="A44" s="1" t="s">
        <v>65</v>
      </c>
      <c r="B44" s="6">
        <v>2230.5304831399262</v>
      </c>
      <c r="C44" s="1">
        <v>94.574081289843775</v>
      </c>
      <c r="D44" s="1">
        <v>0</v>
      </c>
      <c r="E44" s="1">
        <v>0</v>
      </c>
      <c r="F44" s="1">
        <v>0</v>
      </c>
      <c r="G44" s="9">
        <f>SUM(PA_FINANCIAL)</f>
        <v>2325.1045644297701</v>
      </c>
      <c r="L44" s="6"/>
      <c r="V44" s="9"/>
    </row>
    <row r="45" spans="1:22">
      <c r="A45" s="1" t="s">
        <v>66</v>
      </c>
      <c r="B45" s="6">
        <v>33.649569152645</v>
      </c>
      <c r="C45" s="1">
        <v>0</v>
      </c>
      <c r="D45" s="1">
        <v>0</v>
      </c>
      <c r="E45" s="1">
        <v>0</v>
      </c>
      <c r="F45" s="1">
        <v>0</v>
      </c>
      <c r="G45" s="9">
        <f>SUM(PR_FINANCIAL)</f>
        <v>33.649569152645</v>
      </c>
      <c r="L45" s="6"/>
      <c r="V45" s="9"/>
    </row>
    <row r="46" spans="1:22">
      <c r="A46" s="1" t="s">
        <v>67</v>
      </c>
      <c r="B46" s="6">
        <v>125.89190723030458</v>
      </c>
      <c r="C46" s="1">
        <v>16.807938375052657</v>
      </c>
      <c r="D46" s="1">
        <v>0</v>
      </c>
      <c r="E46" s="1">
        <v>0</v>
      </c>
      <c r="F46" s="1">
        <v>0</v>
      </c>
      <c r="G46" s="9">
        <f>SUM(RI_FINANCIAL)</f>
        <v>142.69984560535724</v>
      </c>
      <c r="L46" s="6"/>
      <c r="V46" s="9"/>
    </row>
    <row r="47" spans="1:22">
      <c r="A47" s="1" t="s">
        <v>68</v>
      </c>
      <c r="B47" s="6">
        <v>319.98549994863879</v>
      </c>
      <c r="C47" s="1">
        <v>21.484208811705088</v>
      </c>
      <c r="D47" s="1">
        <v>0</v>
      </c>
      <c r="E47" s="1">
        <v>0</v>
      </c>
      <c r="F47" s="1">
        <v>0</v>
      </c>
      <c r="G47" s="9">
        <f>SUM(SC_FINANCIAL)</f>
        <v>341.46970876034391</v>
      </c>
      <c r="L47" s="6"/>
      <c r="V47" s="9"/>
    </row>
    <row r="48" spans="1:22">
      <c r="A48" s="1" t="s">
        <v>69</v>
      </c>
      <c r="B48" s="6">
        <v>256.85638111554704</v>
      </c>
      <c r="C48" s="1">
        <v>2.0708961659710763</v>
      </c>
      <c r="D48" s="1">
        <v>0</v>
      </c>
      <c r="E48" s="1">
        <v>0</v>
      </c>
      <c r="F48" s="1">
        <v>0</v>
      </c>
      <c r="G48" s="9">
        <f>SUM(SD_FINANCIAL)</f>
        <v>258.92727728151812</v>
      </c>
      <c r="L48" s="6"/>
      <c r="V48" s="9"/>
    </row>
    <row r="49" spans="1:22">
      <c r="A49" s="1" t="s">
        <v>70</v>
      </c>
      <c r="B49" s="6">
        <v>548.00776691588044</v>
      </c>
      <c r="C49" s="1">
        <v>12.628632699975725</v>
      </c>
      <c r="D49" s="1">
        <v>0</v>
      </c>
      <c r="E49" s="1">
        <v>0</v>
      </c>
      <c r="F49" s="1">
        <v>0</v>
      </c>
      <c r="G49" s="9">
        <f>SUM(TN_FINANCIAL)</f>
        <v>560.63639961585613</v>
      </c>
      <c r="L49" s="6"/>
      <c r="V49" s="9"/>
    </row>
    <row r="50" spans="1:22">
      <c r="A50" s="1" t="s">
        <v>71</v>
      </c>
      <c r="B50" s="6">
        <v>2824.6187871270486</v>
      </c>
      <c r="C50" s="1">
        <v>243.58969515887702</v>
      </c>
      <c r="D50" s="1">
        <v>0</v>
      </c>
      <c r="E50" s="1">
        <v>0</v>
      </c>
      <c r="F50" s="1">
        <v>0</v>
      </c>
      <c r="G50" s="9">
        <f>SUM(TX_FINANCIAL)</f>
        <v>3068.2084822859256</v>
      </c>
      <c r="L50" s="6"/>
      <c r="V50" s="9"/>
    </row>
    <row r="51" spans="1:22">
      <c r="A51" s="1" t="s">
        <v>72</v>
      </c>
      <c r="B51" s="6">
        <v>802.54582200104142</v>
      </c>
      <c r="C51" s="1">
        <v>24.133596308984295</v>
      </c>
      <c r="D51" s="1">
        <v>0</v>
      </c>
      <c r="E51" s="1">
        <v>0</v>
      </c>
      <c r="F51" s="1">
        <v>0</v>
      </c>
      <c r="G51" s="9">
        <f>SUM(UT_FINANCIAL)</f>
        <v>826.67941831002577</v>
      </c>
      <c r="L51" s="6"/>
      <c r="V51" s="9"/>
    </row>
    <row r="52" spans="1:22">
      <c r="A52" s="1" t="s">
        <v>73</v>
      </c>
      <c r="B52" s="6">
        <v>82.431386056270185</v>
      </c>
      <c r="C52" s="1">
        <v>5.2385971834387632</v>
      </c>
      <c r="D52" s="1">
        <v>0</v>
      </c>
      <c r="E52" s="1">
        <v>0</v>
      </c>
      <c r="F52" s="1">
        <v>0</v>
      </c>
      <c r="G52" s="9">
        <f>SUM(VT_FINANCIAL)</f>
        <v>87.669983239708955</v>
      </c>
      <c r="L52" s="6"/>
      <c r="V52" s="9"/>
    </row>
    <row r="53" spans="1:22">
      <c r="A53" s="1" t="s">
        <v>74</v>
      </c>
      <c r="B53" s="6">
        <v>673.79666950989031</v>
      </c>
      <c r="C53" s="1">
        <v>60.130093122817527</v>
      </c>
      <c r="D53" s="1">
        <v>0</v>
      </c>
      <c r="E53" s="1">
        <v>0</v>
      </c>
      <c r="F53" s="1">
        <v>0</v>
      </c>
      <c r="G53" s="9">
        <f>SUM(VA_FINANCIAL)</f>
        <v>733.92676263270778</v>
      </c>
      <c r="L53" s="6"/>
      <c r="V53" s="9"/>
    </row>
    <row r="54" spans="1:22">
      <c r="A54" s="1" t="s">
        <v>75</v>
      </c>
      <c r="B54" s="6">
        <v>709.34844245063687</v>
      </c>
      <c r="C54" s="1">
        <v>260.03554560403791</v>
      </c>
      <c r="D54" s="1">
        <v>0</v>
      </c>
      <c r="E54" s="1">
        <v>0</v>
      </c>
      <c r="F54" s="1">
        <v>0</v>
      </c>
      <c r="G54" s="9">
        <f>SUM(WA_FINANCIAL)</f>
        <v>969.38398805467477</v>
      </c>
      <c r="L54" s="6"/>
      <c r="V54" s="9"/>
    </row>
    <row r="55" spans="1:22">
      <c r="A55" s="1" t="s">
        <v>76</v>
      </c>
      <c r="B55" s="6">
        <v>246.1831571597811</v>
      </c>
      <c r="C55" s="1">
        <v>13.746482191382938</v>
      </c>
      <c r="D55" s="1">
        <v>0</v>
      </c>
      <c r="E55" s="1">
        <v>0</v>
      </c>
      <c r="F55" s="1">
        <v>0</v>
      </c>
      <c r="G55" s="9">
        <f>SUM(WV_FINANCIAL)</f>
        <v>259.92963935116404</v>
      </c>
      <c r="L55" s="6"/>
      <c r="V55" s="9"/>
    </row>
    <row r="56" spans="1:22">
      <c r="A56" s="1" t="s">
        <v>77</v>
      </c>
      <c r="B56" s="6">
        <v>1195.4173690633961</v>
      </c>
      <c r="C56" s="1">
        <v>87.933206917029224</v>
      </c>
      <c r="D56" s="1">
        <v>0</v>
      </c>
      <c r="E56" s="1">
        <v>0</v>
      </c>
      <c r="F56" s="1">
        <v>0</v>
      </c>
      <c r="G56" s="9">
        <f>SUM(WI_FINANCIAL)</f>
        <v>1283.3505759804252</v>
      </c>
      <c r="L56" s="6"/>
      <c r="V56" s="9"/>
    </row>
    <row r="57" spans="1:22">
      <c r="A57" s="1" t="s">
        <v>78</v>
      </c>
      <c r="B57" s="6">
        <v>98.503147496435759</v>
      </c>
      <c r="C57" s="1">
        <v>18.717197970786913</v>
      </c>
      <c r="D57" s="1">
        <v>0</v>
      </c>
      <c r="E57" s="1">
        <v>0</v>
      </c>
      <c r="F57" s="1">
        <v>0</v>
      </c>
      <c r="G57" s="9">
        <f>SUM(WY_FINANCIAL)</f>
        <v>117.22034546722267</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43288.647479271953</v>
      </c>
      <c r="C60" s="1">
        <f>SUM(ALLOCATED)</f>
        <v>4041.0925207280943</v>
      </c>
      <c r="D60" s="1">
        <f>SUM(HEALTH)</f>
        <v>0</v>
      </c>
      <c r="E60" s="1">
        <f>SUM(UNALLOCATED)</f>
        <v>0</v>
      </c>
      <c r="F60" s="1">
        <f>SUM(LTC)</f>
        <v>0</v>
      </c>
      <c r="G60" s="9">
        <f>SUM(ALL_BLOCKS)</f>
        <v>47329.740000000027</v>
      </c>
      <c r="L60" s="6">
        <f>SUM(LIFE_CALLED)</f>
        <v>611924</v>
      </c>
      <c r="M60" s="1">
        <f>SUM(LIFE_REFUNDED)</f>
        <v>17671</v>
      </c>
      <c r="O60" s="1">
        <f>SUM(ALLOC_CALLED)</f>
        <v>712595</v>
      </c>
      <c r="P60" s="1">
        <f>SUM(ALLOC_REFUNDED)</f>
        <v>2463</v>
      </c>
      <c r="R60" s="1">
        <f>SUM(HEALTH_CALLED)</f>
        <v>10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83</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214086.0749677819</v>
      </c>
      <c r="C6" s="1">
        <v>4255264.8432068741</v>
      </c>
      <c r="D6" s="1">
        <v>105560.33514167285</v>
      </c>
      <c r="E6" s="1">
        <v>0</v>
      </c>
      <c r="F6" s="1">
        <v>0</v>
      </c>
      <c r="G6" s="9">
        <f>SUM(AL_FINANCIAL)</f>
        <v>4574911.2533163289</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4778293.5803646231</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374183</v>
      </c>
      <c r="L13" s="6"/>
      <c r="V13" s="9"/>
    </row>
    <row r="14" spans="1:22">
      <c r="A14" s="1" t="s">
        <v>23</v>
      </c>
      <c r="B14" s="6">
        <v>0</v>
      </c>
      <c r="C14" s="1">
        <v>0</v>
      </c>
      <c r="D14" s="1">
        <v>0</v>
      </c>
      <c r="E14" s="1">
        <v>0</v>
      </c>
      <c r="F14" s="1">
        <v>0</v>
      </c>
      <c r="G14" s="9">
        <f>SUM(DC_FINANCIAL)</f>
        <v>0</v>
      </c>
      <c r="I14" s="13" t="s">
        <v>24</v>
      </c>
      <c r="J14" s="16">
        <v>412005.00000000006</v>
      </c>
      <c r="L14" s="6"/>
      <c r="V14" s="9"/>
    </row>
    <row r="15" spans="1:22">
      <c r="A15" s="1" t="s">
        <v>25</v>
      </c>
      <c r="B15" s="6">
        <v>0</v>
      </c>
      <c r="C15" s="1">
        <v>0</v>
      </c>
      <c r="D15" s="1">
        <v>0</v>
      </c>
      <c r="E15" s="1">
        <v>0</v>
      </c>
      <c r="F15" s="1">
        <v>0</v>
      </c>
      <c r="G15" s="9">
        <f>SUM(FL_FINANCIAL)</f>
        <v>0</v>
      </c>
      <c r="I15" s="13" t="s">
        <v>26</v>
      </c>
      <c r="J15" s="16">
        <v>167853.26999999996</v>
      </c>
      <c r="L15" s="6"/>
      <c r="V15" s="9"/>
    </row>
    <row r="16" spans="1:22">
      <c r="A16" s="1" t="s">
        <v>27</v>
      </c>
      <c r="B16" s="6">
        <v>792.75100591362991</v>
      </c>
      <c r="C16" s="1">
        <v>22231.240601101952</v>
      </c>
      <c r="D16" s="1">
        <v>202.34211864873166</v>
      </c>
      <c r="E16" s="1">
        <v>0</v>
      </c>
      <c r="F16" s="1">
        <v>0</v>
      </c>
      <c r="G16" s="9">
        <f>SUM(GA_FINANCIAL)</f>
        <v>23226.333725664314</v>
      </c>
      <c r="I16" s="13" t="s">
        <v>28</v>
      </c>
      <c r="J16" s="16">
        <v>0</v>
      </c>
      <c r="L16" s="6">
        <v>1024</v>
      </c>
      <c r="M16" s="1">
        <v>0</v>
      </c>
      <c r="O16" s="1">
        <v>28715</v>
      </c>
      <c r="P16" s="1">
        <v>1409.23</v>
      </c>
      <c r="R16" s="1">
        <v>0</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399999.99999999994</v>
      </c>
      <c r="L19" s="6"/>
      <c r="V19" s="9"/>
    </row>
    <row r="20" spans="1:22">
      <c r="A20" s="1" t="s">
        <v>34</v>
      </c>
      <c r="B20" s="6">
        <v>0</v>
      </c>
      <c r="C20" s="1">
        <v>0</v>
      </c>
      <c r="D20" s="1">
        <v>0</v>
      </c>
      <c r="E20" s="1">
        <v>0</v>
      </c>
      <c r="F20" s="1">
        <v>0</v>
      </c>
      <c r="G20" s="9">
        <f>SUM(IN_FINANCIAL)</f>
        <v>0</v>
      </c>
      <c r="I20" s="13" t="s">
        <v>35</v>
      </c>
      <c r="J20" s="16">
        <v>-807666.41963537748</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328371</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12717.55233801432</v>
      </c>
      <c r="C24" s="1">
        <v>314742.78118757741</v>
      </c>
      <c r="D24" s="1">
        <v>4057.3494324152407</v>
      </c>
      <c r="E24" s="1">
        <v>0</v>
      </c>
      <c r="F24" s="1">
        <v>0</v>
      </c>
      <c r="G24" s="9">
        <f>SUM(LA_FINANCIAL)</f>
        <v>331517.68295800692</v>
      </c>
      <c r="I24" s="13" t="s">
        <v>43</v>
      </c>
      <c r="J24" s="16">
        <v>881975</v>
      </c>
      <c r="L24" s="6">
        <v>18000</v>
      </c>
      <c r="M24" s="1">
        <v>0</v>
      </c>
      <c r="O24" s="1">
        <v>256268</v>
      </c>
      <c r="P24" s="1">
        <v>0</v>
      </c>
      <c r="R24" s="1">
        <v>7000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4929655.2700000005</v>
      </c>
      <c r="L26" s="6"/>
      <c r="V26" s="9"/>
    </row>
    <row r="27" spans="1:22">
      <c r="A27" s="1" t="s">
        <v>47</v>
      </c>
      <c r="B27" s="6">
        <v>0</v>
      </c>
      <c r="C27" s="1">
        <v>0</v>
      </c>
      <c r="D27" s="1">
        <v>0</v>
      </c>
      <c r="E27" s="1">
        <v>0</v>
      </c>
      <c r="F27" s="1">
        <v>0</v>
      </c>
      <c r="G27" s="9">
        <f>SUM(MA_FINANCIAL)</f>
        <v>0</v>
      </c>
      <c r="I27" s="13" t="s">
        <v>48</v>
      </c>
      <c r="J27" s="16">
        <f>SUM(ALL_BLOCKS)</f>
        <v>4929655.2700000005</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227596.37831170985</v>
      </c>
      <c r="C60" s="1">
        <f>SUM(ALLOCATED)</f>
        <v>4592238.8649955532</v>
      </c>
      <c r="D60" s="1">
        <f>SUM(HEALTH)</f>
        <v>109820.02669273682</v>
      </c>
      <c r="E60" s="1">
        <f>SUM(UNALLOCATED)</f>
        <v>0</v>
      </c>
      <c r="F60" s="1">
        <f>SUM(LTC)</f>
        <v>0</v>
      </c>
      <c r="G60" s="9">
        <f>SUM(ALL_BLOCKS)</f>
        <v>4929655.2700000005</v>
      </c>
      <c r="L60" s="6">
        <f>SUM(LIFE_CALLED)</f>
        <v>19024</v>
      </c>
      <c r="M60" s="1">
        <f>SUM(LIFE_REFUNDED)</f>
        <v>0</v>
      </c>
      <c r="O60" s="1">
        <f>SUM(ALLOC_CALLED)</f>
        <v>284983</v>
      </c>
      <c r="P60" s="1">
        <f>SUM(ALLOC_REFUNDED)</f>
        <v>1409.23</v>
      </c>
      <c r="R60" s="1">
        <f>SUM(HEALTH_CALLED)</f>
        <v>7000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119</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37902.880071160849</v>
      </c>
      <c r="E6" s="1">
        <v>0</v>
      </c>
      <c r="F6" s="1">
        <v>0</v>
      </c>
      <c r="G6" s="9">
        <f>SUM(AL_FINANCIAL)</f>
        <v>37902.880071160849</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7153.2168216631107</v>
      </c>
      <c r="E8" s="1">
        <v>0</v>
      </c>
      <c r="F8" s="1">
        <v>0</v>
      </c>
      <c r="G8" s="9">
        <f>SUM(AZ_FINANCIAL)</f>
        <v>7153.2168216631107</v>
      </c>
      <c r="I8" s="13" t="s">
        <v>14</v>
      </c>
      <c r="J8" s="16"/>
      <c r="L8" s="6">
        <v>0</v>
      </c>
      <c r="M8" s="1">
        <v>0</v>
      </c>
      <c r="O8" s="1">
        <v>0</v>
      </c>
      <c r="P8" s="1">
        <v>0</v>
      </c>
      <c r="R8" s="1">
        <v>0</v>
      </c>
      <c r="S8" s="1">
        <v>0</v>
      </c>
      <c r="U8" s="1">
        <v>0</v>
      </c>
      <c r="V8" s="9">
        <v>0</v>
      </c>
    </row>
    <row r="9" spans="1:22">
      <c r="A9" s="1" t="s">
        <v>15</v>
      </c>
      <c r="B9" s="6">
        <v>0</v>
      </c>
      <c r="C9" s="1">
        <v>0</v>
      </c>
      <c r="D9" s="1">
        <v>279.12099434712673</v>
      </c>
      <c r="E9" s="1">
        <v>0</v>
      </c>
      <c r="F9" s="1">
        <v>0</v>
      </c>
      <c r="G9" s="9">
        <f>SUM(AR_FINANCIAL)</f>
        <v>279.12099434712673</v>
      </c>
      <c r="I9" s="13"/>
      <c r="J9" s="16"/>
      <c r="L9" s="6">
        <v>8231</v>
      </c>
      <c r="M9" s="1">
        <v>0</v>
      </c>
      <c r="O9" s="1">
        <v>0</v>
      </c>
      <c r="P9" s="1">
        <v>0</v>
      </c>
      <c r="R9" s="1">
        <v>3987</v>
      </c>
      <c r="S9" s="1">
        <v>0</v>
      </c>
      <c r="U9" s="1">
        <v>0</v>
      </c>
      <c r="V9" s="9">
        <v>0</v>
      </c>
    </row>
    <row r="10" spans="1:22">
      <c r="A10" s="1" t="s">
        <v>16</v>
      </c>
      <c r="B10" s="6">
        <v>0</v>
      </c>
      <c r="C10" s="1">
        <v>0</v>
      </c>
      <c r="D10" s="1">
        <v>0</v>
      </c>
      <c r="E10" s="1">
        <v>0</v>
      </c>
      <c r="F10" s="1">
        <v>0</v>
      </c>
      <c r="G10" s="9">
        <f>SUM(CA_FINANCIAL)</f>
        <v>0</v>
      </c>
      <c r="I10" s="13" t="s">
        <v>17</v>
      </c>
      <c r="J10" s="16">
        <v>1978001</v>
      </c>
      <c r="L10" s="6">
        <v>0</v>
      </c>
      <c r="M10" s="1">
        <v>0</v>
      </c>
      <c r="O10" s="1">
        <v>0</v>
      </c>
      <c r="P10" s="1">
        <v>1700000</v>
      </c>
      <c r="R10" s="1">
        <v>0</v>
      </c>
      <c r="S10" s="1">
        <v>0</v>
      </c>
      <c r="U10" s="1">
        <v>0</v>
      </c>
      <c r="V10" s="9">
        <v>0</v>
      </c>
    </row>
    <row r="11" spans="1:22">
      <c r="A11" s="1" t="s">
        <v>18</v>
      </c>
      <c r="B11" s="6">
        <v>0</v>
      </c>
      <c r="C11" s="1">
        <v>0</v>
      </c>
      <c r="D11" s="1">
        <v>1401.925109423255</v>
      </c>
      <c r="E11" s="1">
        <v>0</v>
      </c>
      <c r="F11" s="1">
        <v>0</v>
      </c>
      <c r="G11" s="9">
        <f>SUM(CO_FINANCIAL)</f>
        <v>1401.925109423255</v>
      </c>
      <c r="I11" s="13"/>
      <c r="J11" s="16"/>
      <c r="L11" s="6">
        <v>0</v>
      </c>
      <c r="M11" s="1">
        <v>0</v>
      </c>
      <c r="O11" s="1">
        <v>0</v>
      </c>
      <c r="P11" s="1">
        <v>0</v>
      </c>
      <c r="R11" s="1">
        <v>26200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796.87707428085378</v>
      </c>
      <c r="E13" s="1">
        <v>0</v>
      </c>
      <c r="F13" s="1">
        <v>0</v>
      </c>
      <c r="G13" s="9">
        <f>SUM(DE_FINANCIAL)</f>
        <v>796.87707428085378</v>
      </c>
      <c r="I13" s="13" t="s">
        <v>22</v>
      </c>
      <c r="J13" s="16">
        <v>1978001</v>
      </c>
      <c r="L13" s="6">
        <v>0</v>
      </c>
      <c r="M13" s="1">
        <v>0</v>
      </c>
      <c r="O13" s="1">
        <v>0</v>
      </c>
      <c r="P13" s="1">
        <v>0</v>
      </c>
      <c r="R13" s="1">
        <v>10000</v>
      </c>
      <c r="S13" s="1">
        <v>0</v>
      </c>
      <c r="U13" s="1">
        <v>0</v>
      </c>
      <c r="V13" s="9">
        <v>0</v>
      </c>
    </row>
    <row r="14" spans="1:22">
      <c r="A14" s="1" t="s">
        <v>23</v>
      </c>
      <c r="B14" s="6">
        <v>0</v>
      </c>
      <c r="C14" s="1">
        <v>0</v>
      </c>
      <c r="D14" s="1">
        <v>0</v>
      </c>
      <c r="E14" s="1">
        <v>0</v>
      </c>
      <c r="F14" s="1">
        <v>0</v>
      </c>
      <c r="G14" s="9">
        <f>SUM(DC_FINANCIAL)</f>
        <v>0</v>
      </c>
      <c r="I14" s="13" t="s">
        <v>24</v>
      </c>
      <c r="J14" s="16">
        <v>305426</v>
      </c>
      <c r="L14" s="6"/>
      <c r="V14" s="9"/>
    </row>
    <row r="15" spans="1:22">
      <c r="A15" s="1" t="s">
        <v>25</v>
      </c>
      <c r="B15" s="6">
        <v>0</v>
      </c>
      <c r="C15" s="1">
        <v>0</v>
      </c>
      <c r="D15" s="1">
        <v>111657.17614176311</v>
      </c>
      <c r="E15" s="1">
        <v>0</v>
      </c>
      <c r="F15" s="1">
        <v>0</v>
      </c>
      <c r="G15" s="9">
        <f>SUM(FL_FINANCIAL)</f>
        <v>111657.17614176311</v>
      </c>
      <c r="I15" s="13" t="s">
        <v>26</v>
      </c>
      <c r="J15" s="16">
        <v>315878.5500000001</v>
      </c>
      <c r="L15" s="6"/>
      <c r="V15" s="9"/>
    </row>
    <row r="16" spans="1:22">
      <c r="A16" s="1" t="s">
        <v>27</v>
      </c>
      <c r="B16" s="6">
        <v>0</v>
      </c>
      <c r="C16" s="1">
        <v>0</v>
      </c>
      <c r="D16" s="1">
        <v>20525.188875963708</v>
      </c>
      <c r="E16" s="1">
        <v>0</v>
      </c>
      <c r="F16" s="1">
        <v>0</v>
      </c>
      <c r="G16" s="9">
        <f>SUM(GA_FINANCIAL)</f>
        <v>20525.188875963708</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3437.2202638536692</v>
      </c>
      <c r="E18" s="1">
        <v>0</v>
      </c>
      <c r="F18" s="1">
        <v>0</v>
      </c>
      <c r="G18" s="9">
        <f>SUM(ID_FINANCIAL)</f>
        <v>3437.2202638536692</v>
      </c>
      <c r="I18" s="13" t="s">
        <v>31</v>
      </c>
      <c r="J18" s="16"/>
      <c r="L18" s="6">
        <v>0</v>
      </c>
      <c r="M18" s="1">
        <v>0</v>
      </c>
      <c r="O18" s="1">
        <v>0</v>
      </c>
      <c r="P18" s="1">
        <v>0</v>
      </c>
      <c r="R18" s="1">
        <v>0</v>
      </c>
      <c r="S18" s="1">
        <v>0</v>
      </c>
      <c r="U18" s="1">
        <v>0</v>
      </c>
      <c r="V18" s="9">
        <v>0</v>
      </c>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8349.9926358705125</v>
      </c>
      <c r="E20" s="1">
        <v>0</v>
      </c>
      <c r="F20" s="1">
        <v>0</v>
      </c>
      <c r="G20" s="9">
        <f>SUM(IN_FINANCIAL)</f>
        <v>8349.9926358705125</v>
      </c>
      <c r="I20" s="13" t="s">
        <v>35</v>
      </c>
      <c r="J20" s="16">
        <v>1978001</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1146.6957930369044</v>
      </c>
      <c r="E23" s="1">
        <v>0</v>
      </c>
      <c r="F23" s="1">
        <v>0</v>
      </c>
      <c r="G23" s="9">
        <f>SUM(KY_FINANCIAL)</f>
        <v>1146.6957930369044</v>
      </c>
      <c r="I23" s="13" t="s">
        <v>41</v>
      </c>
      <c r="J23" s="16"/>
      <c r="L23" s="6"/>
      <c r="V23" s="9"/>
    </row>
    <row r="24" spans="1:22">
      <c r="A24" s="1" t="s">
        <v>42</v>
      </c>
      <c r="B24" s="6">
        <v>0</v>
      </c>
      <c r="C24" s="1">
        <v>0</v>
      </c>
      <c r="D24" s="1">
        <v>14942.919433696952</v>
      </c>
      <c r="E24" s="1">
        <v>0</v>
      </c>
      <c r="F24" s="1">
        <v>0</v>
      </c>
      <c r="G24" s="9">
        <f>SUM(LA_FINANCIAL)</f>
        <v>14942.919433696952</v>
      </c>
      <c r="I24" s="13" t="s">
        <v>43</v>
      </c>
      <c r="J24" s="16">
        <v>2373299</v>
      </c>
      <c r="L24" s="6">
        <v>0</v>
      </c>
      <c r="M24" s="1">
        <v>0</v>
      </c>
      <c r="O24" s="1">
        <v>0</v>
      </c>
      <c r="P24" s="1">
        <v>0</v>
      </c>
      <c r="R24" s="1">
        <v>85000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-1320.950697007881</v>
      </c>
      <c r="E26" s="1">
        <v>0</v>
      </c>
      <c r="F26" s="1">
        <v>0</v>
      </c>
      <c r="G26" s="9">
        <f>SUM(MD_FINANCIAL)</f>
        <v>-1320.950697007881</v>
      </c>
      <c r="I26" s="13" t="s">
        <v>46</v>
      </c>
      <c r="J26" s="16">
        <f>SUM(ADD_FINANCIAL)-SUM(LESS_FINANCIAL)</f>
        <v>226006.54999999981</v>
      </c>
      <c r="L26" s="6"/>
      <c r="V26" s="9"/>
    </row>
    <row r="27" spans="1:22">
      <c r="A27" s="1" t="s">
        <v>47</v>
      </c>
      <c r="B27" s="6">
        <v>0</v>
      </c>
      <c r="C27" s="1">
        <v>0</v>
      </c>
      <c r="D27" s="1">
        <v>0</v>
      </c>
      <c r="E27" s="1">
        <v>0</v>
      </c>
      <c r="F27" s="1">
        <v>0</v>
      </c>
      <c r="G27" s="9">
        <f>SUM(MA_FINANCIAL)</f>
        <v>0</v>
      </c>
      <c r="I27" s="13" t="s">
        <v>48</v>
      </c>
      <c r="J27" s="16">
        <f>SUM(ALL_BLOCKS)</f>
        <v>226006.55000000005</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2569.1752441590725</v>
      </c>
      <c r="E30" s="1">
        <v>0</v>
      </c>
      <c r="F30" s="1">
        <v>0</v>
      </c>
      <c r="G30" s="9">
        <f>SUM(MS_FINANCIAL)</f>
        <v>2569.1752441590725</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895.72657041017465</v>
      </c>
      <c r="E32" s="1">
        <v>0</v>
      </c>
      <c r="F32" s="1">
        <v>0</v>
      </c>
      <c r="G32" s="9">
        <f>SUM(MT_FINANCIAL)</f>
        <v>895.72657041017465</v>
      </c>
      <c r="L32" s="6"/>
      <c r="V32" s="9"/>
    </row>
    <row r="33" spans="1:22">
      <c r="A33" s="1" t="s">
        <v>54</v>
      </c>
      <c r="B33" s="6">
        <v>0</v>
      </c>
      <c r="C33" s="1">
        <v>0</v>
      </c>
      <c r="D33" s="1">
        <v>170</v>
      </c>
      <c r="E33" s="1">
        <v>0</v>
      </c>
      <c r="F33" s="1">
        <v>0</v>
      </c>
      <c r="G33" s="9">
        <f>SUM(NE_FINANCIAL)</f>
        <v>170</v>
      </c>
      <c r="L33" s="6"/>
      <c r="V33" s="9"/>
    </row>
    <row r="34" spans="1:22">
      <c r="A34" s="1" t="s">
        <v>55</v>
      </c>
      <c r="B34" s="6">
        <v>0</v>
      </c>
      <c r="C34" s="1">
        <v>0</v>
      </c>
      <c r="D34" s="1">
        <v>459.57347164517341</v>
      </c>
      <c r="E34" s="1">
        <v>0</v>
      </c>
      <c r="F34" s="1">
        <v>0</v>
      </c>
      <c r="G34" s="9">
        <f>SUM(NV_FINANCIAL)</f>
        <v>459.57347164517341</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2953.4748656609372</v>
      </c>
      <c r="E37" s="1">
        <v>0</v>
      </c>
      <c r="F37" s="1">
        <v>0</v>
      </c>
      <c r="G37" s="9">
        <f>SUM(NM_FINANCIAL)</f>
        <v>2953.4748656609372</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322.06909646068561</v>
      </c>
      <c r="E40" s="1">
        <v>0</v>
      </c>
      <c r="F40" s="1">
        <v>0</v>
      </c>
      <c r="G40" s="9">
        <f>SUM(ND_FINANCIAL)</f>
        <v>322.06909646068561</v>
      </c>
      <c r="L40" s="6"/>
      <c r="V40" s="9"/>
    </row>
    <row r="41" spans="1:22">
      <c r="A41" s="1" t="s">
        <v>62</v>
      </c>
      <c r="B41" s="6">
        <v>0</v>
      </c>
      <c r="C41" s="1">
        <v>0</v>
      </c>
      <c r="D41" s="1">
        <v>1152.923480214944</v>
      </c>
      <c r="E41" s="1">
        <v>0</v>
      </c>
      <c r="F41" s="1">
        <v>0</v>
      </c>
      <c r="G41" s="9">
        <f>SUM(OH_FINANCIAL)</f>
        <v>1152.923480214944</v>
      </c>
      <c r="L41" s="6"/>
      <c r="V41" s="9"/>
    </row>
    <row r="42" spans="1:22">
      <c r="A42" s="1" t="s">
        <v>63</v>
      </c>
      <c r="B42" s="6">
        <v>0</v>
      </c>
      <c r="C42" s="1">
        <v>0</v>
      </c>
      <c r="D42" s="1">
        <v>995.64938710281422</v>
      </c>
      <c r="E42" s="1">
        <v>0</v>
      </c>
      <c r="F42" s="1">
        <v>0</v>
      </c>
      <c r="G42" s="9">
        <f>SUM(OK_FINANCIAL)</f>
        <v>995.64938710281422</v>
      </c>
      <c r="L42" s="6">
        <v>0</v>
      </c>
      <c r="M42" s="1">
        <v>0</v>
      </c>
      <c r="O42" s="1">
        <v>0</v>
      </c>
      <c r="P42" s="1">
        <v>0</v>
      </c>
      <c r="R42" s="1">
        <v>0</v>
      </c>
      <c r="S42" s="1">
        <v>0</v>
      </c>
      <c r="U42" s="1">
        <v>0</v>
      </c>
      <c r="V42" s="9">
        <v>0</v>
      </c>
    </row>
    <row r="43" spans="1:22">
      <c r="A43" s="1" t="s">
        <v>64</v>
      </c>
      <c r="B43" s="6">
        <v>0</v>
      </c>
      <c r="C43" s="1">
        <v>0</v>
      </c>
      <c r="D43" s="1">
        <v>1397.3195333602052</v>
      </c>
      <c r="E43" s="1">
        <v>0</v>
      </c>
      <c r="F43" s="1">
        <v>0</v>
      </c>
      <c r="G43" s="9">
        <f>SUM(OR_FINANCIAL)</f>
        <v>1397.3195333602052</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841.84593554898856</v>
      </c>
      <c r="E47" s="1">
        <v>0</v>
      </c>
      <c r="F47" s="1">
        <v>0</v>
      </c>
      <c r="G47" s="9">
        <f>SUM(SC_FINANCIAL)</f>
        <v>841.84593554898856</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1216.8904101110602</v>
      </c>
      <c r="E49" s="1">
        <v>0</v>
      </c>
      <c r="F49" s="1">
        <v>0</v>
      </c>
      <c r="G49" s="9">
        <f>SUM(TN_FINANCIAL)</f>
        <v>1216.8904101110602</v>
      </c>
      <c r="L49" s="6"/>
      <c r="V49" s="9"/>
    </row>
    <row r="50" spans="1:22">
      <c r="A50" s="1" t="s">
        <v>71</v>
      </c>
      <c r="B50" s="6">
        <v>0</v>
      </c>
      <c r="C50" s="1">
        <v>0</v>
      </c>
      <c r="D50" s="1">
        <v>6143.9502110702451</v>
      </c>
      <c r="E50" s="1">
        <v>0</v>
      </c>
      <c r="F50" s="1">
        <v>0</v>
      </c>
      <c r="G50" s="9">
        <f>SUM(TX_FINANCIAL)</f>
        <v>6143.9502110702451</v>
      </c>
      <c r="L50" s="6">
        <v>0</v>
      </c>
      <c r="M50" s="1">
        <v>500000</v>
      </c>
      <c r="O50" s="1">
        <v>0</v>
      </c>
      <c r="P50" s="1">
        <v>0</v>
      </c>
      <c r="R50" s="1">
        <v>67009</v>
      </c>
      <c r="S50" s="1">
        <v>116294</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v>0</v>
      </c>
      <c r="M53" s="1">
        <v>0</v>
      </c>
      <c r="O53" s="1">
        <v>0</v>
      </c>
      <c r="P53" s="1">
        <v>0</v>
      </c>
      <c r="R53" s="1">
        <v>0</v>
      </c>
      <c r="S53" s="1">
        <v>0</v>
      </c>
      <c r="U53" s="1">
        <v>0</v>
      </c>
      <c r="V53" s="9">
        <v>0</v>
      </c>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615.68927620365594</v>
      </c>
      <c r="E57" s="1">
        <v>0</v>
      </c>
      <c r="F57" s="1">
        <v>0</v>
      </c>
      <c r="G57" s="9">
        <f>SUM(WY_FINANCIAL)</f>
        <v>615.68927620365594</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226006.55000000005</v>
      </c>
      <c r="E60" s="1">
        <f>SUM(UNALLOCATED)</f>
        <v>0</v>
      </c>
      <c r="F60" s="1">
        <f>SUM(LTC)</f>
        <v>0</v>
      </c>
      <c r="G60" s="9">
        <f>SUM(ALL_BLOCKS)</f>
        <v>226006.55000000005</v>
      </c>
      <c r="L60" s="6">
        <f>SUM(LIFE_CALLED)</f>
        <v>8231</v>
      </c>
      <c r="M60" s="1">
        <f>SUM(LIFE_REFUNDED)</f>
        <v>500000</v>
      </c>
      <c r="O60" s="1">
        <f>SUM(ALLOC_CALLED)</f>
        <v>0</v>
      </c>
      <c r="P60" s="1">
        <f>SUM(ALLOC_REFUNDED)</f>
        <v>1700000</v>
      </c>
      <c r="R60" s="1">
        <f>SUM(HEALTH_CALLED)</f>
        <v>192196</v>
      </c>
      <c r="S60" s="1">
        <f>SUM(HEALTH_REFUNDED)</f>
        <v>116294</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120</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15122.43019416777</v>
      </c>
      <c r="C6" s="1">
        <v>131225.53247564612</v>
      </c>
      <c r="D6" s="1">
        <v>0</v>
      </c>
      <c r="E6" s="1">
        <v>0</v>
      </c>
      <c r="F6" s="1">
        <v>0</v>
      </c>
      <c r="G6" s="9">
        <f>SUM(AL_FINANCIAL)</f>
        <v>146347.96266981389</v>
      </c>
      <c r="L6" s="6"/>
      <c r="V6" s="9"/>
    </row>
    <row r="7" spans="1:22">
      <c r="A7" s="1" t="s">
        <v>12</v>
      </c>
      <c r="B7" s="6">
        <v>0</v>
      </c>
      <c r="C7" s="1">
        <v>0</v>
      </c>
      <c r="D7" s="1">
        <v>0</v>
      </c>
      <c r="E7" s="1">
        <v>0</v>
      </c>
      <c r="F7" s="1">
        <v>0</v>
      </c>
      <c r="G7" s="9">
        <f>SUM(AK_FINANCIAL)</f>
        <v>0</v>
      </c>
      <c r="I7" s="12"/>
      <c r="J7" s="15"/>
      <c r="L7" s="6"/>
      <c r="V7" s="9"/>
    </row>
    <row r="8" spans="1:22">
      <c r="A8" s="1" t="s">
        <v>13</v>
      </c>
      <c r="B8" s="6">
        <v>9632.9764689473668</v>
      </c>
      <c r="C8" s="1">
        <v>91330.334476094926</v>
      </c>
      <c r="D8" s="1">
        <v>0</v>
      </c>
      <c r="E8" s="1">
        <v>0</v>
      </c>
      <c r="F8" s="1">
        <v>0</v>
      </c>
      <c r="G8" s="9">
        <f>SUM(AZ_FINANCIAL)</f>
        <v>100963.31094504229</v>
      </c>
      <c r="I8" s="13" t="s">
        <v>14</v>
      </c>
      <c r="J8" s="16"/>
      <c r="L8" s="6"/>
      <c r="V8" s="9"/>
    </row>
    <row r="9" spans="1:22">
      <c r="A9" s="1" t="s">
        <v>15</v>
      </c>
      <c r="B9" s="6">
        <v>2748.6536316094425</v>
      </c>
      <c r="C9" s="1">
        <v>23560.152739755693</v>
      </c>
      <c r="D9" s="1">
        <v>0</v>
      </c>
      <c r="E9" s="1">
        <v>0</v>
      </c>
      <c r="F9" s="1">
        <v>0</v>
      </c>
      <c r="G9" s="9">
        <f>SUM(AR_FINANCIAL)</f>
        <v>26308.806371365135</v>
      </c>
      <c r="I9" s="13"/>
      <c r="J9" s="16"/>
      <c r="L9" s="6">
        <v>1037480</v>
      </c>
      <c r="M9" s="1">
        <v>0</v>
      </c>
      <c r="O9" s="1">
        <v>0</v>
      </c>
      <c r="P9" s="1">
        <v>0</v>
      </c>
      <c r="R9" s="1">
        <v>0</v>
      </c>
      <c r="S9" s="1">
        <v>0</v>
      </c>
      <c r="U9" s="1">
        <v>0</v>
      </c>
      <c r="V9" s="9">
        <v>0</v>
      </c>
    </row>
    <row r="10" spans="1:22">
      <c r="A10" s="1" t="s">
        <v>16</v>
      </c>
      <c r="B10" s="6">
        <v>33148.033605579112</v>
      </c>
      <c r="C10" s="1">
        <v>415302.83850922436</v>
      </c>
      <c r="D10" s="1">
        <v>0</v>
      </c>
      <c r="E10" s="1">
        <v>0</v>
      </c>
      <c r="F10" s="1">
        <v>0</v>
      </c>
      <c r="G10" s="9">
        <f>SUM(CA_FINANCIAL)</f>
        <v>448450.87211480347</v>
      </c>
      <c r="I10" s="13" t="s">
        <v>17</v>
      </c>
      <c r="J10" s="16">
        <v>83300829</v>
      </c>
      <c r="L10" s="6">
        <v>712800</v>
      </c>
      <c r="M10" s="1">
        <v>0</v>
      </c>
      <c r="O10" s="1">
        <v>5287200</v>
      </c>
      <c r="P10" s="1">
        <v>0</v>
      </c>
      <c r="R10" s="1">
        <v>0</v>
      </c>
      <c r="S10" s="1">
        <v>0</v>
      </c>
      <c r="U10" s="1">
        <v>0</v>
      </c>
      <c r="V10" s="9">
        <v>0</v>
      </c>
    </row>
    <row r="11" spans="1:22">
      <c r="A11" s="1" t="s">
        <v>18</v>
      </c>
      <c r="B11" s="6">
        <v>4296.2528817224811</v>
      </c>
      <c r="C11" s="1">
        <v>52492.303077477263</v>
      </c>
      <c r="D11" s="1">
        <v>0</v>
      </c>
      <c r="E11" s="1">
        <v>0</v>
      </c>
      <c r="F11" s="1">
        <v>0</v>
      </c>
      <c r="G11" s="9">
        <f>SUM(CO_FINANCIAL)</f>
        <v>56788.555959199744</v>
      </c>
      <c r="I11" s="13"/>
      <c r="J11" s="16"/>
      <c r="L11" s="6">
        <v>623455</v>
      </c>
      <c r="M11" s="1">
        <v>0</v>
      </c>
      <c r="O11" s="1">
        <v>935184</v>
      </c>
      <c r="P11" s="1">
        <v>0</v>
      </c>
      <c r="R11" s="1">
        <v>0</v>
      </c>
      <c r="S11" s="1">
        <v>400000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1794.7190031290229</v>
      </c>
      <c r="C13" s="1">
        <v>4250.4237063836626</v>
      </c>
      <c r="D13" s="1">
        <v>0</v>
      </c>
      <c r="E13" s="1">
        <v>0</v>
      </c>
      <c r="F13" s="1">
        <v>0</v>
      </c>
      <c r="G13" s="9">
        <f>SUM(DE_FINANCIAL)</f>
        <v>6045.1427095126855</v>
      </c>
      <c r="I13" s="13" t="s">
        <v>22</v>
      </c>
      <c r="J13" s="16">
        <v>140795</v>
      </c>
      <c r="L13" s="6">
        <v>45000</v>
      </c>
      <c r="M13" s="1">
        <v>0</v>
      </c>
      <c r="O13" s="1">
        <v>55000</v>
      </c>
      <c r="P13" s="1">
        <v>0</v>
      </c>
      <c r="R13" s="1">
        <v>0</v>
      </c>
      <c r="S13" s="1">
        <v>0</v>
      </c>
      <c r="U13" s="1">
        <v>0</v>
      </c>
      <c r="V13" s="9">
        <v>0</v>
      </c>
    </row>
    <row r="14" spans="1:22">
      <c r="A14" s="1" t="s">
        <v>23</v>
      </c>
      <c r="B14" s="6">
        <v>5462.1630946412261</v>
      </c>
      <c r="C14" s="1">
        <v>45705.773293073755</v>
      </c>
      <c r="D14" s="1">
        <v>0</v>
      </c>
      <c r="E14" s="1">
        <v>0</v>
      </c>
      <c r="F14" s="1">
        <v>0</v>
      </c>
      <c r="G14" s="9">
        <f>SUM(DC_FINANCIAL)</f>
        <v>51167.936387714981</v>
      </c>
      <c r="I14" s="13" t="s">
        <v>24</v>
      </c>
      <c r="J14" s="16">
        <v>4391618</v>
      </c>
      <c r="L14" s="6">
        <v>121500</v>
      </c>
      <c r="M14" s="1">
        <v>74219</v>
      </c>
      <c r="O14" s="1">
        <v>536500</v>
      </c>
      <c r="P14" s="1">
        <v>397781</v>
      </c>
      <c r="R14" s="1">
        <v>0</v>
      </c>
      <c r="S14" s="1">
        <v>0</v>
      </c>
      <c r="U14" s="1">
        <v>0</v>
      </c>
      <c r="V14" s="9">
        <v>0</v>
      </c>
    </row>
    <row r="15" spans="1:22">
      <c r="A15" s="1" t="s">
        <v>25</v>
      </c>
      <c r="B15" s="6">
        <v>35961.720566290198</v>
      </c>
      <c r="C15" s="1">
        <v>375262.1525270408</v>
      </c>
      <c r="D15" s="1">
        <v>0</v>
      </c>
      <c r="E15" s="1">
        <v>0</v>
      </c>
      <c r="F15" s="1">
        <v>0</v>
      </c>
      <c r="G15" s="9">
        <f>SUM(FL_FINANCIAL)</f>
        <v>411223.873093331</v>
      </c>
      <c r="I15" s="13" t="s">
        <v>26</v>
      </c>
      <c r="J15" s="16">
        <v>2313512.730296365</v>
      </c>
      <c r="L15" s="6"/>
      <c r="V15" s="9"/>
    </row>
    <row r="16" spans="1:22">
      <c r="A16" s="1" t="s">
        <v>27</v>
      </c>
      <c r="B16" s="6">
        <v>36487.861232223455</v>
      </c>
      <c r="C16" s="1">
        <v>294228.3362161098</v>
      </c>
      <c r="D16" s="1">
        <v>0</v>
      </c>
      <c r="E16" s="1">
        <v>0</v>
      </c>
      <c r="F16" s="1">
        <v>0</v>
      </c>
      <c r="G16" s="9">
        <f>SUM(GA_FINANCIAL)</f>
        <v>330716.19744833326</v>
      </c>
      <c r="I16" s="13" t="s">
        <v>28</v>
      </c>
      <c r="J16" s="16">
        <v>0</v>
      </c>
      <c r="L16" s="6"/>
      <c r="V16" s="9"/>
    </row>
    <row r="17" spans="1:22">
      <c r="A17" s="1" t="s">
        <v>29</v>
      </c>
      <c r="B17" s="6">
        <v>5389.0295755017578</v>
      </c>
      <c r="C17" s="1">
        <v>53924.998065498308</v>
      </c>
      <c r="D17" s="1">
        <v>0</v>
      </c>
      <c r="E17" s="1">
        <v>0</v>
      </c>
      <c r="F17" s="1">
        <v>0</v>
      </c>
      <c r="G17" s="9">
        <f>SUM(HI_FINANCIAL)</f>
        <v>59314.027641000066</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17820.804736599675</v>
      </c>
      <c r="C19" s="1">
        <v>166071.67920621857</v>
      </c>
      <c r="D19" s="1">
        <v>0</v>
      </c>
      <c r="E19" s="1">
        <v>0</v>
      </c>
      <c r="F19" s="1">
        <v>0</v>
      </c>
      <c r="G19" s="9">
        <f>SUM(IL_FINANCIAL)</f>
        <v>183892.48394281825</v>
      </c>
      <c r="I19" s="13" t="s">
        <v>33</v>
      </c>
      <c r="J19" s="16">
        <v>0</v>
      </c>
      <c r="L19" s="6">
        <v>500000</v>
      </c>
      <c r="M19" s="1">
        <v>150000</v>
      </c>
      <c r="O19" s="1">
        <v>2300000</v>
      </c>
      <c r="P19" s="1">
        <v>1300000</v>
      </c>
      <c r="R19" s="1">
        <v>0</v>
      </c>
      <c r="S19" s="1">
        <v>0</v>
      </c>
      <c r="U19" s="1">
        <v>0</v>
      </c>
      <c r="V19" s="9">
        <v>0</v>
      </c>
    </row>
    <row r="20" spans="1:22">
      <c r="A20" s="1" t="s">
        <v>34</v>
      </c>
      <c r="B20" s="6">
        <v>0</v>
      </c>
      <c r="C20" s="1">
        <v>0</v>
      </c>
      <c r="D20" s="1">
        <v>0</v>
      </c>
      <c r="E20" s="1">
        <v>0</v>
      </c>
      <c r="F20" s="1">
        <v>0</v>
      </c>
      <c r="G20" s="9">
        <f>SUM(IN_FINANCIAL)</f>
        <v>0</v>
      </c>
      <c r="I20" s="13" t="s">
        <v>35</v>
      </c>
      <c r="J20" s="16">
        <v>-5957549.9999999991</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6472.7435066686012</v>
      </c>
      <c r="C22" s="1">
        <v>72666.709955920931</v>
      </c>
      <c r="D22" s="1">
        <v>0</v>
      </c>
      <c r="E22" s="1">
        <v>0</v>
      </c>
      <c r="F22" s="1">
        <v>0</v>
      </c>
      <c r="G22" s="9">
        <f>SUM(KS_FINANCIAL)</f>
        <v>79139.453462589532</v>
      </c>
      <c r="I22" s="13" t="s">
        <v>39</v>
      </c>
      <c r="J22" s="16">
        <v>20181741</v>
      </c>
      <c r="L22" s="6"/>
      <c r="V22" s="9"/>
    </row>
    <row r="23" spans="1:22">
      <c r="A23" s="1" t="s">
        <v>40</v>
      </c>
      <c r="B23" s="6">
        <v>5861.6913727293722</v>
      </c>
      <c r="C23" s="1">
        <v>32895.31327969546</v>
      </c>
      <c r="D23" s="1">
        <v>0</v>
      </c>
      <c r="E23" s="1">
        <v>0</v>
      </c>
      <c r="F23" s="1">
        <v>0</v>
      </c>
      <c r="G23" s="9">
        <f>SUM(KY_FINANCIAL)</f>
        <v>38757.004652424832</v>
      </c>
      <c r="I23" s="13" t="s">
        <v>41</v>
      </c>
      <c r="J23" s="16"/>
      <c r="L23" s="6">
        <v>525000</v>
      </c>
      <c r="M23" s="1">
        <v>0</v>
      </c>
      <c r="O23" s="1">
        <v>15000</v>
      </c>
      <c r="P23" s="1">
        <v>0</v>
      </c>
      <c r="R23" s="1">
        <v>0</v>
      </c>
      <c r="S23" s="1">
        <v>0</v>
      </c>
      <c r="U23" s="1">
        <v>0</v>
      </c>
      <c r="V23" s="9">
        <v>0</v>
      </c>
    </row>
    <row r="24" spans="1:22">
      <c r="A24" s="1" t="s">
        <v>42</v>
      </c>
      <c r="B24" s="6">
        <v>12699.319541319972</v>
      </c>
      <c r="C24" s="1">
        <v>81248.703534869244</v>
      </c>
      <c r="D24" s="1">
        <v>0</v>
      </c>
      <c r="E24" s="1">
        <v>0</v>
      </c>
      <c r="F24" s="1">
        <v>0</v>
      </c>
      <c r="G24" s="9">
        <f>SUM(LA_FINANCIAL)</f>
        <v>93948.023076189216</v>
      </c>
      <c r="I24" s="13" t="s">
        <v>43</v>
      </c>
      <c r="J24" s="16">
        <v>71252590.209999993</v>
      </c>
      <c r="L24" s="6">
        <v>743240</v>
      </c>
      <c r="M24" s="1">
        <v>0</v>
      </c>
      <c r="O24" s="1">
        <v>2760</v>
      </c>
      <c r="P24" s="1">
        <v>0</v>
      </c>
      <c r="R24" s="1">
        <v>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22766.076258009591</v>
      </c>
      <c r="C26" s="1">
        <v>138037.92715629446</v>
      </c>
      <c r="D26" s="1">
        <v>0</v>
      </c>
      <c r="E26" s="1">
        <v>0</v>
      </c>
      <c r="F26" s="1">
        <v>0</v>
      </c>
      <c r="G26" s="9">
        <f>SUM(MD_FINANCIAL)</f>
        <v>160804.00341430405</v>
      </c>
      <c r="I26" s="13" t="s">
        <v>46</v>
      </c>
      <c r="J26" s="16">
        <f>SUM(ADD_FINANCIAL)-SUM(LESS_FINANCIAL)</f>
        <v>4669973.520296365</v>
      </c>
      <c r="L26" s="6">
        <v>1666605</v>
      </c>
      <c r="M26" s="1">
        <v>0</v>
      </c>
      <c r="O26" s="1">
        <v>365840</v>
      </c>
      <c r="P26" s="1">
        <v>0</v>
      </c>
      <c r="R26" s="1">
        <v>0</v>
      </c>
      <c r="S26" s="1">
        <v>0</v>
      </c>
      <c r="U26" s="1">
        <v>0</v>
      </c>
      <c r="V26" s="9">
        <v>0</v>
      </c>
    </row>
    <row r="27" spans="1:22">
      <c r="A27" s="1" t="s">
        <v>47</v>
      </c>
      <c r="B27" s="6">
        <v>0</v>
      </c>
      <c r="C27" s="1">
        <v>0</v>
      </c>
      <c r="D27" s="1">
        <v>0</v>
      </c>
      <c r="E27" s="1">
        <v>0</v>
      </c>
      <c r="F27" s="1">
        <v>0</v>
      </c>
      <c r="G27" s="9">
        <f>SUM(MA_FINANCIAL)</f>
        <v>0</v>
      </c>
      <c r="I27" s="13" t="s">
        <v>48</v>
      </c>
      <c r="J27" s="16">
        <f>SUM(ALL_BLOCKS)</f>
        <v>4669973.5202963641</v>
      </c>
      <c r="L27" s="6"/>
      <c r="V27" s="9"/>
    </row>
    <row r="28" spans="1:22">
      <c r="A28" s="1" t="s">
        <v>49</v>
      </c>
      <c r="B28" s="6">
        <v>14419.464044781518</v>
      </c>
      <c r="C28" s="1">
        <v>110489.2554233761</v>
      </c>
      <c r="D28" s="1">
        <v>0</v>
      </c>
      <c r="E28" s="1">
        <v>0</v>
      </c>
      <c r="F28" s="1">
        <v>0</v>
      </c>
      <c r="G28" s="9">
        <f>SUM(MI_FINANCIAL)</f>
        <v>124908.71946815762</v>
      </c>
      <c r="I28" s="14"/>
      <c r="J28" s="17"/>
      <c r="L28" s="6"/>
      <c r="V28" s="9"/>
    </row>
    <row r="29" spans="1:22">
      <c r="A29" s="1" t="s">
        <v>50</v>
      </c>
      <c r="B29" s="6">
        <v>0</v>
      </c>
      <c r="C29" s="1">
        <v>0</v>
      </c>
      <c r="D29" s="1">
        <v>0</v>
      </c>
      <c r="E29" s="1">
        <v>0</v>
      </c>
      <c r="F29" s="1">
        <v>0</v>
      </c>
      <c r="G29" s="9">
        <f>SUM(MN_FINANCIAL)</f>
        <v>0</v>
      </c>
      <c r="L29" s="6"/>
      <c r="V29" s="9"/>
    </row>
    <row r="30" spans="1:22">
      <c r="A30" s="1" t="s">
        <v>51</v>
      </c>
      <c r="B30" s="6">
        <v>66069.315828727093</v>
      </c>
      <c r="C30" s="1">
        <v>425425.0672523398</v>
      </c>
      <c r="D30" s="1">
        <v>0</v>
      </c>
      <c r="E30" s="1">
        <v>0</v>
      </c>
      <c r="F30" s="1">
        <v>0</v>
      </c>
      <c r="G30" s="9">
        <f>SUM(MS_FINANCIAL)</f>
        <v>491494.38308106689</v>
      </c>
      <c r="L30" s="6"/>
      <c r="V30" s="9"/>
    </row>
    <row r="31" spans="1:22">
      <c r="A31" s="1" t="s">
        <v>52</v>
      </c>
      <c r="B31" s="6">
        <v>16486.324541422538</v>
      </c>
      <c r="C31" s="1">
        <v>223667.26426619152</v>
      </c>
      <c r="D31" s="1">
        <v>0</v>
      </c>
      <c r="E31" s="1">
        <v>0</v>
      </c>
      <c r="F31" s="1">
        <v>0</v>
      </c>
      <c r="G31" s="9">
        <f>SUM(MO_FINANCIAL)</f>
        <v>240153.58880761405</v>
      </c>
      <c r="L31" s="6"/>
      <c r="V31" s="9"/>
    </row>
    <row r="32" spans="1:22">
      <c r="A32" s="1" t="s">
        <v>53</v>
      </c>
      <c r="B32" s="6">
        <v>0</v>
      </c>
      <c r="C32" s="1">
        <v>0</v>
      </c>
      <c r="D32" s="1">
        <v>0</v>
      </c>
      <c r="E32" s="1">
        <v>0</v>
      </c>
      <c r="F32" s="1">
        <v>0</v>
      </c>
      <c r="G32" s="9">
        <f>SUM(MT_FINANCIAL)</f>
        <v>0</v>
      </c>
      <c r="L32" s="6"/>
      <c r="V32" s="9"/>
    </row>
    <row r="33" spans="1:22">
      <c r="A33" s="1" t="s">
        <v>54</v>
      </c>
      <c r="B33" s="6">
        <v>2529.5323684520408</v>
      </c>
      <c r="C33" s="1">
        <v>15808.875060608581</v>
      </c>
      <c r="D33" s="1">
        <v>0</v>
      </c>
      <c r="E33" s="1">
        <v>0</v>
      </c>
      <c r="F33" s="1">
        <v>0</v>
      </c>
      <c r="G33" s="9">
        <f>SUM(NE_FINANCIAL)</f>
        <v>18338.407429060622</v>
      </c>
      <c r="L33" s="6"/>
      <c r="V33" s="9"/>
    </row>
    <row r="34" spans="1:22">
      <c r="A34" s="1" t="s">
        <v>55</v>
      </c>
      <c r="B34" s="6">
        <v>1386.6700254525422</v>
      </c>
      <c r="C34" s="1">
        <v>18544.349128430302</v>
      </c>
      <c r="D34" s="1">
        <v>0</v>
      </c>
      <c r="E34" s="1">
        <v>0</v>
      </c>
      <c r="F34" s="1">
        <v>0</v>
      </c>
      <c r="G34" s="9">
        <f>SUM(NV_FINANCIAL)</f>
        <v>19931.019153882844</v>
      </c>
      <c r="L34" s="6">
        <v>235000</v>
      </c>
      <c r="M34" s="1">
        <v>0</v>
      </c>
      <c r="O34" s="1">
        <v>111000</v>
      </c>
      <c r="P34" s="1">
        <v>0</v>
      </c>
      <c r="R34" s="1">
        <v>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2847.7866860277572</v>
      </c>
      <c r="C37" s="1">
        <v>18899.982779724</v>
      </c>
      <c r="D37" s="1">
        <v>0</v>
      </c>
      <c r="E37" s="1">
        <v>0</v>
      </c>
      <c r="F37" s="1">
        <v>0</v>
      </c>
      <c r="G37" s="9">
        <f>SUM(NM_FINANCIAL)</f>
        <v>21747.769465751757</v>
      </c>
      <c r="L37" s="6">
        <v>64817</v>
      </c>
      <c r="M37" s="1">
        <v>0</v>
      </c>
      <c r="O37" s="1">
        <v>239890</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28893.525853674859</v>
      </c>
      <c r="C39" s="1">
        <v>304491.29542949982</v>
      </c>
      <c r="D39" s="1">
        <v>0</v>
      </c>
      <c r="E39" s="1">
        <v>0</v>
      </c>
      <c r="F39" s="1">
        <v>0</v>
      </c>
      <c r="G39" s="9">
        <f>SUM(NC_FINANCIAL)</f>
        <v>333384.82128317468</v>
      </c>
      <c r="L39" s="6">
        <v>1029000</v>
      </c>
      <c r="M39" s="1">
        <v>855000</v>
      </c>
      <c r="O39" s="1">
        <v>3871000</v>
      </c>
      <c r="P39" s="1">
        <v>3215000</v>
      </c>
      <c r="R39" s="1">
        <v>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9539.1038642450003</v>
      </c>
      <c r="C41" s="1">
        <v>37964.964353029965</v>
      </c>
      <c r="D41" s="1">
        <v>0</v>
      </c>
      <c r="E41" s="1">
        <v>0</v>
      </c>
      <c r="F41" s="1">
        <v>0</v>
      </c>
      <c r="G41" s="9">
        <f>SUM(OH_FINANCIAL)</f>
        <v>47504.068217274966</v>
      </c>
      <c r="L41" s="6"/>
      <c r="V41" s="9"/>
    </row>
    <row r="42" spans="1:22">
      <c r="A42" s="1" t="s">
        <v>63</v>
      </c>
      <c r="B42" s="6">
        <v>6464.0653201862297</v>
      </c>
      <c r="C42" s="1">
        <v>50485.257106897887</v>
      </c>
      <c r="D42" s="1">
        <v>0</v>
      </c>
      <c r="E42" s="1">
        <v>0</v>
      </c>
      <c r="F42" s="1">
        <v>0</v>
      </c>
      <c r="G42" s="9">
        <f>SUM(OK_FINANCIAL)</f>
        <v>56949.322427084116</v>
      </c>
      <c r="L42" s="6">
        <v>1980000</v>
      </c>
      <c r="M42" s="1">
        <v>1445000</v>
      </c>
      <c r="O42" s="1">
        <v>20000</v>
      </c>
      <c r="P42" s="1">
        <v>107500</v>
      </c>
      <c r="R42" s="1">
        <v>0</v>
      </c>
      <c r="S42" s="1">
        <v>0</v>
      </c>
      <c r="U42" s="1">
        <v>0</v>
      </c>
      <c r="V42" s="9">
        <v>0</v>
      </c>
    </row>
    <row r="43" spans="1:22">
      <c r="A43" s="1" t="s">
        <v>64</v>
      </c>
      <c r="B43" s="6">
        <v>2884.7261059137454</v>
      </c>
      <c r="C43" s="1">
        <v>21431.482126224262</v>
      </c>
      <c r="D43" s="1">
        <v>0</v>
      </c>
      <c r="E43" s="1">
        <v>0</v>
      </c>
      <c r="F43" s="1">
        <v>0</v>
      </c>
      <c r="G43" s="9">
        <f>SUM(OR_FINANCIAL)</f>
        <v>24316.208232138008</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13901.298634756007</v>
      </c>
      <c r="C47" s="1">
        <v>110517.90995484241</v>
      </c>
      <c r="D47" s="1">
        <v>0</v>
      </c>
      <c r="E47" s="1">
        <v>0</v>
      </c>
      <c r="F47" s="1">
        <v>0</v>
      </c>
      <c r="G47" s="9">
        <f>SUM(SC_FINANCIAL)</f>
        <v>124419.20858959842</v>
      </c>
      <c r="L47" s="6">
        <v>275000</v>
      </c>
      <c r="M47" s="1">
        <v>0</v>
      </c>
      <c r="O47" s="1">
        <v>1925000</v>
      </c>
      <c r="P47" s="1">
        <v>0</v>
      </c>
      <c r="R47" s="1">
        <v>0</v>
      </c>
      <c r="S47" s="1">
        <v>0</v>
      </c>
      <c r="U47" s="1">
        <v>0</v>
      </c>
      <c r="V47" s="9">
        <v>0</v>
      </c>
    </row>
    <row r="48" spans="1:22">
      <c r="A48" s="1" t="s">
        <v>69</v>
      </c>
      <c r="B48" s="6">
        <v>0</v>
      </c>
      <c r="C48" s="1">
        <v>0</v>
      </c>
      <c r="D48" s="1">
        <v>0</v>
      </c>
      <c r="E48" s="1">
        <v>0</v>
      </c>
      <c r="F48" s="1">
        <v>0</v>
      </c>
      <c r="G48" s="9">
        <f>SUM(SD_FINANCIAL)</f>
        <v>0</v>
      </c>
      <c r="L48" s="6"/>
      <c r="V48" s="9"/>
    </row>
    <row r="49" spans="1:22">
      <c r="A49" s="1" t="s">
        <v>70</v>
      </c>
      <c r="B49" s="6">
        <v>9644.2242899825214</v>
      </c>
      <c r="C49" s="1">
        <v>108943.15534053161</v>
      </c>
      <c r="D49" s="1">
        <v>0</v>
      </c>
      <c r="E49" s="1">
        <v>0</v>
      </c>
      <c r="F49" s="1">
        <v>0</v>
      </c>
      <c r="G49" s="9">
        <f>SUM(TN_FINANCIAL)</f>
        <v>118587.37963051413</v>
      </c>
      <c r="L49" s="6"/>
      <c r="V49" s="9"/>
    </row>
    <row r="50" spans="1:22">
      <c r="A50" s="1" t="s">
        <v>71</v>
      </c>
      <c r="B50" s="6">
        <v>46067.648182783276</v>
      </c>
      <c r="C50" s="1">
        <v>512934.24669865333</v>
      </c>
      <c r="D50" s="1">
        <v>0</v>
      </c>
      <c r="E50" s="1">
        <v>0</v>
      </c>
      <c r="F50" s="1">
        <v>0</v>
      </c>
      <c r="G50" s="9">
        <f>SUM(TX_FINANCIAL)</f>
        <v>559001.8948814366</v>
      </c>
      <c r="L50" s="6">
        <v>7101306</v>
      </c>
      <c r="M50" s="1">
        <v>4000000</v>
      </c>
      <c r="O50" s="1">
        <v>0</v>
      </c>
      <c r="P50" s="1">
        <v>0</v>
      </c>
      <c r="R50" s="1">
        <v>0</v>
      </c>
      <c r="S50" s="1">
        <v>0</v>
      </c>
      <c r="U50" s="1">
        <v>0</v>
      </c>
      <c r="V50" s="9">
        <v>0</v>
      </c>
    </row>
    <row r="51" spans="1:22">
      <c r="A51" s="1" t="s">
        <v>72</v>
      </c>
      <c r="B51" s="6">
        <v>1846.5229149733314</v>
      </c>
      <c r="C51" s="1">
        <v>9544.3816007187124</v>
      </c>
      <c r="D51" s="1">
        <v>0</v>
      </c>
      <c r="E51" s="1">
        <v>0</v>
      </c>
      <c r="F51" s="1">
        <v>0</v>
      </c>
      <c r="G51" s="9">
        <f>SUM(UT_FINANCIAL)</f>
        <v>11390.904515692044</v>
      </c>
      <c r="L51" s="6">
        <v>78950</v>
      </c>
      <c r="M51" s="1">
        <v>0</v>
      </c>
      <c r="O51" s="1">
        <v>136050</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28083.547269983741</v>
      </c>
      <c r="C53" s="1">
        <v>212277.61859031348</v>
      </c>
      <c r="D53" s="1">
        <v>0</v>
      </c>
      <c r="E53" s="1">
        <v>0</v>
      </c>
      <c r="F53" s="1">
        <v>0</v>
      </c>
      <c r="G53" s="9">
        <f>SUM(VA_FINANCIAL)</f>
        <v>240361.16586029722</v>
      </c>
      <c r="L53" s="6">
        <v>595000</v>
      </c>
      <c r="M53" s="1">
        <v>0</v>
      </c>
      <c r="O53" s="1">
        <v>3125000</v>
      </c>
      <c r="P53" s="1">
        <v>0</v>
      </c>
      <c r="R53" s="1">
        <v>0</v>
      </c>
      <c r="S53" s="1">
        <v>0</v>
      </c>
      <c r="U53" s="1">
        <v>0</v>
      </c>
      <c r="V53" s="9">
        <v>0</v>
      </c>
    </row>
    <row r="54" spans="1:22">
      <c r="A54" s="1" t="s">
        <v>75</v>
      </c>
      <c r="B54" s="6">
        <v>4397.6050432067132</v>
      </c>
      <c r="C54" s="1">
        <v>39219.400321971625</v>
      </c>
      <c r="D54" s="1">
        <v>0</v>
      </c>
      <c r="E54" s="1">
        <v>0</v>
      </c>
      <c r="F54" s="1">
        <v>0</v>
      </c>
      <c r="G54" s="9">
        <f>SUM(WA_FINANCIAL)</f>
        <v>43617.005365178338</v>
      </c>
      <c r="L54" s="6">
        <v>936000</v>
      </c>
      <c r="M54" s="1">
        <v>0</v>
      </c>
      <c r="O54" s="1">
        <v>0</v>
      </c>
      <c r="P54" s="1">
        <v>0</v>
      </c>
      <c r="R54" s="1">
        <v>0</v>
      </c>
      <c r="S54" s="1">
        <v>0</v>
      </c>
      <c r="U54" s="1">
        <v>0</v>
      </c>
      <c r="V54" s="9">
        <v>0</v>
      </c>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471125.83664370805</v>
      </c>
      <c r="C60" s="1">
        <f>SUM(ALLOCATED)</f>
        <v>4198847.6836526562</v>
      </c>
      <c r="D60" s="1">
        <f>SUM(HEALTH)</f>
        <v>0</v>
      </c>
      <c r="E60" s="1">
        <f>SUM(UNALLOCATED)</f>
        <v>0</v>
      </c>
      <c r="F60" s="1">
        <f>SUM(LTC)</f>
        <v>0</v>
      </c>
      <c r="G60" s="9">
        <f>SUM(ALL_BLOCKS)</f>
        <v>4669973.5202963641</v>
      </c>
      <c r="L60" s="6">
        <f>SUM(LIFE_CALLED)</f>
        <v>18270153</v>
      </c>
      <c r="M60" s="1">
        <f>SUM(LIFE_REFUNDED)</f>
        <v>6524219</v>
      </c>
      <c r="O60" s="1">
        <f>SUM(ALLOC_CALLED)</f>
        <v>18925424</v>
      </c>
      <c r="P60" s="1">
        <f>SUM(ALLOC_REFUNDED)</f>
        <v>5020281</v>
      </c>
      <c r="R60" s="1">
        <f>SUM(HEALTH_CALLED)</f>
        <v>0</v>
      </c>
      <c r="S60" s="1">
        <f>SUM(HEALTH_REFUNDED)</f>
        <v>400000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121</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16054.52738494784</v>
      </c>
      <c r="C6" s="1">
        <v>1400.2921087776413</v>
      </c>
      <c r="D6" s="1">
        <v>0</v>
      </c>
      <c r="E6" s="1">
        <v>0</v>
      </c>
      <c r="F6" s="1">
        <v>0</v>
      </c>
      <c r="G6" s="9">
        <f>SUM(AL_FINANCIAL)</f>
        <v>17454.819493725481</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8943.4775164320454</v>
      </c>
      <c r="C9" s="1">
        <v>8575.5854903493619</v>
      </c>
      <c r="D9" s="1">
        <v>0</v>
      </c>
      <c r="E9" s="1">
        <v>0</v>
      </c>
      <c r="F9" s="1">
        <v>0</v>
      </c>
      <c r="G9" s="9">
        <f>SUM(AR_FINANCIAL)</f>
        <v>17519.063006781405</v>
      </c>
      <c r="I9" s="13"/>
      <c r="J9" s="16"/>
      <c r="L9" s="6">
        <v>56916</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48277445</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167439.99999999997</v>
      </c>
      <c r="L14" s="6"/>
      <c r="V14" s="9"/>
    </row>
    <row r="15" spans="1:22">
      <c r="A15" s="1" t="s">
        <v>25</v>
      </c>
      <c r="B15" s="6">
        <v>1218.1850722048548</v>
      </c>
      <c r="C15" s="1">
        <v>355.9119063120379</v>
      </c>
      <c r="D15" s="1">
        <v>0</v>
      </c>
      <c r="E15" s="1">
        <v>0</v>
      </c>
      <c r="F15" s="1">
        <v>0</v>
      </c>
      <c r="G15" s="9">
        <f>SUM(FL_FINANCIAL)</f>
        <v>1574.0969785168927</v>
      </c>
      <c r="I15" s="13" t="s">
        <v>26</v>
      </c>
      <c r="J15" s="16">
        <v>1900299.0519795683</v>
      </c>
      <c r="L15" s="6"/>
      <c r="V15" s="9"/>
    </row>
    <row r="16" spans="1:22">
      <c r="A16" s="1" t="s">
        <v>27</v>
      </c>
      <c r="B16" s="6">
        <v>-2518.543033139933</v>
      </c>
      <c r="C16" s="1">
        <v>-1021.7755401727627</v>
      </c>
      <c r="D16" s="1">
        <v>0</v>
      </c>
      <c r="E16" s="1">
        <v>0</v>
      </c>
      <c r="F16" s="1">
        <v>0</v>
      </c>
      <c r="G16" s="9">
        <f>SUM(GA_FINANCIAL)</f>
        <v>-3540.3185733126957</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-25314.362059756502</v>
      </c>
      <c r="C19" s="1">
        <v>-13633.58265355404</v>
      </c>
      <c r="D19" s="1">
        <v>0</v>
      </c>
      <c r="E19" s="1">
        <v>0</v>
      </c>
      <c r="F19" s="1">
        <v>0</v>
      </c>
      <c r="G19" s="9">
        <f>SUM(IL_FINANCIAL)</f>
        <v>-38947.944713310542</v>
      </c>
      <c r="I19" s="13" t="s">
        <v>33</v>
      </c>
      <c r="J19" s="16">
        <v>32999999</v>
      </c>
      <c r="L19" s="6">
        <v>325000</v>
      </c>
      <c r="M19" s="1">
        <v>0</v>
      </c>
      <c r="O19" s="1">
        <v>0</v>
      </c>
      <c r="P19" s="1">
        <v>0</v>
      </c>
      <c r="R19" s="1">
        <v>0</v>
      </c>
      <c r="S19" s="1">
        <v>0</v>
      </c>
      <c r="U19" s="1">
        <v>0</v>
      </c>
      <c r="V19" s="9">
        <v>0</v>
      </c>
    </row>
    <row r="20" spans="1:22">
      <c r="A20" s="1" t="s">
        <v>34</v>
      </c>
      <c r="B20" s="6">
        <v>0</v>
      </c>
      <c r="C20" s="1">
        <v>0</v>
      </c>
      <c r="D20" s="1">
        <v>0</v>
      </c>
      <c r="E20" s="1">
        <v>0</v>
      </c>
      <c r="F20" s="1">
        <v>0</v>
      </c>
      <c r="G20" s="9">
        <f>SUM(IN_FINANCIAL)</f>
        <v>0</v>
      </c>
      <c r="I20" s="13" t="s">
        <v>35</v>
      </c>
      <c r="J20" s="16">
        <v>-236724.9999999998</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4411447</v>
      </c>
      <c r="L22" s="6"/>
      <c r="V22" s="9"/>
    </row>
    <row r="23" spans="1:22">
      <c r="A23" s="1" t="s">
        <v>40</v>
      </c>
      <c r="B23" s="6">
        <v>21396.167637486535</v>
      </c>
      <c r="C23" s="1">
        <v>3976.5463135264145</v>
      </c>
      <c r="D23" s="1">
        <v>0</v>
      </c>
      <c r="E23" s="1">
        <v>0</v>
      </c>
      <c r="F23" s="1">
        <v>0</v>
      </c>
      <c r="G23" s="9">
        <f>SUM(KY_FINANCIAL)</f>
        <v>25372.713951012949</v>
      </c>
      <c r="I23" s="13" t="s">
        <v>41</v>
      </c>
      <c r="J23" s="16"/>
      <c r="L23" s="6">
        <v>440000</v>
      </c>
      <c r="M23" s="1">
        <v>486166</v>
      </c>
      <c r="O23" s="1">
        <v>80000</v>
      </c>
      <c r="P23" s="1">
        <v>15036</v>
      </c>
      <c r="R23" s="1">
        <v>0</v>
      </c>
      <c r="S23" s="1">
        <v>0</v>
      </c>
      <c r="U23" s="1">
        <v>0</v>
      </c>
      <c r="V23" s="9">
        <v>0</v>
      </c>
    </row>
    <row r="24" spans="1:22">
      <c r="A24" s="1" t="s">
        <v>42</v>
      </c>
      <c r="B24" s="6">
        <v>-9215.2004175097172</v>
      </c>
      <c r="C24" s="1">
        <v>-2724.3132370117346</v>
      </c>
      <c r="D24" s="1">
        <v>0</v>
      </c>
      <c r="E24" s="1">
        <v>0</v>
      </c>
      <c r="F24" s="1">
        <v>0</v>
      </c>
      <c r="G24" s="9">
        <f>SUM(LA_FINANCIAL)</f>
        <v>-11939.513654521452</v>
      </c>
      <c r="I24" s="13" t="s">
        <v>43</v>
      </c>
      <c r="J24" s="16">
        <v>12696835.254612444</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473627.79736712575</v>
      </c>
      <c r="L26" s="6"/>
      <c r="V26" s="9"/>
    </row>
    <row r="27" spans="1:22">
      <c r="A27" s="1" t="s">
        <v>47</v>
      </c>
      <c r="B27" s="6">
        <v>0</v>
      </c>
      <c r="C27" s="1">
        <v>0</v>
      </c>
      <c r="D27" s="1">
        <v>0</v>
      </c>
      <c r="E27" s="1">
        <v>0</v>
      </c>
      <c r="F27" s="1">
        <v>0</v>
      </c>
      <c r="G27" s="9">
        <f>SUM(MA_FINANCIAL)</f>
        <v>0</v>
      </c>
      <c r="I27" s="13" t="s">
        <v>48</v>
      </c>
      <c r="J27" s="16">
        <f>SUM(ALL_BLOCKS)</f>
        <v>473627.79736712505</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-41782.89208901659</v>
      </c>
      <c r="C30" s="1">
        <v>-43439.7913442766</v>
      </c>
      <c r="D30" s="1">
        <v>0</v>
      </c>
      <c r="E30" s="1">
        <v>0</v>
      </c>
      <c r="F30" s="1">
        <v>0</v>
      </c>
      <c r="G30" s="9">
        <f>SUM(MS_FINANCIAL)</f>
        <v>-85222.68343329319</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31549.671298702073</v>
      </c>
      <c r="C39" s="1">
        <v>11167.109710213175</v>
      </c>
      <c r="D39" s="1">
        <v>0</v>
      </c>
      <c r="E39" s="1">
        <v>0</v>
      </c>
      <c r="F39" s="1">
        <v>0</v>
      </c>
      <c r="G39" s="9">
        <f>SUM(NC_FINANCIAL)</f>
        <v>42716.781008915248</v>
      </c>
      <c r="L39" s="6">
        <v>0</v>
      </c>
      <c r="M39" s="1">
        <v>284000</v>
      </c>
      <c r="O39" s="1">
        <v>0</v>
      </c>
      <c r="P39" s="1">
        <v>116000</v>
      </c>
      <c r="R39" s="1">
        <v>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-25838.493657177187</v>
      </c>
      <c r="C42" s="1">
        <v>-12452.043056151328</v>
      </c>
      <c r="D42" s="1">
        <v>0</v>
      </c>
      <c r="E42" s="1">
        <v>0</v>
      </c>
      <c r="F42" s="1">
        <v>0</v>
      </c>
      <c r="G42" s="9">
        <f>SUM(OK_FINANCIAL)</f>
        <v>-38290.536713328518</v>
      </c>
      <c r="L42" s="6">
        <v>46000</v>
      </c>
      <c r="M42" s="1">
        <v>0</v>
      </c>
      <c r="O42" s="1">
        <v>4000</v>
      </c>
      <c r="P42" s="1">
        <v>0</v>
      </c>
      <c r="R42" s="1">
        <v>0</v>
      </c>
      <c r="S42" s="1">
        <v>0</v>
      </c>
      <c r="U42" s="1">
        <v>0</v>
      </c>
      <c r="V42" s="9">
        <v>0</v>
      </c>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7126.1503244443666</v>
      </c>
      <c r="C47" s="1">
        <v>3054.8285112364583</v>
      </c>
      <c r="D47" s="1">
        <v>0</v>
      </c>
      <c r="E47" s="1">
        <v>0</v>
      </c>
      <c r="F47" s="1">
        <v>0</v>
      </c>
      <c r="G47" s="9">
        <f>SUM(SC_FINANCIAL)</f>
        <v>10180.978835680824</v>
      </c>
      <c r="L47" s="6"/>
      <c r="V47" s="9"/>
    </row>
    <row r="48" spans="1:22">
      <c r="A48" s="1" t="s">
        <v>69</v>
      </c>
      <c r="B48" s="6">
        <v>0</v>
      </c>
      <c r="C48" s="1">
        <v>0</v>
      </c>
      <c r="D48" s="1">
        <v>0</v>
      </c>
      <c r="E48" s="1">
        <v>0</v>
      </c>
      <c r="F48" s="1">
        <v>0</v>
      </c>
      <c r="G48" s="9">
        <f>SUM(SD_FINANCIAL)</f>
        <v>0</v>
      </c>
      <c r="L48" s="6"/>
      <c r="V48" s="9"/>
    </row>
    <row r="49" spans="1:22">
      <c r="A49" s="1" t="s">
        <v>70</v>
      </c>
      <c r="B49" s="6">
        <v>360413.87678351533</v>
      </c>
      <c r="C49" s="1">
        <v>116304.25992451562</v>
      </c>
      <c r="D49" s="1">
        <v>0</v>
      </c>
      <c r="E49" s="1">
        <v>0</v>
      </c>
      <c r="F49" s="1">
        <v>0</v>
      </c>
      <c r="G49" s="9">
        <f>SUM(TN_FINANCIAL)</f>
        <v>476718.13670803094</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22959.112710532616</v>
      </c>
      <c r="C53" s="1">
        <v>6493.6005263252446</v>
      </c>
      <c r="D53" s="1">
        <v>0</v>
      </c>
      <c r="E53" s="1">
        <v>0</v>
      </c>
      <c r="F53" s="1">
        <v>0</v>
      </c>
      <c r="G53" s="9">
        <f>SUM(VA_FINANCIAL)</f>
        <v>29452.71323685786</v>
      </c>
      <c r="L53" s="6">
        <v>375000</v>
      </c>
      <c r="M53" s="1">
        <v>0</v>
      </c>
      <c r="O53" s="1">
        <v>5000</v>
      </c>
      <c r="P53" s="1">
        <v>0</v>
      </c>
      <c r="R53" s="1">
        <v>0</v>
      </c>
      <c r="S53" s="1">
        <v>0</v>
      </c>
      <c r="U53" s="1">
        <v>0</v>
      </c>
      <c r="V53" s="9">
        <v>0</v>
      </c>
    </row>
    <row r="54" spans="1:22">
      <c r="A54" s="1" t="s">
        <v>75</v>
      </c>
      <c r="B54" s="6">
        <v>0</v>
      </c>
      <c r="C54" s="1">
        <v>0</v>
      </c>
      <c r="D54" s="1">
        <v>0</v>
      </c>
      <c r="E54" s="1">
        <v>0</v>
      </c>
      <c r="F54" s="1">
        <v>0</v>
      </c>
      <c r="G54" s="9">
        <f>SUM(WA_FINANCIAL)</f>
        <v>0</v>
      </c>
      <c r="L54" s="6"/>
      <c r="V54" s="9"/>
    </row>
    <row r="55" spans="1:22">
      <c r="A55" s="1" t="s">
        <v>76</v>
      </c>
      <c r="B55" s="6">
        <v>17383.649331854656</v>
      </c>
      <c r="C55" s="1">
        <v>13195.841903515247</v>
      </c>
      <c r="D55" s="1">
        <v>0</v>
      </c>
      <c r="E55" s="1">
        <v>0</v>
      </c>
      <c r="F55" s="1">
        <v>0</v>
      </c>
      <c r="G55" s="9">
        <f>SUM(WV_FINANCIAL)</f>
        <v>30579.491235369904</v>
      </c>
      <c r="L55" s="6">
        <v>0</v>
      </c>
      <c r="M55" s="1">
        <v>0</v>
      </c>
      <c r="O55" s="1">
        <v>0</v>
      </c>
      <c r="P55" s="1">
        <v>0</v>
      </c>
      <c r="R55" s="1">
        <v>0</v>
      </c>
      <c r="S55" s="1">
        <v>0</v>
      </c>
      <c r="U55" s="1">
        <v>0</v>
      </c>
      <c r="V55" s="9">
        <v>0</v>
      </c>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382375.32680352038</v>
      </c>
      <c r="C60" s="1">
        <f>SUM(ALLOCATED)</f>
        <v>91252.470563604744</v>
      </c>
      <c r="D60" s="1">
        <f>SUM(HEALTH)</f>
        <v>0</v>
      </c>
      <c r="E60" s="1">
        <f>SUM(UNALLOCATED)</f>
        <v>0</v>
      </c>
      <c r="F60" s="1">
        <f>SUM(LTC)</f>
        <v>0</v>
      </c>
      <c r="G60" s="9">
        <f>SUM(ALL_BLOCKS)</f>
        <v>473627.79736712505</v>
      </c>
      <c r="L60" s="6">
        <f>SUM(LIFE_CALLED)</f>
        <v>1242916</v>
      </c>
      <c r="M60" s="1">
        <f>SUM(LIFE_REFUNDED)</f>
        <v>770166</v>
      </c>
      <c r="O60" s="1">
        <f>SUM(ALLOC_CALLED)</f>
        <v>89000</v>
      </c>
      <c r="P60" s="1">
        <f>SUM(ALLOC_REFUNDED)</f>
        <v>131036</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122</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274586.78565573407</v>
      </c>
      <c r="C6" s="1">
        <v>0</v>
      </c>
      <c r="D6" s="1">
        <v>0</v>
      </c>
      <c r="E6" s="1">
        <v>0</v>
      </c>
      <c r="F6" s="1">
        <v>0</v>
      </c>
      <c r="G6" s="9">
        <f>SUM(AL_FINANCIAL)</f>
        <v>274586.78565573407</v>
      </c>
      <c r="L6" s="6"/>
      <c r="V6" s="9"/>
    </row>
    <row r="7" spans="1:22">
      <c r="A7" s="1" t="s">
        <v>12</v>
      </c>
      <c r="B7" s="6">
        <v>0</v>
      </c>
      <c r="C7" s="1">
        <v>0</v>
      </c>
      <c r="D7" s="1">
        <v>0</v>
      </c>
      <c r="E7" s="1">
        <v>0</v>
      </c>
      <c r="F7" s="1">
        <v>0</v>
      </c>
      <c r="G7" s="9">
        <f>SUM(AK_FINANCIAL)</f>
        <v>0</v>
      </c>
      <c r="I7" s="12"/>
      <c r="J7" s="15"/>
      <c r="L7" s="6"/>
      <c r="V7" s="9"/>
    </row>
    <row r="8" spans="1:22">
      <c r="A8" s="1" t="s">
        <v>13</v>
      </c>
      <c r="B8" s="6">
        <v>-22693.529630920471</v>
      </c>
      <c r="C8" s="1">
        <v>0</v>
      </c>
      <c r="D8" s="1">
        <v>0</v>
      </c>
      <c r="E8" s="1">
        <v>0</v>
      </c>
      <c r="F8" s="1">
        <v>0</v>
      </c>
      <c r="G8" s="9">
        <f>SUM(AZ_FINANCIAL)</f>
        <v>-22693.529630920471</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17074665</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18066</v>
      </c>
      <c r="L13" s="6"/>
      <c r="V13" s="9"/>
    </row>
    <row r="14" spans="1:22">
      <c r="A14" s="1" t="s">
        <v>23</v>
      </c>
      <c r="B14" s="6">
        <v>0</v>
      </c>
      <c r="C14" s="1">
        <v>0</v>
      </c>
      <c r="D14" s="1">
        <v>0</v>
      </c>
      <c r="E14" s="1">
        <v>0</v>
      </c>
      <c r="F14" s="1">
        <v>0</v>
      </c>
      <c r="G14" s="9">
        <f>SUM(DC_FINANCIAL)</f>
        <v>0</v>
      </c>
      <c r="I14" s="13" t="s">
        <v>24</v>
      </c>
      <c r="J14" s="16">
        <v>406240</v>
      </c>
      <c r="L14" s="6"/>
      <c r="V14" s="9"/>
    </row>
    <row r="15" spans="1:22">
      <c r="A15" s="1" t="s">
        <v>25</v>
      </c>
      <c r="B15" s="6">
        <v>55964.38977188844</v>
      </c>
      <c r="C15" s="1">
        <v>0</v>
      </c>
      <c r="D15" s="1">
        <v>0</v>
      </c>
      <c r="E15" s="1">
        <v>0</v>
      </c>
      <c r="F15" s="1">
        <v>0</v>
      </c>
      <c r="G15" s="9">
        <f>SUM(FL_FINANCIAL)</f>
        <v>55964.38977188844</v>
      </c>
      <c r="I15" s="13" t="s">
        <v>26</v>
      </c>
      <c r="J15" s="16">
        <v>662310.75711180852</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-1329839</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711825</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724673.08715210215</v>
      </c>
      <c r="C24" s="1">
        <v>40307.699048012058</v>
      </c>
      <c r="D24" s="1">
        <v>0</v>
      </c>
      <c r="E24" s="1">
        <v>0</v>
      </c>
      <c r="F24" s="1">
        <v>0</v>
      </c>
      <c r="G24" s="9">
        <f>SUM(LA_FINANCIAL)</f>
        <v>764980.78620011418</v>
      </c>
      <c r="I24" s="13" t="s">
        <v>43</v>
      </c>
      <c r="J24" s="16">
        <v>6195873.5700000003</v>
      </c>
      <c r="L24" s="6">
        <v>959087</v>
      </c>
      <c r="M24" s="1">
        <v>0</v>
      </c>
      <c r="O24" s="1">
        <v>402992</v>
      </c>
      <c r="P24" s="1">
        <v>0</v>
      </c>
      <c r="R24" s="1">
        <v>52921</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12583422.18711181</v>
      </c>
      <c r="L26" s="6"/>
      <c r="V26" s="9"/>
    </row>
    <row r="27" spans="1:22">
      <c r="A27" s="1" t="s">
        <v>47</v>
      </c>
      <c r="B27" s="6">
        <v>0</v>
      </c>
      <c r="C27" s="1">
        <v>0</v>
      </c>
      <c r="D27" s="1">
        <v>0</v>
      </c>
      <c r="E27" s="1">
        <v>0</v>
      </c>
      <c r="F27" s="1">
        <v>0</v>
      </c>
      <c r="G27" s="9">
        <f>SUM(MA_FINANCIAL)</f>
        <v>0</v>
      </c>
      <c r="I27" s="13" t="s">
        <v>48</v>
      </c>
      <c r="J27" s="16">
        <f>SUM(ALL_BLOCKS)</f>
        <v>12583422.187111812</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8303031.2425593389</v>
      </c>
      <c r="C30" s="1">
        <v>2996687.7993431687</v>
      </c>
      <c r="D30" s="1">
        <v>0</v>
      </c>
      <c r="E30" s="1">
        <v>0</v>
      </c>
      <c r="F30" s="1">
        <v>0</v>
      </c>
      <c r="G30" s="9">
        <f>SUM(MS_FINANCIAL)</f>
        <v>11299719.041902509</v>
      </c>
      <c r="L30" s="6">
        <v>4320000</v>
      </c>
      <c r="M30" s="1">
        <v>0</v>
      </c>
      <c r="O30" s="1">
        <v>1680000</v>
      </c>
      <c r="P30" s="1">
        <v>0</v>
      </c>
      <c r="R30" s="1">
        <v>0</v>
      </c>
      <c r="S30" s="1">
        <v>0</v>
      </c>
      <c r="U30" s="1">
        <v>0</v>
      </c>
      <c r="V30" s="9">
        <v>0</v>
      </c>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-52293.741501748635</v>
      </c>
      <c r="C37" s="1">
        <v>0</v>
      </c>
      <c r="D37" s="1">
        <v>0</v>
      </c>
      <c r="E37" s="1">
        <v>0</v>
      </c>
      <c r="F37" s="1">
        <v>0</v>
      </c>
      <c r="G37" s="9">
        <f>SUM(NM_FINANCIAL)</f>
        <v>-52293.741501748635</v>
      </c>
      <c r="L37" s="6">
        <v>29979</v>
      </c>
      <c r="M37" s="1">
        <v>0</v>
      </c>
      <c r="O37" s="1">
        <v>0</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-31061.577407635617</v>
      </c>
      <c r="C42" s="1">
        <v>0</v>
      </c>
      <c r="D42" s="1">
        <v>0</v>
      </c>
      <c r="E42" s="1">
        <v>0</v>
      </c>
      <c r="F42" s="1">
        <v>0</v>
      </c>
      <c r="G42" s="9">
        <f>SUM(OK_FINANCIAL)</f>
        <v>-31061.577407635617</v>
      </c>
      <c r="L42" s="6">
        <v>100000</v>
      </c>
      <c r="M42" s="1">
        <v>0</v>
      </c>
      <c r="O42" s="1">
        <v>0</v>
      </c>
      <c r="P42" s="1">
        <v>0</v>
      </c>
      <c r="R42" s="1">
        <v>0</v>
      </c>
      <c r="S42" s="1">
        <v>0</v>
      </c>
      <c r="U42" s="1">
        <v>0</v>
      </c>
      <c r="V42" s="9">
        <v>0</v>
      </c>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294220.03212187003</v>
      </c>
      <c r="C50" s="1">
        <v>0</v>
      </c>
      <c r="D50" s="1">
        <v>0</v>
      </c>
      <c r="E50" s="1">
        <v>0</v>
      </c>
      <c r="F50" s="1">
        <v>0</v>
      </c>
      <c r="G50" s="9">
        <f>SUM(TX_FINANCIAL)</f>
        <v>294220.03212187003</v>
      </c>
      <c r="L50" s="6">
        <v>475086</v>
      </c>
      <c r="M50" s="1">
        <v>0</v>
      </c>
      <c r="O50" s="1">
        <v>0</v>
      </c>
      <c r="P50" s="1">
        <v>0</v>
      </c>
      <c r="R50" s="1">
        <v>0</v>
      </c>
      <c r="S50" s="1">
        <v>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9546426.6887206286</v>
      </c>
      <c r="C60" s="1">
        <f>SUM(ALLOCATED)</f>
        <v>3036995.4983911808</v>
      </c>
      <c r="D60" s="1">
        <f>SUM(HEALTH)</f>
        <v>0</v>
      </c>
      <c r="E60" s="1">
        <f>SUM(UNALLOCATED)</f>
        <v>0</v>
      </c>
      <c r="F60" s="1">
        <f>SUM(LTC)</f>
        <v>0</v>
      </c>
      <c r="G60" s="9">
        <f>SUM(ALL_BLOCKS)</f>
        <v>12583422.187111812</v>
      </c>
      <c r="L60" s="6">
        <f>SUM(LIFE_CALLED)</f>
        <v>5884152</v>
      </c>
      <c r="M60" s="1">
        <f>SUM(LIFE_REFUNDED)</f>
        <v>0</v>
      </c>
      <c r="O60" s="1">
        <f>SUM(ALLOC_CALLED)</f>
        <v>2082992</v>
      </c>
      <c r="P60" s="1">
        <f>SUM(ALLOC_REFUNDED)</f>
        <v>0</v>
      </c>
      <c r="R60" s="1">
        <f>SUM(HEALTH_CALLED)</f>
        <v>52921</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123</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19475000</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19475000</v>
      </c>
      <c r="L13" s="6"/>
      <c r="V13" s="9"/>
    </row>
    <row r="14" spans="1:22">
      <c r="A14" s="1" t="s">
        <v>23</v>
      </c>
      <c r="B14" s="6">
        <v>0</v>
      </c>
      <c r="C14" s="1">
        <v>0</v>
      </c>
      <c r="D14" s="1">
        <v>0</v>
      </c>
      <c r="E14" s="1">
        <v>0</v>
      </c>
      <c r="F14" s="1">
        <v>0</v>
      </c>
      <c r="G14" s="9">
        <f>SUM(DC_FINANCIAL)</f>
        <v>0</v>
      </c>
      <c r="I14" s="13" t="s">
        <v>24</v>
      </c>
      <c r="J14" s="16">
        <v>4100000</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50000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19475000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23625000</v>
      </c>
      <c r="L26" s="6"/>
      <c r="V26" s="9"/>
    </row>
    <row r="27" spans="1:22">
      <c r="A27" s="1" t="s">
        <v>47</v>
      </c>
      <c r="B27" s="6">
        <v>0</v>
      </c>
      <c r="C27" s="1">
        <v>0</v>
      </c>
      <c r="D27" s="1">
        <v>0</v>
      </c>
      <c r="E27" s="1">
        <v>0</v>
      </c>
      <c r="F27" s="1">
        <v>0</v>
      </c>
      <c r="G27" s="9">
        <f>SUM(MA_FINANCIAL)</f>
        <v>0</v>
      </c>
      <c r="I27" s="13" t="s">
        <v>48</v>
      </c>
      <c r="J27" s="16">
        <f>SUM(ALL_BLOCKS)</f>
        <v>23625000</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23625000</v>
      </c>
      <c r="E36" s="1">
        <v>0</v>
      </c>
      <c r="F36" s="1">
        <v>0</v>
      </c>
      <c r="G36" s="9">
        <f>SUM(NJ_FINANCIAL)</f>
        <v>23625000</v>
      </c>
      <c r="L36" s="6">
        <v>0</v>
      </c>
      <c r="M36" s="1">
        <v>0</v>
      </c>
      <c r="O36" s="1">
        <v>0</v>
      </c>
      <c r="P36" s="1">
        <v>0</v>
      </c>
      <c r="R36" s="1">
        <v>26600000</v>
      </c>
      <c r="S36" s="1">
        <v>26599905</v>
      </c>
      <c r="U36" s="1">
        <v>0</v>
      </c>
      <c r="V36" s="9">
        <v>0</v>
      </c>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23625000</v>
      </c>
      <c r="E60" s="1">
        <f>SUM(UNALLOCATED)</f>
        <v>0</v>
      </c>
      <c r="F60" s="1">
        <f>SUM(LTC)</f>
        <v>0</v>
      </c>
      <c r="G60" s="9">
        <f>SUM(ALL_BLOCKS)</f>
        <v>23625000</v>
      </c>
      <c r="L60" s="6">
        <f>SUM(LIFE_CALLED)</f>
        <v>0</v>
      </c>
      <c r="M60" s="1">
        <f>SUM(LIFE_REFUNDED)</f>
        <v>0</v>
      </c>
      <c r="O60" s="1">
        <f>SUM(ALLOC_CALLED)</f>
        <v>0</v>
      </c>
      <c r="P60" s="1">
        <f>SUM(ALLOC_REFUNDED)</f>
        <v>0</v>
      </c>
      <c r="R60" s="1">
        <f>SUM(HEALTH_CALLED)</f>
        <v>26600000</v>
      </c>
      <c r="S60" s="1">
        <f>SUM(HEALTH_REFUNDED)</f>
        <v>26599905</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V64"/>
  <sheetViews>
    <sheetView zoomScale="75" workbookViewId="0">
      <selection activeCell="J16" sqref="J16"/>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124</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0</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0</v>
      </c>
      <c r="L26" s="6"/>
      <c r="V26" s="9"/>
    </row>
    <row r="27" spans="1:22">
      <c r="A27" s="1" t="s">
        <v>47</v>
      </c>
      <c r="B27" s="6">
        <v>0</v>
      </c>
      <c r="C27" s="1">
        <v>0</v>
      </c>
      <c r="D27" s="1">
        <v>0</v>
      </c>
      <c r="E27" s="1">
        <v>0</v>
      </c>
      <c r="F27" s="1">
        <v>0</v>
      </c>
      <c r="G27" s="9">
        <f>SUM(MA_FINANCIAL)</f>
        <v>0</v>
      </c>
      <c r="I27" s="13" t="s">
        <v>48</v>
      </c>
      <c r="J27" s="16">
        <f>SUM(ALL_BLOCKS)</f>
        <v>0</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0</v>
      </c>
      <c r="E60" s="1">
        <f>SUM(UNALLOCATED)</f>
        <v>0</v>
      </c>
      <c r="F60" s="1">
        <f>SUM(LTC)</f>
        <v>0</v>
      </c>
      <c r="G60" s="9">
        <f>SUM(ALL_BLOCKS)</f>
        <v>0</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125</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15569.216092486691</v>
      </c>
      <c r="C6" s="1">
        <v>0</v>
      </c>
      <c r="D6" s="1">
        <v>2773.9725376302958</v>
      </c>
      <c r="E6" s="1">
        <v>0</v>
      </c>
      <c r="F6" s="1">
        <v>0</v>
      </c>
      <c r="G6" s="9">
        <f>SUM(AL_FINANCIAL)</f>
        <v>18343.188630116987</v>
      </c>
      <c r="L6" s="6">
        <v>0</v>
      </c>
      <c r="M6" s="1">
        <v>0</v>
      </c>
      <c r="O6" s="1">
        <v>0</v>
      </c>
      <c r="P6" s="1">
        <v>0</v>
      </c>
      <c r="R6" s="1">
        <v>202000</v>
      </c>
      <c r="S6" s="1">
        <v>0</v>
      </c>
      <c r="U6" s="1">
        <v>0</v>
      </c>
      <c r="V6" s="9">
        <v>0</v>
      </c>
    </row>
    <row r="7" spans="1:22">
      <c r="A7" s="1" t="s">
        <v>12</v>
      </c>
      <c r="B7" s="6">
        <v>0</v>
      </c>
      <c r="C7" s="1">
        <v>0</v>
      </c>
      <c r="D7" s="1">
        <v>0</v>
      </c>
      <c r="E7" s="1">
        <v>0</v>
      </c>
      <c r="F7" s="1">
        <v>0</v>
      </c>
      <c r="G7" s="9">
        <f>SUM(AK_FINANCIAL)</f>
        <v>0</v>
      </c>
      <c r="I7" s="12"/>
      <c r="J7" s="15"/>
      <c r="L7" s="6"/>
      <c r="V7" s="9"/>
    </row>
    <row r="8" spans="1:22">
      <c r="A8" s="1" t="s">
        <v>13</v>
      </c>
      <c r="B8" s="6">
        <v>0</v>
      </c>
      <c r="C8" s="1">
        <v>0</v>
      </c>
      <c r="D8" s="1">
        <v>574</v>
      </c>
      <c r="E8" s="1">
        <v>0</v>
      </c>
      <c r="F8" s="1">
        <v>0</v>
      </c>
      <c r="G8" s="9">
        <f>SUM(AZ_FINANCIAL)</f>
        <v>574</v>
      </c>
      <c r="I8" s="13" t="s">
        <v>14</v>
      </c>
      <c r="J8" s="16"/>
      <c r="L8" s="6"/>
      <c r="V8" s="9"/>
    </row>
    <row r="9" spans="1:22">
      <c r="A9" s="1" t="s">
        <v>15</v>
      </c>
      <c r="B9" s="6">
        <v>0</v>
      </c>
      <c r="C9" s="1">
        <v>0</v>
      </c>
      <c r="D9" s="1">
        <v>2890</v>
      </c>
      <c r="E9" s="1">
        <v>0</v>
      </c>
      <c r="F9" s="1">
        <v>0</v>
      </c>
      <c r="G9" s="9">
        <f>SUM(AR_FINANCIAL)</f>
        <v>2890</v>
      </c>
      <c r="I9" s="13"/>
      <c r="J9" s="16"/>
      <c r="L9" s="6"/>
      <c r="V9" s="9"/>
    </row>
    <row r="10" spans="1:22">
      <c r="A10" s="1" t="s">
        <v>16</v>
      </c>
      <c r="B10" s="6">
        <v>0</v>
      </c>
      <c r="C10" s="1">
        <v>0</v>
      </c>
      <c r="D10" s="1">
        <v>334</v>
      </c>
      <c r="E10" s="1">
        <v>0</v>
      </c>
      <c r="F10" s="1">
        <v>0</v>
      </c>
      <c r="G10" s="9">
        <f>SUM(CA_FINANCIAL)</f>
        <v>334</v>
      </c>
      <c r="I10" s="13" t="s">
        <v>17</v>
      </c>
      <c r="J10" s="16">
        <v>16205681.249743802</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-1789</v>
      </c>
      <c r="E12" s="1">
        <v>0</v>
      </c>
      <c r="F12" s="1">
        <v>0</v>
      </c>
      <c r="G12" s="9">
        <f>SUM(CT_FINANCIAL)</f>
        <v>-1789</v>
      </c>
      <c r="I12" s="13" t="s">
        <v>20</v>
      </c>
      <c r="J12" s="16"/>
      <c r="L12" s="6"/>
      <c r="V12" s="9"/>
    </row>
    <row r="13" spans="1:22">
      <c r="A13" s="1" t="s">
        <v>21</v>
      </c>
      <c r="B13" s="6">
        <v>6800.1539339442315</v>
      </c>
      <c r="C13" s="1">
        <v>0</v>
      </c>
      <c r="D13" s="1">
        <v>0</v>
      </c>
      <c r="E13" s="1">
        <v>0</v>
      </c>
      <c r="F13" s="1">
        <v>0</v>
      </c>
      <c r="G13" s="9">
        <f>SUM(DE_FINANCIAL)</f>
        <v>6800.1539339442315</v>
      </c>
      <c r="I13" s="13" t="s">
        <v>22</v>
      </c>
      <c r="J13" s="16">
        <v>10602029</v>
      </c>
      <c r="L13" s="6">
        <v>0</v>
      </c>
      <c r="M13" s="1">
        <v>0</v>
      </c>
      <c r="O13" s="1">
        <v>0</v>
      </c>
      <c r="P13" s="1">
        <v>0</v>
      </c>
      <c r="R13" s="1">
        <v>100000</v>
      </c>
      <c r="S13" s="1">
        <v>0</v>
      </c>
      <c r="U13" s="1">
        <v>0</v>
      </c>
      <c r="V13" s="9">
        <v>0</v>
      </c>
    </row>
    <row r="14" spans="1:22">
      <c r="A14" s="1" t="s">
        <v>23</v>
      </c>
      <c r="B14" s="6">
        <v>0</v>
      </c>
      <c r="C14" s="1">
        <v>0</v>
      </c>
      <c r="D14" s="1">
        <v>0</v>
      </c>
      <c r="E14" s="1">
        <v>0</v>
      </c>
      <c r="F14" s="1">
        <v>0</v>
      </c>
      <c r="G14" s="9">
        <f>SUM(DC_FINANCIAL)</f>
        <v>0</v>
      </c>
      <c r="I14" s="13" t="s">
        <v>24</v>
      </c>
      <c r="J14" s="16">
        <v>3311759.0000000009</v>
      </c>
      <c r="L14" s="6"/>
      <c r="V14" s="9"/>
    </row>
    <row r="15" spans="1:22">
      <c r="A15" s="1" t="s">
        <v>25</v>
      </c>
      <c r="B15" s="6">
        <v>117323.42673982983</v>
      </c>
      <c r="C15" s="1">
        <v>15297.90363812953</v>
      </c>
      <c r="D15" s="1">
        <v>140443.01369553013</v>
      </c>
      <c r="E15" s="1">
        <v>0</v>
      </c>
      <c r="F15" s="1">
        <v>0</v>
      </c>
      <c r="G15" s="9">
        <f>SUM(FL_FINANCIAL)</f>
        <v>273064.34407348948</v>
      </c>
      <c r="I15" s="13" t="s">
        <v>26</v>
      </c>
      <c r="J15" s="16">
        <v>376931.1</v>
      </c>
      <c r="L15" s="6">
        <v>535000</v>
      </c>
      <c r="M15" s="1">
        <v>0</v>
      </c>
      <c r="O15" s="1">
        <v>65000</v>
      </c>
      <c r="P15" s="1">
        <v>0</v>
      </c>
      <c r="R15" s="1">
        <v>4900000</v>
      </c>
      <c r="S15" s="1">
        <v>0</v>
      </c>
      <c r="U15" s="1">
        <v>0</v>
      </c>
      <c r="V15" s="9">
        <v>0</v>
      </c>
    </row>
    <row r="16" spans="1:22">
      <c r="A16" s="1" t="s">
        <v>27</v>
      </c>
      <c r="B16" s="6">
        <v>57188.136317366036</v>
      </c>
      <c r="C16" s="1">
        <v>23635.274632298475</v>
      </c>
      <c r="D16" s="1">
        <v>25693.177272457862</v>
      </c>
      <c r="E16" s="1">
        <v>0</v>
      </c>
      <c r="F16" s="1">
        <v>0</v>
      </c>
      <c r="G16" s="9">
        <f>SUM(GA_FINANCIAL)</f>
        <v>106516.58822212237</v>
      </c>
      <c r="I16" s="13" t="s">
        <v>28</v>
      </c>
      <c r="J16" s="16">
        <v>0</v>
      </c>
      <c r="L16" s="6">
        <v>172000</v>
      </c>
      <c r="M16" s="1">
        <v>0</v>
      </c>
      <c r="O16" s="1">
        <v>72000</v>
      </c>
      <c r="P16" s="1">
        <v>739.16</v>
      </c>
      <c r="R16" s="1">
        <v>1200000</v>
      </c>
      <c r="S16" s="1">
        <v>0</v>
      </c>
      <c r="U16" s="1">
        <v>0</v>
      </c>
      <c r="V16" s="9">
        <v>0</v>
      </c>
    </row>
    <row r="17" spans="1:22">
      <c r="A17" s="1" t="s">
        <v>29</v>
      </c>
      <c r="B17" s="6">
        <v>0</v>
      </c>
      <c r="C17" s="1">
        <v>0</v>
      </c>
      <c r="D17" s="1">
        <v>-41</v>
      </c>
      <c r="E17" s="1">
        <v>0</v>
      </c>
      <c r="F17" s="1">
        <v>0</v>
      </c>
      <c r="G17" s="9">
        <f>SUM(HI_FINANCIAL)</f>
        <v>-41</v>
      </c>
      <c r="I17" s="13"/>
      <c r="J17" s="16"/>
      <c r="L17" s="6"/>
      <c r="V17" s="9"/>
    </row>
    <row r="18" spans="1:22">
      <c r="A18" s="1" t="s">
        <v>30</v>
      </c>
      <c r="B18" s="6">
        <v>0</v>
      </c>
      <c r="C18" s="1">
        <v>0</v>
      </c>
      <c r="D18" s="1">
        <v>1731</v>
      </c>
      <c r="E18" s="1">
        <v>0</v>
      </c>
      <c r="F18" s="1">
        <v>0</v>
      </c>
      <c r="G18" s="9">
        <f>SUM(ID_FINANCIAL)</f>
        <v>1731</v>
      </c>
      <c r="I18" s="13" t="s">
        <v>31</v>
      </c>
      <c r="J18" s="16"/>
      <c r="L18" s="6"/>
      <c r="V18" s="9"/>
    </row>
    <row r="19" spans="1:22">
      <c r="A19" s="1" t="s">
        <v>32</v>
      </c>
      <c r="B19" s="6">
        <v>0</v>
      </c>
      <c r="C19" s="1">
        <v>0</v>
      </c>
      <c r="D19" s="1">
        <v>1481</v>
      </c>
      <c r="E19" s="1">
        <v>0</v>
      </c>
      <c r="F19" s="1">
        <v>0</v>
      </c>
      <c r="G19" s="9">
        <f>SUM(IL_FINANCIAL)</f>
        <v>1481</v>
      </c>
      <c r="I19" s="13" t="s">
        <v>33</v>
      </c>
      <c r="J19" s="16">
        <v>858110</v>
      </c>
      <c r="L19" s="6"/>
      <c r="V19" s="9"/>
    </row>
    <row r="20" spans="1:22">
      <c r="A20" s="1" t="s">
        <v>34</v>
      </c>
      <c r="B20" s="6">
        <v>28063.624257193005</v>
      </c>
      <c r="C20" s="1">
        <v>0</v>
      </c>
      <c r="D20" s="1">
        <v>10965.162655968248</v>
      </c>
      <c r="E20" s="1">
        <v>0</v>
      </c>
      <c r="F20" s="1">
        <v>0</v>
      </c>
      <c r="G20" s="9">
        <f>SUM(IN_FINANCIAL)</f>
        <v>39028.786913161253</v>
      </c>
      <c r="I20" s="13" t="s">
        <v>35</v>
      </c>
      <c r="J20" s="16">
        <v>10356665.249743806</v>
      </c>
      <c r="L20" s="6">
        <v>0</v>
      </c>
      <c r="M20" s="1">
        <v>0</v>
      </c>
      <c r="O20" s="1">
        <v>0</v>
      </c>
      <c r="P20" s="1">
        <v>0</v>
      </c>
      <c r="R20" s="1">
        <v>590456</v>
      </c>
      <c r="S20" s="1">
        <v>0</v>
      </c>
      <c r="U20" s="1">
        <v>0</v>
      </c>
      <c r="V20" s="9">
        <v>0</v>
      </c>
    </row>
    <row r="21" spans="1:22">
      <c r="A21" s="1" t="s">
        <v>36</v>
      </c>
      <c r="B21" s="6">
        <v>0</v>
      </c>
      <c r="C21" s="1">
        <v>0</v>
      </c>
      <c r="D21" s="1">
        <v>54</v>
      </c>
      <c r="E21" s="1">
        <v>0</v>
      </c>
      <c r="F21" s="1">
        <v>0</v>
      </c>
      <c r="G21" s="9">
        <f>SUM(IA_FINANCIAL)</f>
        <v>54</v>
      </c>
      <c r="I21" s="13" t="s">
        <v>37</v>
      </c>
      <c r="J21" s="16"/>
      <c r="L21" s="6"/>
      <c r="V21" s="9"/>
    </row>
    <row r="22" spans="1:22">
      <c r="A22" s="1" t="s">
        <v>38</v>
      </c>
      <c r="B22" s="6">
        <v>0</v>
      </c>
      <c r="C22" s="1">
        <v>0</v>
      </c>
      <c r="D22" s="1">
        <v>379</v>
      </c>
      <c r="E22" s="1">
        <v>0</v>
      </c>
      <c r="F22" s="1">
        <v>0</v>
      </c>
      <c r="G22" s="9">
        <f>SUM(KS_FINANCIAL)</f>
        <v>379</v>
      </c>
      <c r="I22" s="13" t="s">
        <v>39</v>
      </c>
      <c r="J22" s="16">
        <v>418260</v>
      </c>
      <c r="L22" s="6"/>
      <c r="V22" s="9"/>
    </row>
    <row r="23" spans="1:22">
      <c r="A23" s="1" t="s">
        <v>40</v>
      </c>
      <c r="B23" s="6">
        <v>0</v>
      </c>
      <c r="C23" s="1">
        <v>0</v>
      </c>
      <c r="D23" s="1">
        <v>80646.268806073815</v>
      </c>
      <c r="E23" s="1">
        <v>0</v>
      </c>
      <c r="F23" s="1">
        <v>0</v>
      </c>
      <c r="G23" s="9">
        <f>SUM(KY_FINANCIAL)</f>
        <v>80646.268806073815</v>
      </c>
      <c r="I23" s="13" t="s">
        <v>41</v>
      </c>
      <c r="J23" s="16"/>
      <c r="L23" s="6">
        <v>2378202</v>
      </c>
      <c r="M23" s="1">
        <v>1606905.95</v>
      </c>
      <c r="O23" s="1">
        <v>0</v>
      </c>
      <c r="P23" s="1">
        <v>0</v>
      </c>
      <c r="R23" s="1">
        <v>374000</v>
      </c>
      <c r="S23" s="1">
        <v>175940</v>
      </c>
      <c r="U23" s="1">
        <v>0</v>
      </c>
      <c r="V23" s="9">
        <v>0</v>
      </c>
    </row>
    <row r="24" spans="1:22">
      <c r="A24" s="1" t="s">
        <v>42</v>
      </c>
      <c r="B24" s="6">
        <v>0</v>
      </c>
      <c r="C24" s="1">
        <v>0</v>
      </c>
      <c r="D24" s="1">
        <v>0</v>
      </c>
      <c r="E24" s="1">
        <v>0</v>
      </c>
      <c r="F24" s="1">
        <v>0</v>
      </c>
      <c r="G24" s="9">
        <f>SUM(LA_FINANCIAL)</f>
        <v>0</v>
      </c>
      <c r="I24" s="13" t="s">
        <v>43</v>
      </c>
      <c r="J24" s="16">
        <v>17058382.000000004</v>
      </c>
      <c r="L24" s="6"/>
      <c r="V24" s="9"/>
    </row>
    <row r="25" spans="1:22">
      <c r="A25" s="1" t="s">
        <v>44</v>
      </c>
      <c r="B25" s="6">
        <v>0</v>
      </c>
      <c r="C25" s="1">
        <v>0</v>
      </c>
      <c r="D25" s="1">
        <v>0</v>
      </c>
      <c r="E25" s="1">
        <v>0</v>
      </c>
      <c r="F25" s="1">
        <v>0</v>
      </c>
      <c r="G25" s="9">
        <f>SUM(ME_FINANCIAL)</f>
        <v>0</v>
      </c>
      <c r="I25" s="13"/>
      <c r="J25" s="16"/>
      <c r="L25" s="6"/>
      <c r="V25" s="9"/>
    </row>
    <row r="26" spans="1:22">
      <c r="A26" s="1" t="s">
        <v>45</v>
      </c>
      <c r="B26" s="6">
        <v>24110.003987351927</v>
      </c>
      <c r="C26" s="1">
        <v>0</v>
      </c>
      <c r="D26" s="1">
        <v>554.59020213100348</v>
      </c>
      <c r="E26" s="1">
        <v>0</v>
      </c>
      <c r="F26" s="1">
        <v>0</v>
      </c>
      <c r="G26" s="9">
        <f>SUM(MD_FINANCIAL)</f>
        <v>24664.59418948293</v>
      </c>
      <c r="I26" s="13" t="s">
        <v>46</v>
      </c>
      <c r="J26" s="16">
        <f>SUM(ADD_FINANCIAL)-SUM(LESS_FINANCIAL)</f>
        <v>1804983.099999994</v>
      </c>
      <c r="L26" s="6">
        <v>400000</v>
      </c>
      <c r="M26" s="1">
        <v>0</v>
      </c>
      <c r="O26" s="1">
        <v>0</v>
      </c>
      <c r="P26" s="1">
        <v>0</v>
      </c>
      <c r="R26" s="1">
        <v>0</v>
      </c>
      <c r="S26" s="1">
        <v>0</v>
      </c>
      <c r="U26" s="1">
        <v>0</v>
      </c>
      <c r="V26" s="9">
        <v>0</v>
      </c>
    </row>
    <row r="27" spans="1:22">
      <c r="A27" s="1" t="s">
        <v>47</v>
      </c>
      <c r="B27" s="6">
        <v>0</v>
      </c>
      <c r="C27" s="1">
        <v>0</v>
      </c>
      <c r="D27" s="1">
        <v>1377</v>
      </c>
      <c r="E27" s="1">
        <v>0</v>
      </c>
      <c r="F27" s="1">
        <v>0</v>
      </c>
      <c r="G27" s="9">
        <f>SUM(MA_FINANCIAL)</f>
        <v>1377</v>
      </c>
      <c r="I27" s="13" t="s">
        <v>48</v>
      </c>
      <c r="J27" s="16">
        <f>SUM(ALL_BLOCKS)</f>
        <v>1804983.0999999994</v>
      </c>
      <c r="L27" s="6"/>
      <c r="V27" s="9"/>
    </row>
    <row r="28" spans="1:22">
      <c r="A28" s="1" t="s">
        <v>49</v>
      </c>
      <c r="B28" s="6">
        <v>0</v>
      </c>
      <c r="C28" s="1">
        <v>0</v>
      </c>
      <c r="D28" s="1">
        <v>4098</v>
      </c>
      <c r="E28" s="1">
        <v>0</v>
      </c>
      <c r="F28" s="1">
        <v>0</v>
      </c>
      <c r="G28" s="9">
        <f>SUM(MI_FINANCIAL)</f>
        <v>4098</v>
      </c>
      <c r="I28" s="14"/>
      <c r="J28" s="17"/>
      <c r="L28" s="6"/>
      <c r="V28" s="9"/>
    </row>
    <row r="29" spans="1:22">
      <c r="A29" s="1" t="s">
        <v>50</v>
      </c>
      <c r="B29" s="6">
        <v>0</v>
      </c>
      <c r="C29" s="1">
        <v>0</v>
      </c>
      <c r="D29" s="1">
        <v>1811</v>
      </c>
      <c r="E29" s="1">
        <v>0</v>
      </c>
      <c r="F29" s="1">
        <v>0</v>
      </c>
      <c r="G29" s="9">
        <f>SUM(MN_FINANCIAL)</f>
        <v>1811</v>
      </c>
      <c r="L29" s="6"/>
      <c r="V29" s="9"/>
    </row>
    <row r="30" spans="1:22">
      <c r="A30" s="1" t="s">
        <v>51</v>
      </c>
      <c r="B30" s="6">
        <v>0</v>
      </c>
      <c r="C30" s="1">
        <v>0</v>
      </c>
      <c r="D30" s="1">
        <v>849</v>
      </c>
      <c r="E30" s="1">
        <v>0</v>
      </c>
      <c r="F30" s="1">
        <v>0</v>
      </c>
      <c r="G30" s="9">
        <f>SUM(MS_FINANCIAL)</f>
        <v>849</v>
      </c>
      <c r="L30" s="6"/>
      <c r="V30" s="9"/>
    </row>
    <row r="31" spans="1:22">
      <c r="A31" s="1" t="s">
        <v>52</v>
      </c>
      <c r="B31" s="6">
        <v>6523.0186946637696</v>
      </c>
      <c r="C31" s="1">
        <v>1063.6274260439714</v>
      </c>
      <c r="D31" s="1">
        <v>1134.9039395584368</v>
      </c>
      <c r="E31" s="1">
        <v>0</v>
      </c>
      <c r="F31" s="1">
        <v>0</v>
      </c>
      <c r="G31" s="9">
        <f>SUM(MO_FINANCIAL)</f>
        <v>8721.5500602661778</v>
      </c>
      <c r="L31" s="6">
        <v>25000</v>
      </c>
      <c r="M31" s="1">
        <v>0</v>
      </c>
      <c r="O31" s="1">
        <v>0</v>
      </c>
      <c r="P31" s="1">
        <v>0</v>
      </c>
      <c r="R31" s="1">
        <v>25000</v>
      </c>
      <c r="S31" s="1">
        <v>0</v>
      </c>
      <c r="U31" s="1">
        <v>0</v>
      </c>
      <c r="V31" s="9">
        <v>0</v>
      </c>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1051</v>
      </c>
      <c r="E35" s="1">
        <v>0</v>
      </c>
      <c r="F35" s="1">
        <v>0</v>
      </c>
      <c r="G35" s="9">
        <f>SUM(NH_FINANCIAL)</f>
        <v>1051</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3814</v>
      </c>
      <c r="E38" s="1">
        <v>0</v>
      </c>
      <c r="F38" s="1">
        <v>0</v>
      </c>
      <c r="G38" s="9">
        <f>SUM(NY_FINANCIAL)</f>
        <v>3814</v>
      </c>
      <c r="L38" s="6"/>
      <c r="V38" s="9"/>
    </row>
    <row r="39" spans="1:22">
      <c r="A39" s="1" t="s">
        <v>60</v>
      </c>
      <c r="B39" s="6">
        <v>-5479.290048263385</v>
      </c>
      <c r="C39" s="1">
        <v>0</v>
      </c>
      <c r="D39" s="1">
        <v>0</v>
      </c>
      <c r="E39" s="1">
        <v>0</v>
      </c>
      <c r="F39" s="1">
        <v>0</v>
      </c>
      <c r="G39" s="9">
        <f>SUM(NC_FINANCIAL)</f>
        <v>-5479.290048263385</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2817</v>
      </c>
      <c r="E41" s="1">
        <v>0</v>
      </c>
      <c r="F41" s="1">
        <v>0</v>
      </c>
      <c r="G41" s="9">
        <f>SUM(OH_FINANCIAL)</f>
        <v>2817</v>
      </c>
      <c r="L41" s="6"/>
      <c r="V41" s="9"/>
    </row>
    <row r="42" spans="1:22">
      <c r="A42" s="1" t="s">
        <v>63</v>
      </c>
      <c r="B42" s="6">
        <v>20582.119561954081</v>
      </c>
      <c r="C42" s="1">
        <v>1118.7967510752405</v>
      </c>
      <c r="D42" s="1">
        <v>1701.9993128059486</v>
      </c>
      <c r="E42" s="1">
        <v>0</v>
      </c>
      <c r="F42" s="1">
        <v>0</v>
      </c>
      <c r="G42" s="9">
        <f>SUM(OK_FINANCIAL)</f>
        <v>23402.915625835274</v>
      </c>
      <c r="L42" s="6">
        <v>40000</v>
      </c>
      <c r="M42" s="1">
        <v>17600</v>
      </c>
      <c r="O42" s="1">
        <v>0</v>
      </c>
      <c r="P42" s="1">
        <v>0</v>
      </c>
      <c r="R42" s="1">
        <v>210000</v>
      </c>
      <c r="S42" s="1">
        <v>92400</v>
      </c>
      <c r="U42" s="1">
        <v>0</v>
      </c>
      <c r="V42" s="9">
        <v>0</v>
      </c>
    </row>
    <row r="43" spans="1:22">
      <c r="A43" s="1" t="s">
        <v>64</v>
      </c>
      <c r="B43" s="6">
        <v>0</v>
      </c>
      <c r="C43" s="1">
        <v>0</v>
      </c>
      <c r="D43" s="1">
        <v>62</v>
      </c>
      <c r="E43" s="1">
        <v>0</v>
      </c>
      <c r="F43" s="1">
        <v>0</v>
      </c>
      <c r="G43" s="9">
        <f>SUM(OR_FINANCIAL)</f>
        <v>62</v>
      </c>
      <c r="L43" s="6"/>
      <c r="V43" s="9"/>
    </row>
    <row r="44" spans="1:22">
      <c r="A44" s="1" t="s">
        <v>65</v>
      </c>
      <c r="B44" s="6">
        <v>42271.624010259926</v>
      </c>
      <c r="C44" s="1">
        <v>383.89373805976311</v>
      </c>
      <c r="D44" s="1">
        <v>922.93536408814907</v>
      </c>
      <c r="E44" s="1">
        <v>0</v>
      </c>
      <c r="F44" s="1">
        <v>0</v>
      </c>
      <c r="G44" s="9">
        <f>SUM(PA_FINANCIAL)</f>
        <v>43578.453112407835</v>
      </c>
      <c r="L44" s="6">
        <v>249570</v>
      </c>
      <c r="M44" s="1">
        <v>0</v>
      </c>
      <c r="O44" s="1">
        <v>0</v>
      </c>
      <c r="P44" s="1">
        <v>0</v>
      </c>
      <c r="R44" s="1">
        <v>750420</v>
      </c>
      <c r="S44" s="1">
        <v>0</v>
      </c>
      <c r="U44" s="1">
        <v>0</v>
      </c>
      <c r="V44" s="9">
        <v>0</v>
      </c>
    </row>
    <row r="45" spans="1:22">
      <c r="A45" s="1" t="s">
        <v>66</v>
      </c>
      <c r="B45" s="6">
        <v>0</v>
      </c>
      <c r="C45" s="1">
        <v>0</v>
      </c>
      <c r="D45" s="1">
        <v>0</v>
      </c>
      <c r="E45" s="1">
        <v>0</v>
      </c>
      <c r="F45" s="1">
        <v>0</v>
      </c>
      <c r="G45" s="9">
        <f>SUM(PR_FINANCIAL)</f>
        <v>0</v>
      </c>
      <c r="L45" s="6"/>
      <c r="V45" s="9"/>
    </row>
    <row r="46" spans="1:22">
      <c r="A46" s="1" t="s">
        <v>67</v>
      </c>
      <c r="B46" s="6">
        <v>0</v>
      </c>
      <c r="C46" s="1">
        <v>0</v>
      </c>
      <c r="D46" s="1">
        <v>5</v>
      </c>
      <c r="E46" s="1">
        <v>0</v>
      </c>
      <c r="F46" s="1">
        <v>0</v>
      </c>
      <c r="G46" s="9">
        <f>SUM(RI_FINANCIAL)</f>
        <v>5</v>
      </c>
      <c r="L46" s="6"/>
      <c r="V46" s="9"/>
    </row>
    <row r="47" spans="1:22">
      <c r="A47" s="1" t="s">
        <v>68</v>
      </c>
      <c r="B47" s="6">
        <v>213441.95142118959</v>
      </c>
      <c r="C47" s="1">
        <v>10440.076605862218</v>
      </c>
      <c r="D47" s="1">
        <v>0</v>
      </c>
      <c r="E47" s="1">
        <v>0</v>
      </c>
      <c r="F47" s="1">
        <v>0</v>
      </c>
      <c r="G47" s="9">
        <f>SUM(SC_FINANCIAL)</f>
        <v>223882.0280270518</v>
      </c>
      <c r="L47" s="6"/>
      <c r="V47" s="9"/>
    </row>
    <row r="48" spans="1:22">
      <c r="A48" s="1" t="s">
        <v>69</v>
      </c>
      <c r="B48" s="6">
        <v>0</v>
      </c>
      <c r="C48" s="1">
        <v>0</v>
      </c>
      <c r="D48" s="1">
        <v>0</v>
      </c>
      <c r="E48" s="1">
        <v>0</v>
      </c>
      <c r="F48" s="1">
        <v>0</v>
      </c>
      <c r="G48" s="9">
        <f>SUM(SD_FINANCIAL)</f>
        <v>0</v>
      </c>
      <c r="L48" s="6"/>
      <c r="V48" s="9"/>
    </row>
    <row r="49" spans="1:22">
      <c r="A49" s="1" t="s">
        <v>70</v>
      </c>
      <c r="B49" s="6">
        <v>15968.545206963638</v>
      </c>
      <c r="C49" s="1">
        <v>0</v>
      </c>
      <c r="D49" s="1">
        <v>1085.6888401498763</v>
      </c>
      <c r="E49" s="1">
        <v>0</v>
      </c>
      <c r="F49" s="1">
        <v>0</v>
      </c>
      <c r="G49" s="9">
        <f>SUM(TN_FINANCIAL)</f>
        <v>17054.234047113514</v>
      </c>
      <c r="L49" s="6">
        <v>200000</v>
      </c>
      <c r="M49" s="1">
        <v>0</v>
      </c>
      <c r="O49" s="1">
        <v>0</v>
      </c>
      <c r="P49" s="1">
        <v>0</v>
      </c>
      <c r="R49" s="1">
        <v>53000</v>
      </c>
      <c r="S49" s="1">
        <v>0</v>
      </c>
      <c r="U49" s="1">
        <v>0</v>
      </c>
      <c r="V49" s="9">
        <v>0</v>
      </c>
    </row>
    <row r="50" spans="1:22">
      <c r="A50" s="1" t="s">
        <v>71</v>
      </c>
      <c r="B50" s="6">
        <v>92655.276825762587</v>
      </c>
      <c r="C50" s="1">
        <v>0</v>
      </c>
      <c r="D50" s="1">
        <v>0</v>
      </c>
      <c r="E50" s="1">
        <v>0</v>
      </c>
      <c r="F50" s="1">
        <v>0</v>
      </c>
      <c r="G50" s="9">
        <f>SUM(TX_FINANCIAL)</f>
        <v>92655.276825762587</v>
      </c>
      <c r="L50" s="6">
        <v>65397</v>
      </c>
      <c r="M50" s="1">
        <v>151779.33250000002</v>
      </c>
      <c r="O50" s="1">
        <v>0</v>
      </c>
      <c r="P50" s="1">
        <v>0</v>
      </c>
      <c r="R50" s="1">
        <v>1359712</v>
      </c>
      <c r="S50" s="1">
        <v>1266259.6675</v>
      </c>
      <c r="U50" s="1">
        <v>0</v>
      </c>
      <c r="V50" s="9">
        <v>0</v>
      </c>
    </row>
    <row r="51" spans="1:22">
      <c r="A51" s="1" t="s">
        <v>72</v>
      </c>
      <c r="B51" s="6">
        <v>0</v>
      </c>
      <c r="C51" s="1">
        <v>0</v>
      </c>
      <c r="D51" s="1">
        <v>96</v>
      </c>
      <c r="E51" s="1">
        <v>0</v>
      </c>
      <c r="F51" s="1">
        <v>0</v>
      </c>
      <c r="G51" s="9">
        <f>SUM(UT_FINANCIAL)</f>
        <v>96</v>
      </c>
      <c r="L51" s="6"/>
      <c r="V51" s="9"/>
    </row>
    <row r="52" spans="1:22">
      <c r="A52" s="1" t="s">
        <v>73</v>
      </c>
      <c r="B52" s="6">
        <v>0</v>
      </c>
      <c r="C52" s="1">
        <v>0</v>
      </c>
      <c r="D52" s="1">
        <v>0</v>
      </c>
      <c r="E52" s="1">
        <v>0</v>
      </c>
      <c r="F52" s="1">
        <v>0</v>
      </c>
      <c r="G52" s="9">
        <f>SUM(VT_FINANCIAL)</f>
        <v>0</v>
      </c>
      <c r="L52" s="6"/>
      <c r="V52" s="9"/>
    </row>
    <row r="53" spans="1:22">
      <c r="A53" s="1" t="s">
        <v>74</v>
      </c>
      <c r="B53" s="6">
        <v>58905.095809094142</v>
      </c>
      <c r="C53" s="1">
        <v>455.35940917175139</v>
      </c>
      <c r="D53" s="1">
        <v>2837.1994439155824</v>
      </c>
      <c r="E53" s="1">
        <v>0</v>
      </c>
      <c r="F53" s="1">
        <v>0</v>
      </c>
      <c r="G53" s="9">
        <f>SUM(VA_FINANCIAL)</f>
        <v>62197.654662181478</v>
      </c>
      <c r="L53" s="6">
        <v>560269</v>
      </c>
      <c r="M53" s="1">
        <v>382889</v>
      </c>
      <c r="O53" s="1">
        <v>4588</v>
      </c>
      <c r="P53" s="1">
        <v>13137</v>
      </c>
      <c r="R53" s="1">
        <v>333201</v>
      </c>
      <c r="S53" s="1">
        <v>383000</v>
      </c>
      <c r="U53" s="1">
        <v>0</v>
      </c>
      <c r="V53" s="9">
        <v>0</v>
      </c>
    </row>
    <row r="54" spans="1:22">
      <c r="A54" s="1" t="s">
        <v>75</v>
      </c>
      <c r="B54" s="6">
        <v>0</v>
      </c>
      <c r="C54" s="1">
        <v>0</v>
      </c>
      <c r="D54" s="1">
        <v>0</v>
      </c>
      <c r="E54" s="1">
        <v>0</v>
      </c>
      <c r="F54" s="1">
        <v>0</v>
      </c>
      <c r="G54" s="9">
        <f>SUM(WA_FINANCIAL)</f>
        <v>0</v>
      </c>
      <c r="L54" s="6"/>
      <c r="V54" s="9"/>
    </row>
    <row r="55" spans="1:22">
      <c r="A55" s="1" t="s">
        <v>76</v>
      </c>
      <c r="B55" s="6">
        <v>643266.17274909467</v>
      </c>
      <c r="C55" s="1">
        <v>24884.348575252181</v>
      </c>
      <c r="D55" s="1">
        <v>100162.83159490593</v>
      </c>
      <c r="E55" s="1">
        <v>0</v>
      </c>
      <c r="F55" s="1">
        <v>0</v>
      </c>
      <c r="G55" s="9">
        <f>SUM(WV_FINANCIAL)</f>
        <v>768313.35291925282</v>
      </c>
      <c r="L55" s="6">
        <v>606438</v>
      </c>
      <c r="M55" s="1">
        <v>128826</v>
      </c>
      <c r="O55" s="1">
        <v>73076</v>
      </c>
      <c r="P55" s="1">
        <v>140773</v>
      </c>
      <c r="R55" s="1">
        <v>3240504</v>
      </c>
      <c r="S55" s="1">
        <v>3765849</v>
      </c>
      <c r="U55" s="1">
        <v>0</v>
      </c>
      <c r="V55" s="9">
        <v>0</v>
      </c>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1337189.0755588906</v>
      </c>
      <c r="C60" s="1">
        <f>SUM(ALLOCATED)</f>
        <v>77279.28077589313</v>
      </c>
      <c r="D60" s="1">
        <f>SUM(HEALTH)</f>
        <v>390514.74366521533</v>
      </c>
      <c r="E60" s="1">
        <f>SUM(UNALLOCATED)</f>
        <v>0</v>
      </c>
      <c r="F60" s="1">
        <f>SUM(LTC)</f>
        <v>0</v>
      </c>
      <c r="G60" s="9">
        <f>SUM(ALL_BLOCKS)</f>
        <v>1804983.0999999994</v>
      </c>
      <c r="L60" s="6">
        <f>SUM(LIFE_CALLED)</f>
        <v>5231876</v>
      </c>
      <c r="M60" s="1">
        <f>SUM(LIFE_REFUNDED)</f>
        <v>2288000.2824999997</v>
      </c>
      <c r="O60" s="1">
        <f>SUM(ALLOC_CALLED)</f>
        <v>214664</v>
      </c>
      <c r="P60" s="1">
        <f>SUM(ALLOC_REFUNDED)</f>
        <v>154649.16</v>
      </c>
      <c r="R60" s="1">
        <f>SUM(HEALTH_CALLED)</f>
        <v>13338293</v>
      </c>
      <c r="S60" s="1">
        <f>SUM(HEALTH_REFUNDED)</f>
        <v>5683448.6675000004</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126</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727983.87554992689</v>
      </c>
      <c r="C10" s="1">
        <v>0</v>
      </c>
      <c r="D10" s="1">
        <v>59498.78</v>
      </c>
      <c r="E10" s="1">
        <v>0</v>
      </c>
      <c r="F10" s="1">
        <v>0</v>
      </c>
      <c r="G10" s="9">
        <f>SUM(CA_FINANCIAL)</f>
        <v>787482.65554992692</v>
      </c>
      <c r="I10" s="13" t="s">
        <v>17</v>
      </c>
      <c r="J10" s="16">
        <v>319462.36400000006</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272265.99</v>
      </c>
      <c r="L13" s="6"/>
      <c r="V13" s="9"/>
    </row>
    <row r="14" spans="1:22">
      <c r="A14" s="1" t="s">
        <v>23</v>
      </c>
      <c r="B14" s="6">
        <v>1460.999409344782</v>
      </c>
      <c r="C14" s="1">
        <v>0</v>
      </c>
      <c r="D14" s="1">
        <v>0</v>
      </c>
      <c r="E14" s="1">
        <v>0</v>
      </c>
      <c r="F14" s="1">
        <v>0</v>
      </c>
      <c r="G14" s="9">
        <f>SUM(DC_FINANCIAL)</f>
        <v>1460.999409344782</v>
      </c>
      <c r="I14" s="13" t="s">
        <v>24</v>
      </c>
      <c r="J14" s="16">
        <v>323349.86</v>
      </c>
      <c r="L14" s="6"/>
      <c r="V14" s="9"/>
    </row>
    <row r="15" spans="1:22">
      <c r="A15" s="1" t="s">
        <v>25</v>
      </c>
      <c r="B15" s="6">
        <v>0</v>
      </c>
      <c r="C15" s="1">
        <v>0</v>
      </c>
      <c r="D15" s="1">
        <v>0</v>
      </c>
      <c r="E15" s="1">
        <v>0</v>
      </c>
      <c r="F15" s="1">
        <v>0</v>
      </c>
      <c r="G15" s="9">
        <f>SUM(FL_FINANCIAL)</f>
        <v>0</v>
      </c>
      <c r="I15" s="13" t="s">
        <v>26</v>
      </c>
      <c r="J15" s="16">
        <v>816262.66999999993</v>
      </c>
      <c r="L15" s="6"/>
      <c r="V15" s="9"/>
    </row>
    <row r="16" spans="1:22">
      <c r="A16" s="1" t="s">
        <v>27</v>
      </c>
      <c r="B16" s="6">
        <v>28156.129738025618</v>
      </c>
      <c r="C16" s="1">
        <v>0</v>
      </c>
      <c r="D16" s="1">
        <v>0</v>
      </c>
      <c r="E16" s="1">
        <v>0</v>
      </c>
      <c r="F16" s="1">
        <v>0</v>
      </c>
      <c r="G16" s="9">
        <f>SUM(GA_FINANCIAL)</f>
        <v>28156.129738025618</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167995.43102726695</v>
      </c>
      <c r="C19" s="1">
        <v>12328.5</v>
      </c>
      <c r="D19" s="1">
        <v>0</v>
      </c>
      <c r="E19" s="1">
        <v>0</v>
      </c>
      <c r="F19" s="1">
        <v>0</v>
      </c>
      <c r="G19" s="9">
        <f>SUM(IL_FINANCIAL)</f>
        <v>180323.93102726695</v>
      </c>
      <c r="I19" s="13" t="s">
        <v>33</v>
      </c>
      <c r="J19" s="16">
        <v>0</v>
      </c>
      <c r="L19" s="6">
        <v>200000</v>
      </c>
      <c r="M19" s="1">
        <v>0</v>
      </c>
      <c r="O19" s="1">
        <v>100000</v>
      </c>
      <c r="P19" s="1">
        <v>0</v>
      </c>
      <c r="R19" s="1">
        <v>0</v>
      </c>
      <c r="S19" s="1">
        <v>0</v>
      </c>
      <c r="U19" s="1">
        <v>0</v>
      </c>
      <c r="V19" s="9">
        <v>0</v>
      </c>
    </row>
    <row r="20" spans="1:22">
      <c r="A20" s="1" t="s">
        <v>34</v>
      </c>
      <c r="B20" s="6">
        <v>0</v>
      </c>
      <c r="C20" s="1">
        <v>0</v>
      </c>
      <c r="D20" s="1">
        <v>0</v>
      </c>
      <c r="E20" s="1">
        <v>0</v>
      </c>
      <c r="F20" s="1">
        <v>0</v>
      </c>
      <c r="G20" s="9">
        <f>SUM(IN_FINANCIAL)</f>
        <v>0</v>
      </c>
      <c r="I20" s="13" t="s">
        <v>35</v>
      </c>
      <c r="J20" s="16">
        <v>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-23500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15823.636426960427</v>
      </c>
      <c r="C24" s="1">
        <v>0</v>
      </c>
      <c r="D24" s="1">
        <v>0</v>
      </c>
      <c r="E24" s="1">
        <v>0</v>
      </c>
      <c r="F24" s="1">
        <v>0</v>
      </c>
      <c r="G24" s="9">
        <f>SUM(LA_FINANCIAL)</f>
        <v>15823.636426960427</v>
      </c>
      <c r="I24" s="13" t="s">
        <v>43</v>
      </c>
      <c r="J24" s="16">
        <v>154160.03</v>
      </c>
      <c r="L24" s="6"/>
      <c r="V24" s="9"/>
    </row>
    <row r="25" spans="1:22">
      <c r="A25" s="1" t="s">
        <v>44</v>
      </c>
      <c r="B25" s="6">
        <v>0</v>
      </c>
      <c r="C25" s="1">
        <v>0</v>
      </c>
      <c r="D25" s="1">
        <v>0</v>
      </c>
      <c r="E25" s="1">
        <v>0</v>
      </c>
      <c r="F25" s="1">
        <v>0</v>
      </c>
      <c r="G25" s="9">
        <f>SUM(ME_FINANCIAL)</f>
        <v>0</v>
      </c>
      <c r="I25" s="13"/>
      <c r="J25" s="16"/>
      <c r="L25" s="6"/>
      <c r="V25" s="9"/>
    </row>
    <row r="26" spans="1:22">
      <c r="A26" s="1" t="s">
        <v>45</v>
      </c>
      <c r="B26" s="6">
        <v>85.999965231794135</v>
      </c>
      <c r="C26" s="1">
        <v>0</v>
      </c>
      <c r="D26" s="1">
        <v>0</v>
      </c>
      <c r="E26" s="1">
        <v>0</v>
      </c>
      <c r="F26" s="1">
        <v>0</v>
      </c>
      <c r="G26" s="9">
        <f>SUM(MD_FINANCIAL)</f>
        <v>85.999965231794135</v>
      </c>
      <c r="I26" s="13" t="s">
        <v>46</v>
      </c>
      <c r="J26" s="16">
        <f>SUM(ADD_FINANCIAL)-SUM(LESS_FINANCIAL)</f>
        <v>1600680.8540000001</v>
      </c>
      <c r="L26" s="6"/>
      <c r="V26" s="9"/>
    </row>
    <row r="27" spans="1:22">
      <c r="A27" s="1" t="s">
        <v>47</v>
      </c>
      <c r="B27" s="6">
        <v>0</v>
      </c>
      <c r="C27" s="1">
        <v>0</v>
      </c>
      <c r="D27" s="1">
        <v>0</v>
      </c>
      <c r="E27" s="1">
        <v>0</v>
      </c>
      <c r="F27" s="1">
        <v>0</v>
      </c>
      <c r="G27" s="9">
        <f>SUM(MA_FINANCIAL)</f>
        <v>0</v>
      </c>
      <c r="I27" s="13" t="s">
        <v>48</v>
      </c>
      <c r="J27" s="16">
        <f>SUM(ALL_BLOCKS)</f>
        <v>1600680.8539999998</v>
      </c>
      <c r="L27" s="6"/>
      <c r="V27" s="9"/>
    </row>
    <row r="28" spans="1:22">
      <c r="A28" s="1" t="s">
        <v>49</v>
      </c>
      <c r="B28" s="6">
        <v>77100.976421900763</v>
      </c>
      <c r="C28" s="1">
        <v>0</v>
      </c>
      <c r="D28" s="1">
        <v>0</v>
      </c>
      <c r="E28" s="1">
        <v>0</v>
      </c>
      <c r="F28" s="1">
        <v>0</v>
      </c>
      <c r="G28" s="9">
        <f>SUM(MI_FINANCIAL)</f>
        <v>77100.976421900763</v>
      </c>
      <c r="I28" s="14"/>
      <c r="J28" s="17"/>
      <c r="L28" s="6"/>
      <c r="V28" s="9"/>
    </row>
    <row r="29" spans="1:22">
      <c r="A29" s="1" t="s">
        <v>50</v>
      </c>
      <c r="B29" s="6">
        <v>0</v>
      </c>
      <c r="C29" s="1">
        <v>0</v>
      </c>
      <c r="D29" s="1">
        <v>0</v>
      </c>
      <c r="E29" s="1">
        <v>0</v>
      </c>
      <c r="F29" s="1">
        <v>0</v>
      </c>
      <c r="G29" s="9">
        <f>SUM(MN_FINANCIAL)</f>
        <v>0</v>
      </c>
      <c r="L29" s="6"/>
      <c r="V29" s="9"/>
    </row>
    <row r="30" spans="1:22">
      <c r="A30" s="1" t="s">
        <v>51</v>
      </c>
      <c r="B30" s="6">
        <v>3788.9991473703935</v>
      </c>
      <c r="C30" s="1">
        <v>0</v>
      </c>
      <c r="D30" s="1">
        <v>0</v>
      </c>
      <c r="E30" s="1">
        <v>0</v>
      </c>
      <c r="F30" s="1">
        <v>0</v>
      </c>
      <c r="G30" s="9">
        <f>SUM(MS_FINANCIAL)</f>
        <v>3788.9991473703935</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3383.9986319115278</v>
      </c>
      <c r="C34" s="1">
        <v>0</v>
      </c>
      <c r="D34" s="1">
        <v>0</v>
      </c>
      <c r="E34" s="1">
        <v>0</v>
      </c>
      <c r="F34" s="1">
        <v>0</v>
      </c>
      <c r="G34" s="9">
        <f>SUM(NV_FINANCIAL)</f>
        <v>3383.9986319115278</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263540.59035943315</v>
      </c>
      <c r="C39" s="1">
        <v>0</v>
      </c>
      <c r="D39" s="1">
        <v>0</v>
      </c>
      <c r="E39" s="1">
        <v>0</v>
      </c>
      <c r="F39" s="1">
        <v>0</v>
      </c>
      <c r="G39" s="9">
        <f>SUM(NC_FINANCIAL)</f>
        <v>263540.59035943315</v>
      </c>
      <c r="L39" s="6">
        <v>300000</v>
      </c>
      <c r="M39" s="1">
        <v>0</v>
      </c>
      <c r="O39" s="1">
        <v>0</v>
      </c>
      <c r="P39" s="1">
        <v>0</v>
      </c>
      <c r="R39" s="1">
        <v>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364.99985243726582</v>
      </c>
      <c r="C49" s="1">
        <v>0</v>
      </c>
      <c r="D49" s="1">
        <v>0</v>
      </c>
      <c r="E49" s="1">
        <v>0</v>
      </c>
      <c r="F49" s="1">
        <v>0</v>
      </c>
      <c r="G49" s="9">
        <f>SUM(TN_FINANCIAL)</f>
        <v>364.99985243726582</v>
      </c>
      <c r="L49" s="6"/>
      <c r="V49" s="9"/>
    </row>
    <row r="50" spans="1:22">
      <c r="A50" s="1" t="s">
        <v>71</v>
      </c>
      <c r="B50" s="6">
        <v>239167.93747019029</v>
      </c>
      <c r="C50" s="1">
        <v>0</v>
      </c>
      <c r="D50" s="1">
        <v>0</v>
      </c>
      <c r="E50" s="1">
        <v>0</v>
      </c>
      <c r="F50" s="1">
        <v>0</v>
      </c>
      <c r="G50" s="9">
        <f>SUM(TX_FINANCIAL)</f>
        <v>239167.93747019029</v>
      </c>
      <c r="L50" s="6">
        <v>0</v>
      </c>
      <c r="M50" s="1">
        <v>0</v>
      </c>
      <c r="O50" s="1">
        <v>0</v>
      </c>
      <c r="P50" s="1">
        <v>0</v>
      </c>
      <c r="R50" s="1">
        <v>224926</v>
      </c>
      <c r="S50" s="1">
        <v>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1528853.5739999998</v>
      </c>
      <c r="C60" s="1">
        <f>SUM(ALLOCATED)</f>
        <v>12328.5</v>
      </c>
      <c r="D60" s="1">
        <f>SUM(HEALTH)</f>
        <v>59498.78</v>
      </c>
      <c r="E60" s="1">
        <f>SUM(UNALLOCATED)</f>
        <v>0</v>
      </c>
      <c r="F60" s="1">
        <f>SUM(LTC)</f>
        <v>0</v>
      </c>
      <c r="G60" s="9">
        <f>SUM(ALL_BLOCKS)</f>
        <v>1600680.8539999998</v>
      </c>
      <c r="L60" s="6">
        <f>SUM(LIFE_CALLED)</f>
        <v>500000</v>
      </c>
      <c r="M60" s="1">
        <f>SUM(LIFE_REFUNDED)</f>
        <v>0</v>
      </c>
      <c r="O60" s="1">
        <f>SUM(ALLOC_CALLED)</f>
        <v>100000</v>
      </c>
      <c r="P60" s="1">
        <f>SUM(ALLOC_REFUNDED)</f>
        <v>0</v>
      </c>
      <c r="R60" s="1">
        <f>SUM(HEALTH_CALLED)</f>
        <v>224926</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127</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42367.607213945696</v>
      </c>
      <c r="C6" s="1">
        <v>335132.24654015223</v>
      </c>
      <c r="D6" s="1">
        <v>0</v>
      </c>
      <c r="E6" s="1">
        <v>0</v>
      </c>
      <c r="F6" s="1">
        <v>0</v>
      </c>
      <c r="G6" s="9">
        <f>SUM(AL_FINANCIAL)</f>
        <v>377499.85375409795</v>
      </c>
      <c r="L6" s="6">
        <v>380000</v>
      </c>
      <c r="M6" s="1">
        <v>0</v>
      </c>
      <c r="O6" s="1">
        <v>302720</v>
      </c>
      <c r="P6" s="1">
        <v>0</v>
      </c>
      <c r="R6" s="1">
        <v>0</v>
      </c>
      <c r="S6" s="1">
        <v>0</v>
      </c>
      <c r="U6" s="1">
        <v>0</v>
      </c>
      <c r="V6" s="9">
        <v>0</v>
      </c>
    </row>
    <row r="7" spans="1:22">
      <c r="A7" s="1" t="s">
        <v>12</v>
      </c>
      <c r="B7" s="6">
        <v>31998.180562776775</v>
      </c>
      <c r="C7" s="1">
        <v>212689.17742677795</v>
      </c>
      <c r="D7" s="1">
        <v>0</v>
      </c>
      <c r="E7" s="1">
        <v>0</v>
      </c>
      <c r="F7" s="1">
        <v>0</v>
      </c>
      <c r="G7" s="9">
        <f>SUM(AK_FINANCIAL)</f>
        <v>244687.35798955473</v>
      </c>
      <c r="I7" s="12"/>
      <c r="J7" s="15"/>
      <c r="L7" s="6">
        <v>80878</v>
      </c>
      <c r="M7" s="1">
        <v>14180</v>
      </c>
      <c r="O7" s="1">
        <v>566741</v>
      </c>
      <c r="P7" s="1">
        <v>121990</v>
      </c>
      <c r="R7" s="1">
        <v>0</v>
      </c>
      <c r="S7" s="1">
        <v>0</v>
      </c>
      <c r="U7" s="1">
        <v>2000</v>
      </c>
      <c r="V7" s="9">
        <v>0</v>
      </c>
    </row>
    <row r="8" spans="1:22">
      <c r="A8" s="1" t="s">
        <v>13</v>
      </c>
      <c r="B8" s="6">
        <v>385141.02010123432</v>
      </c>
      <c r="C8" s="1">
        <v>1113946.337848271</v>
      </c>
      <c r="D8" s="1">
        <v>0</v>
      </c>
      <c r="E8" s="1">
        <v>0</v>
      </c>
      <c r="F8" s="1">
        <v>0</v>
      </c>
      <c r="G8" s="9">
        <f>SUM(AZ_FINANCIAL)</f>
        <v>1499087.3579495053</v>
      </c>
      <c r="I8" s="13" t="s">
        <v>14</v>
      </c>
      <c r="J8" s="16"/>
      <c r="L8" s="6">
        <v>559164</v>
      </c>
      <c r="M8" s="1">
        <v>0</v>
      </c>
      <c r="O8" s="1">
        <v>3944426</v>
      </c>
      <c r="P8" s="1">
        <v>0</v>
      </c>
      <c r="R8" s="1">
        <v>0</v>
      </c>
      <c r="S8" s="1">
        <v>0</v>
      </c>
      <c r="U8" s="1">
        <v>0</v>
      </c>
      <c r="V8" s="9">
        <v>0</v>
      </c>
    </row>
    <row r="9" spans="1:22">
      <c r="A9" s="1" t="s">
        <v>15</v>
      </c>
      <c r="B9" s="6">
        <v>65053.097678604187</v>
      </c>
      <c r="C9" s="1">
        <v>358141.56943924038</v>
      </c>
      <c r="D9" s="1">
        <v>0</v>
      </c>
      <c r="E9" s="1">
        <v>0</v>
      </c>
      <c r="F9" s="1">
        <v>0</v>
      </c>
      <c r="G9" s="9">
        <f>SUM(AR_FINANCIAL)</f>
        <v>423194.66711784457</v>
      </c>
      <c r="I9" s="13"/>
      <c r="J9" s="16"/>
      <c r="L9" s="6">
        <v>1149754</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600117017.40107167</v>
      </c>
      <c r="L10" s="6"/>
      <c r="V10" s="9"/>
    </row>
    <row r="11" spans="1:22">
      <c r="A11" s="1" t="s">
        <v>18</v>
      </c>
      <c r="B11" s="6">
        <v>0</v>
      </c>
      <c r="C11" s="1">
        <v>0</v>
      </c>
      <c r="D11" s="1">
        <v>0</v>
      </c>
      <c r="E11" s="1">
        <v>0</v>
      </c>
      <c r="F11" s="1">
        <v>0</v>
      </c>
      <c r="G11" s="9">
        <f>SUM(CO_FINANCIAL)</f>
        <v>0</v>
      </c>
      <c r="I11" s="13"/>
      <c r="J11" s="16"/>
      <c r="L11" s="6">
        <v>25200</v>
      </c>
      <c r="M11" s="1">
        <v>0</v>
      </c>
      <c r="O11" s="1">
        <v>44800</v>
      </c>
      <c r="P11" s="1">
        <v>0</v>
      </c>
      <c r="R11" s="1">
        <v>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65143.531405969239</v>
      </c>
      <c r="C13" s="1">
        <v>251516.24153908808</v>
      </c>
      <c r="D13" s="1">
        <v>0</v>
      </c>
      <c r="E13" s="1">
        <v>0</v>
      </c>
      <c r="F13" s="1">
        <v>0</v>
      </c>
      <c r="G13" s="9">
        <f>SUM(DE_FINANCIAL)</f>
        <v>316659.77294505731</v>
      </c>
      <c r="I13" s="13" t="s">
        <v>22</v>
      </c>
      <c r="J13" s="16">
        <v>0</v>
      </c>
      <c r="L13" s="6">
        <v>209250</v>
      </c>
      <c r="M13" s="1">
        <v>0</v>
      </c>
      <c r="O13" s="1">
        <v>627750</v>
      </c>
      <c r="P13" s="1">
        <v>0</v>
      </c>
      <c r="R13" s="1">
        <v>0</v>
      </c>
      <c r="S13" s="1">
        <v>0</v>
      </c>
      <c r="U13" s="1">
        <v>0</v>
      </c>
      <c r="V13" s="9">
        <v>0</v>
      </c>
    </row>
    <row r="14" spans="1:22">
      <c r="A14" s="1" t="s">
        <v>23</v>
      </c>
      <c r="B14" s="6">
        <v>0</v>
      </c>
      <c r="C14" s="1">
        <v>0</v>
      </c>
      <c r="D14" s="1">
        <v>0</v>
      </c>
      <c r="E14" s="1">
        <v>0</v>
      </c>
      <c r="F14" s="1">
        <v>0</v>
      </c>
      <c r="G14" s="9">
        <f>SUM(DC_FINANCIAL)</f>
        <v>0</v>
      </c>
      <c r="I14" s="13" t="s">
        <v>24</v>
      </c>
      <c r="J14" s="16">
        <v>0</v>
      </c>
      <c r="L14" s="6"/>
      <c r="V14" s="9"/>
    </row>
    <row r="15" spans="1:22">
      <c r="A15" s="1" t="s">
        <v>25</v>
      </c>
      <c r="B15" s="6">
        <v>5387870.8912255764</v>
      </c>
      <c r="C15" s="1">
        <v>12421305.022911783</v>
      </c>
      <c r="D15" s="1">
        <v>0</v>
      </c>
      <c r="E15" s="1">
        <v>0</v>
      </c>
      <c r="F15" s="1">
        <v>0</v>
      </c>
      <c r="G15" s="9">
        <f>SUM(FL_FINANCIAL)</f>
        <v>17809175.91413736</v>
      </c>
      <c r="I15" s="13" t="s">
        <v>26</v>
      </c>
      <c r="J15" s="16">
        <v>4528663.84</v>
      </c>
      <c r="L15" s="6">
        <v>13095654</v>
      </c>
      <c r="M15" s="1">
        <v>0</v>
      </c>
      <c r="O15" s="1">
        <v>26446748</v>
      </c>
      <c r="P15" s="1">
        <v>0</v>
      </c>
      <c r="R15" s="1">
        <v>0</v>
      </c>
      <c r="S15" s="1">
        <v>0</v>
      </c>
      <c r="U15" s="1">
        <v>0</v>
      </c>
      <c r="V15" s="9">
        <v>0</v>
      </c>
    </row>
    <row r="16" spans="1:22">
      <c r="A16" s="1" t="s">
        <v>27</v>
      </c>
      <c r="B16" s="6">
        <v>319703.32180823694</v>
      </c>
      <c r="C16" s="1">
        <v>1218938.8393791202</v>
      </c>
      <c r="D16" s="1">
        <v>0</v>
      </c>
      <c r="E16" s="1">
        <v>0</v>
      </c>
      <c r="F16" s="1">
        <v>0</v>
      </c>
      <c r="G16" s="9">
        <f>SUM(GA_FINANCIAL)</f>
        <v>1538642.161187357</v>
      </c>
      <c r="I16" s="13" t="s">
        <v>28</v>
      </c>
      <c r="J16" s="16">
        <v>0</v>
      </c>
      <c r="L16" s="6">
        <v>1064376</v>
      </c>
      <c r="M16" s="1">
        <v>0</v>
      </c>
      <c r="O16" s="1">
        <v>3444406</v>
      </c>
      <c r="P16" s="1">
        <v>63866.17</v>
      </c>
      <c r="R16" s="1">
        <v>0</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59490.89517713547</v>
      </c>
      <c r="C18" s="1">
        <v>441401.38587868289</v>
      </c>
      <c r="D18" s="1">
        <v>0</v>
      </c>
      <c r="E18" s="1">
        <v>0</v>
      </c>
      <c r="F18" s="1">
        <v>0</v>
      </c>
      <c r="G18" s="9">
        <f>SUM(ID_FINANCIAL)</f>
        <v>500892.28105581837</v>
      </c>
      <c r="I18" s="13" t="s">
        <v>31</v>
      </c>
      <c r="J18" s="16"/>
      <c r="L18" s="6">
        <v>143772</v>
      </c>
      <c r="M18" s="1">
        <v>0</v>
      </c>
      <c r="O18" s="1">
        <v>1411228</v>
      </c>
      <c r="P18" s="1">
        <v>0</v>
      </c>
      <c r="R18" s="1">
        <v>0</v>
      </c>
      <c r="S18" s="1">
        <v>0</v>
      </c>
      <c r="U18" s="1">
        <v>0</v>
      </c>
      <c r="V18" s="9">
        <v>0</v>
      </c>
    </row>
    <row r="19" spans="1:22">
      <c r="A19" s="1" t="s">
        <v>32</v>
      </c>
      <c r="B19" s="6">
        <v>2415353.0017093299</v>
      </c>
      <c r="C19" s="1">
        <v>7985166.7475485476</v>
      </c>
      <c r="D19" s="1">
        <v>0</v>
      </c>
      <c r="E19" s="1">
        <v>0</v>
      </c>
      <c r="F19" s="1">
        <v>0</v>
      </c>
      <c r="G19" s="9">
        <f>SUM(IL_FINANCIAL)</f>
        <v>10400519.749257877</v>
      </c>
      <c r="I19" s="13" t="s">
        <v>33</v>
      </c>
      <c r="J19" s="16">
        <v>269312048.69789904</v>
      </c>
      <c r="L19" s="6">
        <v>6250000</v>
      </c>
      <c r="M19" s="1">
        <v>2700000</v>
      </c>
      <c r="O19" s="1">
        <v>22000000</v>
      </c>
      <c r="P19" s="1">
        <v>9150000</v>
      </c>
      <c r="R19" s="1">
        <v>0</v>
      </c>
      <c r="S19" s="1">
        <v>0</v>
      </c>
      <c r="U19" s="1">
        <v>0</v>
      </c>
      <c r="V19" s="9">
        <v>0</v>
      </c>
    </row>
    <row r="20" spans="1:22">
      <c r="A20" s="1" t="s">
        <v>34</v>
      </c>
      <c r="B20" s="6">
        <v>1450302.762379685</v>
      </c>
      <c r="C20" s="1">
        <v>3965073.3059242512</v>
      </c>
      <c r="D20" s="1">
        <v>0</v>
      </c>
      <c r="E20" s="1">
        <v>0</v>
      </c>
      <c r="F20" s="1">
        <v>0</v>
      </c>
      <c r="G20" s="9">
        <f>SUM(IN_FINANCIAL)</f>
        <v>5415376.0683039362</v>
      </c>
      <c r="I20" s="13" t="s">
        <v>35</v>
      </c>
      <c r="J20" s="16">
        <v>151440725.99999994</v>
      </c>
      <c r="L20" s="6">
        <v>1400894</v>
      </c>
      <c r="M20" s="1">
        <v>0</v>
      </c>
      <c r="O20" s="1">
        <v>2499899</v>
      </c>
      <c r="P20" s="1">
        <v>0</v>
      </c>
      <c r="R20" s="1">
        <v>0</v>
      </c>
      <c r="S20" s="1">
        <v>0</v>
      </c>
      <c r="U20" s="1">
        <v>0</v>
      </c>
      <c r="V20" s="9">
        <v>0</v>
      </c>
    </row>
    <row r="21" spans="1:22">
      <c r="A21" s="1" t="s">
        <v>36</v>
      </c>
      <c r="B21" s="6">
        <v>1361922.2202963415</v>
      </c>
      <c r="C21" s="1">
        <v>2753599.2609393038</v>
      </c>
      <c r="D21" s="1">
        <v>0</v>
      </c>
      <c r="E21" s="1">
        <v>0</v>
      </c>
      <c r="F21" s="1">
        <v>0</v>
      </c>
      <c r="G21" s="9">
        <f>SUM(IA_FINANCIAL)</f>
        <v>4115521.4812356452</v>
      </c>
      <c r="I21" s="13" t="s">
        <v>37</v>
      </c>
      <c r="J21" s="16"/>
      <c r="L21" s="6">
        <v>2356028</v>
      </c>
      <c r="M21" s="1">
        <v>0</v>
      </c>
      <c r="O21" s="1">
        <v>6511318</v>
      </c>
      <c r="P21" s="1">
        <v>0</v>
      </c>
      <c r="R21" s="1">
        <v>0</v>
      </c>
      <c r="S21" s="1">
        <v>0</v>
      </c>
      <c r="U21" s="1">
        <v>0</v>
      </c>
      <c r="V21" s="9">
        <v>0</v>
      </c>
    </row>
    <row r="22" spans="1:22">
      <c r="A22" s="1" t="s">
        <v>38</v>
      </c>
      <c r="B22" s="6">
        <v>375478.51399132743</v>
      </c>
      <c r="C22" s="1">
        <v>1585216.3079579091</v>
      </c>
      <c r="D22" s="1">
        <v>0</v>
      </c>
      <c r="E22" s="1">
        <v>0</v>
      </c>
      <c r="F22" s="1">
        <v>0</v>
      </c>
      <c r="G22" s="9">
        <f>SUM(KS_FINANCIAL)</f>
        <v>1960694.8219492366</v>
      </c>
      <c r="I22" s="13" t="s">
        <v>39</v>
      </c>
      <c r="J22" s="16">
        <v>0</v>
      </c>
      <c r="L22" s="6">
        <v>675000</v>
      </c>
      <c r="M22" s="1">
        <v>0</v>
      </c>
      <c r="O22" s="1">
        <v>2950000</v>
      </c>
      <c r="P22" s="1">
        <v>0</v>
      </c>
      <c r="R22" s="1">
        <v>0</v>
      </c>
      <c r="S22" s="1">
        <v>0</v>
      </c>
      <c r="U22" s="1">
        <v>0</v>
      </c>
      <c r="V22" s="9">
        <v>0</v>
      </c>
    </row>
    <row r="23" spans="1:22">
      <c r="A23" s="1" t="s">
        <v>40</v>
      </c>
      <c r="B23" s="6">
        <v>255200.61338167102</v>
      </c>
      <c r="C23" s="1">
        <v>810062.85600879905</v>
      </c>
      <c r="D23" s="1">
        <v>0</v>
      </c>
      <c r="E23" s="1">
        <v>0</v>
      </c>
      <c r="F23" s="1">
        <v>0</v>
      </c>
      <c r="G23" s="9">
        <f>SUM(KY_FINANCIAL)</f>
        <v>1065263.4693904701</v>
      </c>
      <c r="I23" s="13" t="s">
        <v>41</v>
      </c>
      <c r="J23" s="16"/>
      <c r="L23" s="6">
        <v>734080</v>
      </c>
      <c r="M23" s="1">
        <v>230086.07</v>
      </c>
      <c r="O23" s="1">
        <v>2171198</v>
      </c>
      <c r="P23" s="1">
        <v>636093.96</v>
      </c>
      <c r="R23" s="1">
        <v>0</v>
      </c>
      <c r="S23" s="1">
        <v>0</v>
      </c>
      <c r="U23" s="1">
        <v>0</v>
      </c>
      <c r="V23" s="9">
        <v>0</v>
      </c>
    </row>
    <row r="24" spans="1:22">
      <c r="A24" s="1" t="s">
        <v>42</v>
      </c>
      <c r="B24" s="6">
        <v>0</v>
      </c>
      <c r="C24" s="1">
        <v>0</v>
      </c>
      <c r="D24" s="1">
        <v>0</v>
      </c>
      <c r="E24" s="1">
        <v>0</v>
      </c>
      <c r="F24" s="1">
        <v>0</v>
      </c>
      <c r="G24" s="9">
        <f>SUM(LA_FINANCIAL)</f>
        <v>0</v>
      </c>
      <c r="I24" s="13" t="s">
        <v>43</v>
      </c>
      <c r="J24" s="16">
        <v>76974408.000000015</v>
      </c>
      <c r="L24" s="6"/>
      <c r="V24" s="9"/>
    </row>
    <row r="25" spans="1:22">
      <c r="A25" s="1" t="s">
        <v>44</v>
      </c>
      <c r="B25" s="6">
        <v>0</v>
      </c>
      <c r="C25" s="1">
        <v>0</v>
      </c>
      <c r="D25" s="1">
        <v>0</v>
      </c>
      <c r="E25" s="1">
        <v>0</v>
      </c>
      <c r="F25" s="1">
        <v>0</v>
      </c>
      <c r="G25" s="9">
        <f>SUM(ME_FINANCIAL)</f>
        <v>0</v>
      </c>
      <c r="I25" s="13"/>
      <c r="J25" s="16"/>
      <c r="L25" s="6"/>
      <c r="V25" s="9"/>
    </row>
    <row r="26" spans="1:22">
      <c r="A26" s="1" t="s">
        <v>45</v>
      </c>
      <c r="B26" s="6">
        <v>161927.00910954471</v>
      </c>
      <c r="C26" s="1">
        <v>2214755.6330319764</v>
      </c>
      <c r="D26" s="1">
        <v>0</v>
      </c>
      <c r="E26" s="1">
        <v>0</v>
      </c>
      <c r="F26" s="1">
        <v>0</v>
      </c>
      <c r="G26" s="9">
        <f>SUM(MD_FINANCIAL)</f>
        <v>2376682.642141521</v>
      </c>
      <c r="I26" s="13" t="s">
        <v>46</v>
      </c>
      <c r="J26" s="16">
        <f>SUM(ADD_FINANCIAL)-SUM(LESS_FINANCIAL)</f>
        <v>106918498.54317272</v>
      </c>
      <c r="L26" s="6">
        <v>1031000</v>
      </c>
      <c r="M26" s="1">
        <v>0</v>
      </c>
      <c r="O26" s="1">
        <v>4319000</v>
      </c>
      <c r="P26" s="1">
        <v>0</v>
      </c>
      <c r="R26" s="1">
        <v>0</v>
      </c>
      <c r="S26" s="1">
        <v>0</v>
      </c>
      <c r="U26" s="1">
        <v>0</v>
      </c>
      <c r="V26" s="9">
        <v>0</v>
      </c>
    </row>
    <row r="27" spans="1:22">
      <c r="A27" s="1" t="s">
        <v>47</v>
      </c>
      <c r="B27" s="6">
        <v>62180.539039130716</v>
      </c>
      <c r="C27" s="1">
        <v>2936668.2341901329</v>
      </c>
      <c r="D27" s="1">
        <v>0</v>
      </c>
      <c r="E27" s="1">
        <v>0</v>
      </c>
      <c r="F27" s="1">
        <v>0</v>
      </c>
      <c r="G27" s="9">
        <f>SUM(MA_FINANCIAL)</f>
        <v>2998848.7732292637</v>
      </c>
      <c r="I27" s="13" t="s">
        <v>48</v>
      </c>
      <c r="J27" s="16">
        <f>SUM(ALL_BLOCKS)</f>
        <v>106918498.54317252</v>
      </c>
      <c r="L27" s="6">
        <v>275000</v>
      </c>
      <c r="M27" s="1">
        <v>0</v>
      </c>
      <c r="O27" s="1">
        <v>7235000</v>
      </c>
      <c r="P27" s="1">
        <v>0</v>
      </c>
      <c r="R27" s="1">
        <v>0</v>
      </c>
      <c r="S27" s="1">
        <v>0</v>
      </c>
      <c r="U27" s="1">
        <v>0</v>
      </c>
      <c r="V27" s="9">
        <v>0</v>
      </c>
    </row>
    <row r="28" spans="1:22">
      <c r="A28" s="1" t="s">
        <v>49</v>
      </c>
      <c r="B28" s="6">
        <v>2365003.7186197769</v>
      </c>
      <c r="C28" s="1">
        <v>6750980.4546762602</v>
      </c>
      <c r="D28" s="1">
        <v>0</v>
      </c>
      <c r="E28" s="1">
        <v>0</v>
      </c>
      <c r="F28" s="1">
        <v>0</v>
      </c>
      <c r="G28" s="9">
        <f>SUM(MI_FINANCIAL)</f>
        <v>9115984.1732960381</v>
      </c>
      <c r="I28" s="14"/>
      <c r="J28" s="17"/>
      <c r="L28" s="6">
        <v>5400000</v>
      </c>
      <c r="M28" s="1">
        <v>1980000</v>
      </c>
      <c r="O28" s="1">
        <v>15300000</v>
      </c>
      <c r="P28" s="1">
        <v>3400000</v>
      </c>
      <c r="R28" s="1">
        <v>0</v>
      </c>
      <c r="S28" s="1">
        <v>0</v>
      </c>
      <c r="U28" s="1">
        <v>0</v>
      </c>
      <c r="V28" s="9">
        <v>0</v>
      </c>
    </row>
    <row r="29" spans="1:22">
      <c r="A29" s="1" t="s">
        <v>50</v>
      </c>
      <c r="B29" s="6">
        <v>0</v>
      </c>
      <c r="C29" s="1">
        <v>0</v>
      </c>
      <c r="D29" s="1">
        <v>0</v>
      </c>
      <c r="E29" s="1">
        <v>0</v>
      </c>
      <c r="F29" s="1">
        <v>0</v>
      </c>
      <c r="G29" s="9">
        <f>SUM(MN_FINANCIAL)</f>
        <v>0</v>
      </c>
      <c r="L29" s="6"/>
      <c r="V29" s="9"/>
    </row>
    <row r="30" spans="1:22">
      <c r="A30" s="1" t="s">
        <v>51</v>
      </c>
      <c r="B30" s="6">
        <v>20482.968001481644</v>
      </c>
      <c r="C30" s="1">
        <v>276409.57592633454</v>
      </c>
      <c r="D30" s="1">
        <v>0</v>
      </c>
      <c r="E30" s="1">
        <v>0</v>
      </c>
      <c r="F30" s="1">
        <v>0</v>
      </c>
      <c r="G30" s="9">
        <f>SUM(MS_FINANCIAL)</f>
        <v>296892.54392781621</v>
      </c>
      <c r="L30" s="6">
        <v>134576</v>
      </c>
      <c r="M30" s="1">
        <v>0</v>
      </c>
      <c r="O30" s="1">
        <v>764463</v>
      </c>
      <c r="P30" s="1">
        <v>0</v>
      </c>
      <c r="R30" s="1">
        <v>0</v>
      </c>
      <c r="S30" s="1">
        <v>0</v>
      </c>
      <c r="U30" s="1">
        <v>0</v>
      </c>
      <c r="V30" s="9">
        <v>0</v>
      </c>
    </row>
    <row r="31" spans="1:22">
      <c r="A31" s="1" t="s">
        <v>52</v>
      </c>
      <c r="B31" s="6">
        <v>616997.05379166745</v>
      </c>
      <c r="C31" s="1">
        <v>3737383.0784126734</v>
      </c>
      <c r="D31" s="1">
        <v>0</v>
      </c>
      <c r="E31" s="1">
        <v>0</v>
      </c>
      <c r="F31" s="1">
        <v>0</v>
      </c>
      <c r="G31" s="9">
        <f>SUM(MO_FINANCIAL)</f>
        <v>4354380.1322043408</v>
      </c>
      <c r="L31" s="6">
        <v>1502267</v>
      </c>
      <c r="M31" s="1">
        <v>0</v>
      </c>
      <c r="O31" s="1">
        <v>7950910</v>
      </c>
      <c r="P31" s="1">
        <v>0</v>
      </c>
      <c r="R31" s="1">
        <v>0</v>
      </c>
      <c r="S31" s="1">
        <v>0</v>
      </c>
      <c r="U31" s="1">
        <v>0</v>
      </c>
      <c r="V31" s="9">
        <v>0</v>
      </c>
    </row>
    <row r="32" spans="1:22">
      <c r="A32" s="1" t="s">
        <v>53</v>
      </c>
      <c r="B32" s="6">
        <v>272518.55566572916</v>
      </c>
      <c r="C32" s="1">
        <v>243759.75134740461</v>
      </c>
      <c r="D32" s="1">
        <v>0</v>
      </c>
      <c r="E32" s="1">
        <v>0</v>
      </c>
      <c r="F32" s="1">
        <v>0</v>
      </c>
      <c r="G32" s="9">
        <f>SUM(MT_FINANCIAL)</f>
        <v>516278.30701313377</v>
      </c>
      <c r="L32" s="6">
        <v>1580000</v>
      </c>
      <c r="M32" s="1">
        <v>0</v>
      </c>
      <c r="O32" s="1">
        <v>484000</v>
      </c>
      <c r="P32" s="1">
        <v>0</v>
      </c>
      <c r="R32" s="1">
        <v>0</v>
      </c>
      <c r="S32" s="1">
        <v>0</v>
      </c>
      <c r="U32" s="1">
        <v>0</v>
      </c>
      <c r="V32" s="9">
        <v>0</v>
      </c>
    </row>
    <row r="33" spans="1:22">
      <c r="A33" s="1" t="s">
        <v>54</v>
      </c>
      <c r="B33" s="6">
        <v>451107.50402958377</v>
      </c>
      <c r="C33" s="1">
        <v>1416386.9342632378</v>
      </c>
      <c r="D33" s="1">
        <v>0</v>
      </c>
      <c r="E33" s="1">
        <v>0</v>
      </c>
      <c r="F33" s="1">
        <v>0</v>
      </c>
      <c r="G33" s="9">
        <f>SUM(NE_FINANCIAL)</f>
        <v>1867494.4382928214</v>
      </c>
      <c r="L33" s="6">
        <v>1723246</v>
      </c>
      <c r="M33" s="1">
        <v>0</v>
      </c>
      <c r="O33" s="1">
        <v>3764563</v>
      </c>
      <c r="P33" s="1">
        <v>0</v>
      </c>
      <c r="R33" s="1">
        <v>0</v>
      </c>
      <c r="S33" s="1">
        <v>0</v>
      </c>
      <c r="U33" s="1">
        <v>0</v>
      </c>
      <c r="V33" s="9">
        <v>0</v>
      </c>
    </row>
    <row r="34" spans="1:22">
      <c r="A34" s="1" t="s">
        <v>55</v>
      </c>
      <c r="B34" s="6">
        <v>12504.236970384536</v>
      </c>
      <c r="C34" s="1">
        <v>236950.11251437562</v>
      </c>
      <c r="D34" s="1">
        <v>0</v>
      </c>
      <c r="E34" s="1">
        <v>0</v>
      </c>
      <c r="F34" s="1">
        <v>0</v>
      </c>
      <c r="G34" s="9">
        <f>SUM(NV_FINANCIAL)</f>
        <v>249454.34948476017</v>
      </c>
      <c r="L34" s="6">
        <v>49500</v>
      </c>
      <c r="M34" s="1">
        <v>0</v>
      </c>
      <c r="O34" s="1">
        <v>649800</v>
      </c>
      <c r="P34" s="1">
        <v>0</v>
      </c>
      <c r="R34" s="1">
        <v>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67779.204297679069</v>
      </c>
      <c r="C37" s="1">
        <v>200661.60362091599</v>
      </c>
      <c r="D37" s="1">
        <v>0</v>
      </c>
      <c r="E37" s="1">
        <v>0</v>
      </c>
      <c r="F37" s="1">
        <v>0</v>
      </c>
      <c r="G37" s="9">
        <f>SUM(NM_FINANCIAL)</f>
        <v>268440.80791859503</v>
      </c>
      <c r="L37" s="6">
        <v>100000</v>
      </c>
      <c r="M37" s="1">
        <v>0</v>
      </c>
      <c r="O37" s="1">
        <v>301563</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407017.59443160787</v>
      </c>
      <c r="C39" s="1">
        <v>3042792.1346452148</v>
      </c>
      <c r="D39" s="1">
        <v>0</v>
      </c>
      <c r="E39" s="1">
        <v>0</v>
      </c>
      <c r="F39" s="1">
        <v>0</v>
      </c>
      <c r="G39" s="9">
        <f>SUM(NC_FINANCIAL)</f>
        <v>3449809.7290768228</v>
      </c>
      <c r="L39" s="6">
        <v>1050000</v>
      </c>
      <c r="M39" s="1">
        <v>419000</v>
      </c>
      <c r="O39" s="1">
        <v>7950000</v>
      </c>
      <c r="P39" s="1">
        <v>3181000</v>
      </c>
      <c r="R39" s="1">
        <v>0</v>
      </c>
      <c r="S39" s="1">
        <v>0</v>
      </c>
      <c r="U39" s="1">
        <v>0</v>
      </c>
      <c r="V39" s="9">
        <v>0</v>
      </c>
    </row>
    <row r="40" spans="1:22">
      <c r="A40" s="1" t="s">
        <v>61</v>
      </c>
      <c r="B40" s="6">
        <v>169821.87191423634</v>
      </c>
      <c r="C40" s="1">
        <v>936189.18346218904</v>
      </c>
      <c r="D40" s="1">
        <v>0</v>
      </c>
      <c r="E40" s="1">
        <v>0</v>
      </c>
      <c r="F40" s="1">
        <v>0</v>
      </c>
      <c r="G40" s="9">
        <f>SUM(ND_FINANCIAL)</f>
        <v>1106011.0553764254</v>
      </c>
      <c r="L40" s="6">
        <v>455036</v>
      </c>
      <c r="M40" s="1">
        <v>0</v>
      </c>
      <c r="O40" s="1">
        <v>2567241</v>
      </c>
      <c r="P40" s="1">
        <v>0</v>
      </c>
      <c r="R40" s="1">
        <v>0</v>
      </c>
      <c r="S40" s="1">
        <v>0</v>
      </c>
      <c r="U40" s="1">
        <v>0</v>
      </c>
      <c r="V40" s="9">
        <v>0</v>
      </c>
    </row>
    <row r="41" spans="1:22">
      <c r="A41" s="1" t="s">
        <v>62</v>
      </c>
      <c r="B41" s="6">
        <v>2075791.5449861716</v>
      </c>
      <c r="C41" s="1">
        <v>9028096.4844034836</v>
      </c>
      <c r="D41" s="1">
        <v>0</v>
      </c>
      <c r="E41" s="1">
        <v>0</v>
      </c>
      <c r="F41" s="1">
        <v>0</v>
      </c>
      <c r="G41" s="9">
        <f>SUM(OH_FINANCIAL)</f>
        <v>11103888.029389655</v>
      </c>
      <c r="L41" s="6">
        <v>2865000</v>
      </c>
      <c r="M41" s="1">
        <v>0</v>
      </c>
      <c r="O41" s="1">
        <v>12435000</v>
      </c>
      <c r="P41" s="1">
        <v>0</v>
      </c>
      <c r="R41" s="1">
        <v>0</v>
      </c>
      <c r="S41" s="1">
        <v>0</v>
      </c>
      <c r="U41" s="1">
        <v>0</v>
      </c>
      <c r="V41" s="9">
        <v>0</v>
      </c>
    </row>
    <row r="42" spans="1:22">
      <c r="A42" s="1" t="s">
        <v>63</v>
      </c>
      <c r="B42" s="6">
        <v>797615.4642550518</v>
      </c>
      <c r="C42" s="1">
        <v>775509.01506775385</v>
      </c>
      <c r="D42" s="1">
        <v>0</v>
      </c>
      <c r="E42" s="1">
        <v>0</v>
      </c>
      <c r="F42" s="1">
        <v>0</v>
      </c>
      <c r="G42" s="9">
        <f>SUM(OK_FINANCIAL)</f>
        <v>1573124.4793228055</v>
      </c>
      <c r="L42" s="6">
        <v>2250225</v>
      </c>
      <c r="M42" s="1">
        <v>688600</v>
      </c>
      <c r="O42" s="1">
        <v>1790500</v>
      </c>
      <c r="P42" s="1">
        <v>661400</v>
      </c>
      <c r="R42" s="1">
        <v>0</v>
      </c>
      <c r="S42" s="1">
        <v>0</v>
      </c>
      <c r="U42" s="1">
        <v>0</v>
      </c>
      <c r="V42" s="9">
        <v>0</v>
      </c>
    </row>
    <row r="43" spans="1:22">
      <c r="A43" s="1" t="s">
        <v>64</v>
      </c>
      <c r="B43" s="6">
        <v>253344.26309007689</v>
      </c>
      <c r="C43" s="1">
        <v>877851.67043106339</v>
      </c>
      <c r="D43" s="1">
        <v>0</v>
      </c>
      <c r="E43" s="1">
        <v>0</v>
      </c>
      <c r="F43" s="1">
        <v>0</v>
      </c>
      <c r="G43" s="9">
        <f>SUM(OR_FINANCIAL)</f>
        <v>1131195.9335211404</v>
      </c>
      <c r="L43" s="6">
        <v>269155</v>
      </c>
      <c r="M43" s="1">
        <v>0</v>
      </c>
      <c r="O43" s="1">
        <v>862577</v>
      </c>
      <c r="P43" s="1">
        <v>0</v>
      </c>
      <c r="R43" s="1">
        <v>0</v>
      </c>
      <c r="S43" s="1">
        <v>0</v>
      </c>
      <c r="U43" s="1">
        <v>0</v>
      </c>
      <c r="V43" s="9">
        <v>0</v>
      </c>
    </row>
    <row r="44" spans="1:22">
      <c r="A44" s="1" t="s">
        <v>65</v>
      </c>
      <c r="B44" s="6">
        <v>542682.64774952619</v>
      </c>
      <c r="C44" s="1">
        <v>6566035.4770783912</v>
      </c>
      <c r="D44" s="1">
        <v>0</v>
      </c>
      <c r="E44" s="1">
        <v>0</v>
      </c>
      <c r="F44" s="1">
        <v>0</v>
      </c>
      <c r="G44" s="9">
        <f>SUM(PA_FINANCIAL)</f>
        <v>7108718.1248279177</v>
      </c>
      <c r="L44" s="6">
        <v>9300</v>
      </c>
      <c r="M44" s="1">
        <v>0</v>
      </c>
      <c r="O44" s="1">
        <v>16990700</v>
      </c>
      <c r="P44" s="1">
        <v>0</v>
      </c>
      <c r="R44" s="1">
        <v>0</v>
      </c>
      <c r="S44" s="1">
        <v>0</v>
      </c>
      <c r="U44" s="1">
        <v>0</v>
      </c>
      <c r="V44" s="9">
        <v>0</v>
      </c>
    </row>
    <row r="45" spans="1:22">
      <c r="A45" s="1" t="s">
        <v>66</v>
      </c>
      <c r="B45" s="6">
        <v>0</v>
      </c>
      <c r="C45" s="1">
        <v>141.85763357872119</v>
      </c>
      <c r="D45" s="1">
        <v>0</v>
      </c>
      <c r="E45" s="1">
        <v>0</v>
      </c>
      <c r="F45" s="1">
        <v>0</v>
      </c>
      <c r="G45" s="9">
        <f>SUM(PR_FINANCIAL)</f>
        <v>141.85763357872119</v>
      </c>
      <c r="L45" s="6"/>
      <c r="V45" s="9"/>
    </row>
    <row r="46" spans="1:22">
      <c r="A46" s="1" t="s">
        <v>67</v>
      </c>
      <c r="B46" s="6">
        <v>0</v>
      </c>
      <c r="C46" s="1">
        <v>0</v>
      </c>
      <c r="D46" s="1">
        <v>0</v>
      </c>
      <c r="E46" s="1">
        <v>0</v>
      </c>
      <c r="F46" s="1">
        <v>0</v>
      </c>
      <c r="G46" s="9">
        <f>SUM(RI_FINANCIAL)</f>
        <v>0</v>
      </c>
      <c r="L46" s="6"/>
      <c r="V46" s="9"/>
    </row>
    <row r="47" spans="1:22">
      <c r="A47" s="1" t="s">
        <v>68</v>
      </c>
      <c r="B47" s="6">
        <v>247765.5788093892</v>
      </c>
      <c r="C47" s="1">
        <v>1098313.1309982822</v>
      </c>
      <c r="D47" s="1">
        <v>0</v>
      </c>
      <c r="E47" s="1">
        <v>0</v>
      </c>
      <c r="F47" s="1">
        <v>0</v>
      </c>
      <c r="G47" s="9">
        <f>SUM(SC_FINANCIAL)</f>
        <v>1346078.7098076714</v>
      </c>
      <c r="L47" s="6">
        <v>330000</v>
      </c>
      <c r="M47" s="1">
        <v>0</v>
      </c>
      <c r="O47" s="1">
        <v>2420000</v>
      </c>
      <c r="P47" s="1">
        <v>0</v>
      </c>
      <c r="R47" s="1">
        <v>0</v>
      </c>
      <c r="S47" s="1">
        <v>0</v>
      </c>
      <c r="U47" s="1">
        <v>0</v>
      </c>
      <c r="V47" s="9">
        <v>0</v>
      </c>
    </row>
    <row r="48" spans="1:22">
      <c r="A48" s="1" t="s">
        <v>69</v>
      </c>
      <c r="B48" s="6">
        <v>176359.86316498049</v>
      </c>
      <c r="C48" s="1">
        <v>507813.71549936815</v>
      </c>
      <c r="D48" s="1">
        <v>0</v>
      </c>
      <c r="E48" s="1">
        <v>0</v>
      </c>
      <c r="F48" s="1">
        <v>0</v>
      </c>
      <c r="G48" s="9">
        <f>SUM(SD_FINANCIAL)</f>
        <v>684173.57866434869</v>
      </c>
      <c r="L48" s="6">
        <v>1157792</v>
      </c>
      <c r="M48" s="1">
        <v>958991</v>
      </c>
      <c r="O48" s="1">
        <v>2614740</v>
      </c>
      <c r="P48" s="1">
        <v>1767139</v>
      </c>
      <c r="R48" s="1">
        <v>0</v>
      </c>
      <c r="S48" s="1">
        <v>0</v>
      </c>
      <c r="U48" s="1">
        <v>0</v>
      </c>
      <c r="V48" s="9">
        <v>0</v>
      </c>
    </row>
    <row r="49" spans="1:22">
      <c r="A49" s="1" t="s">
        <v>70</v>
      </c>
      <c r="B49" s="6">
        <v>492716.06738521717</v>
      </c>
      <c r="C49" s="1">
        <v>828103.61743381142</v>
      </c>
      <c r="D49" s="1">
        <v>0</v>
      </c>
      <c r="E49" s="1">
        <v>0</v>
      </c>
      <c r="F49" s="1">
        <v>0</v>
      </c>
      <c r="G49" s="9">
        <f>SUM(TN_FINANCIAL)</f>
        <v>1320819.6848190287</v>
      </c>
      <c r="L49" s="6">
        <v>565000</v>
      </c>
      <c r="M49" s="1">
        <v>0</v>
      </c>
      <c r="O49" s="1">
        <v>935000</v>
      </c>
      <c r="P49" s="1">
        <v>0</v>
      </c>
      <c r="R49" s="1">
        <v>0</v>
      </c>
      <c r="S49" s="1">
        <v>0</v>
      </c>
      <c r="U49" s="1">
        <v>0</v>
      </c>
      <c r="V49" s="9">
        <v>0</v>
      </c>
    </row>
    <row r="50" spans="1:22">
      <c r="A50" s="1" t="s">
        <v>71</v>
      </c>
      <c r="B50" s="6">
        <v>420520.16881562513</v>
      </c>
      <c r="C50" s="1">
        <v>3650533.3617431279</v>
      </c>
      <c r="D50" s="1">
        <v>0</v>
      </c>
      <c r="E50" s="1">
        <v>0</v>
      </c>
      <c r="F50" s="1">
        <v>0</v>
      </c>
      <c r="G50" s="9">
        <f>SUM(TX_FINANCIAL)</f>
        <v>4071053.5305587528</v>
      </c>
      <c r="L50" s="6">
        <v>9411167</v>
      </c>
      <c r="M50" s="1">
        <v>2959943</v>
      </c>
      <c r="O50" s="1">
        <v>0</v>
      </c>
      <c r="P50" s="1">
        <v>0</v>
      </c>
      <c r="R50" s="1">
        <v>0</v>
      </c>
      <c r="S50" s="1">
        <v>0</v>
      </c>
      <c r="U50" s="1">
        <v>0</v>
      </c>
      <c r="V50" s="9">
        <v>0</v>
      </c>
    </row>
    <row r="51" spans="1:22">
      <c r="A51" s="1" t="s">
        <v>72</v>
      </c>
      <c r="B51" s="6">
        <v>103730.45670479917</v>
      </c>
      <c r="C51" s="1">
        <v>508049.51038383163</v>
      </c>
      <c r="D51" s="1">
        <v>0</v>
      </c>
      <c r="E51" s="1">
        <v>0</v>
      </c>
      <c r="F51" s="1">
        <v>0</v>
      </c>
      <c r="G51" s="9">
        <f>SUM(UT_FINANCIAL)</f>
        <v>611779.96708863077</v>
      </c>
      <c r="L51" s="6">
        <v>275261</v>
      </c>
      <c r="M51" s="1">
        <v>0</v>
      </c>
      <c r="O51" s="1">
        <v>1349739</v>
      </c>
      <c r="P51" s="1">
        <v>0</v>
      </c>
      <c r="R51" s="1">
        <v>0</v>
      </c>
      <c r="S51" s="1">
        <v>0</v>
      </c>
      <c r="U51" s="1">
        <v>0</v>
      </c>
      <c r="V51" s="9">
        <v>0</v>
      </c>
    </row>
    <row r="52" spans="1:22">
      <c r="A52" s="1" t="s">
        <v>73</v>
      </c>
      <c r="B52" s="6">
        <v>2143.8975473838323</v>
      </c>
      <c r="C52" s="1">
        <v>130688.41893793803</v>
      </c>
      <c r="D52" s="1">
        <v>0</v>
      </c>
      <c r="E52" s="1">
        <v>0</v>
      </c>
      <c r="F52" s="1">
        <v>0</v>
      </c>
      <c r="G52" s="9">
        <f>SUM(VT_FINANCIAL)</f>
        <v>132832.31648532185</v>
      </c>
      <c r="L52" s="6">
        <v>4000</v>
      </c>
      <c r="M52" s="1">
        <v>0</v>
      </c>
      <c r="O52" s="1">
        <v>265000</v>
      </c>
      <c r="P52" s="1">
        <v>0</v>
      </c>
      <c r="R52" s="1">
        <v>0</v>
      </c>
      <c r="S52" s="1">
        <v>0</v>
      </c>
      <c r="U52" s="1">
        <v>0</v>
      </c>
      <c r="V52" s="9">
        <v>0</v>
      </c>
    </row>
    <row r="53" spans="1:22">
      <c r="A53" s="1" t="s">
        <v>74</v>
      </c>
      <c r="B53" s="6">
        <v>133251.06453012535</v>
      </c>
      <c r="C53" s="1">
        <v>2822861.8015290373</v>
      </c>
      <c r="D53" s="1">
        <v>0</v>
      </c>
      <c r="E53" s="1">
        <v>0</v>
      </c>
      <c r="F53" s="1">
        <v>0</v>
      </c>
      <c r="G53" s="9">
        <f>SUM(VA_FINANCIAL)</f>
        <v>2956112.8660591627</v>
      </c>
      <c r="L53" s="6">
        <v>333529</v>
      </c>
      <c r="M53" s="1">
        <v>0</v>
      </c>
      <c r="O53" s="1">
        <v>7336036</v>
      </c>
      <c r="P53" s="1">
        <v>0</v>
      </c>
      <c r="R53" s="1">
        <v>0</v>
      </c>
      <c r="S53" s="1">
        <v>0</v>
      </c>
      <c r="U53" s="1">
        <v>0</v>
      </c>
      <c r="V53" s="9">
        <v>0</v>
      </c>
    </row>
    <row r="54" spans="1:22">
      <c r="A54" s="1" t="s">
        <v>75</v>
      </c>
      <c r="B54" s="6">
        <v>503923.92174825212</v>
      </c>
      <c r="C54" s="1">
        <v>1077792.4240436777</v>
      </c>
      <c r="D54" s="1">
        <v>0</v>
      </c>
      <c r="E54" s="1">
        <v>0</v>
      </c>
      <c r="F54" s="1">
        <v>0</v>
      </c>
      <c r="G54" s="9">
        <f>SUM(WA_FINANCIAL)</f>
        <v>1581716.3457919299</v>
      </c>
      <c r="L54" s="6">
        <v>688258</v>
      </c>
      <c r="M54" s="1">
        <v>0</v>
      </c>
      <c r="O54" s="1">
        <v>2020070</v>
      </c>
      <c r="P54" s="1">
        <v>0</v>
      </c>
      <c r="R54" s="1">
        <v>0</v>
      </c>
      <c r="S54" s="1">
        <v>0</v>
      </c>
      <c r="U54" s="1">
        <v>0</v>
      </c>
      <c r="V54" s="9">
        <v>0</v>
      </c>
    </row>
    <row r="55" spans="1:22">
      <c r="A55" s="1" t="s">
        <v>76</v>
      </c>
      <c r="B55" s="6">
        <v>27338.439468243403</v>
      </c>
      <c r="C55" s="1">
        <v>191319.52664502055</v>
      </c>
      <c r="D55" s="1">
        <v>0</v>
      </c>
      <c r="E55" s="1">
        <v>0</v>
      </c>
      <c r="F55" s="1">
        <v>0</v>
      </c>
      <c r="G55" s="9">
        <f>SUM(WV_FINANCIAL)</f>
        <v>218657.96611326394</v>
      </c>
      <c r="L55" s="6">
        <v>109516</v>
      </c>
      <c r="M55" s="1">
        <v>2286</v>
      </c>
      <c r="O55" s="1">
        <v>575004</v>
      </c>
      <c r="P55" s="1">
        <v>342380</v>
      </c>
      <c r="R55" s="1">
        <v>0</v>
      </c>
      <c r="S55" s="1">
        <v>0</v>
      </c>
      <c r="U55" s="1">
        <v>0</v>
      </c>
      <c r="V55" s="9">
        <v>0</v>
      </c>
    </row>
    <row r="56" spans="1:22">
      <c r="A56" s="1" t="s">
        <v>77</v>
      </c>
      <c r="B56" s="6">
        <v>112021.52761273389</v>
      </c>
      <c r="C56" s="1">
        <v>519862.69203819637</v>
      </c>
      <c r="D56" s="1">
        <v>0</v>
      </c>
      <c r="E56" s="1">
        <v>0</v>
      </c>
      <c r="F56" s="1">
        <v>0</v>
      </c>
      <c r="G56" s="9">
        <f>SUM(WI_FINANCIAL)</f>
        <v>631884.21965093026</v>
      </c>
      <c r="L56" s="6">
        <v>300000</v>
      </c>
      <c r="M56" s="1">
        <v>0</v>
      </c>
      <c r="O56" s="1">
        <v>1500000</v>
      </c>
      <c r="P56" s="1">
        <v>0</v>
      </c>
      <c r="R56" s="1">
        <v>0</v>
      </c>
      <c r="S56" s="1">
        <v>0</v>
      </c>
      <c r="U56" s="1">
        <v>0</v>
      </c>
      <c r="V56" s="9">
        <v>0</v>
      </c>
    </row>
    <row r="57" spans="1:22">
      <c r="A57" s="1" t="s">
        <v>78</v>
      </c>
      <c r="B57" s="6">
        <v>74797.541491005686</v>
      </c>
      <c r="C57" s="1">
        <v>104031.483712118</v>
      </c>
      <c r="D57" s="1">
        <v>0</v>
      </c>
      <c r="E57" s="1">
        <v>0</v>
      </c>
      <c r="F57" s="1">
        <v>0</v>
      </c>
      <c r="G57" s="9">
        <f>SUM(WY_FINANCIAL)</f>
        <v>178829.02520312369</v>
      </c>
      <c r="L57" s="6">
        <v>132853</v>
      </c>
      <c r="M57" s="1">
        <v>61385</v>
      </c>
      <c r="O57" s="1">
        <v>189719</v>
      </c>
      <c r="P57" s="1">
        <v>88336</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22786368.360161234</v>
      </c>
      <c r="C60" s="1">
        <f>SUM(ALLOCATED)</f>
        <v>84132130.183011338</v>
      </c>
      <c r="D60" s="1">
        <f>SUM(HEALTH)</f>
        <v>0</v>
      </c>
      <c r="E60" s="1">
        <f>SUM(UNALLOCATED)</f>
        <v>0</v>
      </c>
      <c r="F60" s="1">
        <f>SUM(LTC)</f>
        <v>0</v>
      </c>
      <c r="G60" s="9">
        <f>SUM(ALL_BLOCKS)</f>
        <v>106918498.54317252</v>
      </c>
      <c r="L60" s="6">
        <f>SUM(LIFE_CALLED)</f>
        <v>60125731</v>
      </c>
      <c r="M60" s="1">
        <f>SUM(LIFE_REFUNDED)</f>
        <v>10014471.07</v>
      </c>
      <c r="O60" s="1">
        <f>SUM(ALLOC_CALLED)</f>
        <v>175491859</v>
      </c>
      <c r="P60" s="1">
        <f>SUM(ALLOC_REFUNDED)</f>
        <v>19412205.129999999</v>
      </c>
      <c r="R60" s="1">
        <f>SUM(HEALTH_CALLED)</f>
        <v>0</v>
      </c>
      <c r="S60" s="1">
        <f>SUM(HEALTH_REFUNDED)</f>
        <v>0</v>
      </c>
      <c r="U60" s="1">
        <f>SUM(UNALLOC_CALLED)</f>
        <v>2000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128</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17363916</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9165</v>
      </c>
      <c r="E12" s="1">
        <v>0</v>
      </c>
      <c r="F12" s="1">
        <v>0</v>
      </c>
      <c r="G12" s="9">
        <f>SUM(CT_FINANCIAL)</f>
        <v>9165</v>
      </c>
      <c r="I12" s="13" t="s">
        <v>20</v>
      </c>
      <c r="J12" s="16"/>
      <c r="L12" s="6">
        <v>0</v>
      </c>
      <c r="M12" s="1">
        <v>0</v>
      </c>
      <c r="O12" s="1">
        <v>0</v>
      </c>
      <c r="P12" s="1">
        <v>0</v>
      </c>
      <c r="R12" s="1">
        <v>20000000</v>
      </c>
      <c r="S12" s="1">
        <v>0</v>
      </c>
      <c r="U12" s="1">
        <v>0</v>
      </c>
      <c r="V12" s="9">
        <v>0</v>
      </c>
    </row>
    <row r="13" spans="1:22">
      <c r="A13" s="1" t="s">
        <v>21</v>
      </c>
      <c r="B13" s="6">
        <v>0</v>
      </c>
      <c r="C13" s="1">
        <v>0</v>
      </c>
      <c r="D13" s="1">
        <v>0</v>
      </c>
      <c r="E13" s="1">
        <v>0</v>
      </c>
      <c r="F13" s="1">
        <v>0</v>
      </c>
      <c r="G13" s="9">
        <f>SUM(DE_FINANCIAL)</f>
        <v>0</v>
      </c>
      <c r="I13" s="13" t="s">
        <v>22</v>
      </c>
      <c r="J13" s="16">
        <v>17525761</v>
      </c>
      <c r="L13" s="6"/>
      <c r="V13" s="9"/>
    </row>
    <row r="14" spans="1:22">
      <c r="A14" s="1" t="s">
        <v>23</v>
      </c>
      <c r="B14" s="6">
        <v>0</v>
      </c>
      <c r="C14" s="1">
        <v>0</v>
      </c>
      <c r="D14" s="1">
        <v>0</v>
      </c>
      <c r="E14" s="1">
        <v>0</v>
      </c>
      <c r="F14" s="1">
        <v>0</v>
      </c>
      <c r="G14" s="9">
        <f>SUM(DC_FINANCIAL)</f>
        <v>0</v>
      </c>
      <c r="I14" s="13" t="s">
        <v>24</v>
      </c>
      <c r="J14" s="16">
        <v>385475</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17363916</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17902071</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9165</v>
      </c>
      <c r="L26" s="6"/>
      <c r="V26" s="9"/>
    </row>
    <row r="27" spans="1:22">
      <c r="A27" s="1" t="s">
        <v>47</v>
      </c>
      <c r="B27" s="6">
        <v>0</v>
      </c>
      <c r="C27" s="1">
        <v>0</v>
      </c>
      <c r="D27" s="1">
        <v>0</v>
      </c>
      <c r="E27" s="1">
        <v>0</v>
      </c>
      <c r="F27" s="1">
        <v>0</v>
      </c>
      <c r="G27" s="9">
        <f>SUM(MA_FINANCIAL)</f>
        <v>0</v>
      </c>
      <c r="I27" s="13" t="s">
        <v>48</v>
      </c>
      <c r="J27" s="16">
        <f>SUM(ALL_BLOCKS)</f>
        <v>9165</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9165</v>
      </c>
      <c r="E60" s="1">
        <f>SUM(UNALLOCATED)</f>
        <v>0</v>
      </c>
      <c r="F60" s="1">
        <f>SUM(LTC)</f>
        <v>0</v>
      </c>
      <c r="G60" s="9">
        <f>SUM(ALL_BLOCKS)</f>
        <v>9165</v>
      </c>
      <c r="L60" s="6">
        <f>SUM(LIFE_CALLED)</f>
        <v>0</v>
      </c>
      <c r="M60" s="1">
        <f>SUM(LIFE_REFUNDED)</f>
        <v>0</v>
      </c>
      <c r="O60" s="1">
        <f>SUM(ALLOC_CALLED)</f>
        <v>0</v>
      </c>
      <c r="P60" s="1">
        <f>SUM(ALLOC_REFUNDED)</f>
        <v>0</v>
      </c>
      <c r="R60" s="1">
        <f>SUM(HEALTH_CALLED)</f>
        <v>20000000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84</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695387.70500532654</v>
      </c>
      <c r="E6" s="1">
        <v>0</v>
      </c>
      <c r="F6" s="1">
        <v>0</v>
      </c>
      <c r="G6" s="9">
        <f>SUM(AL_FINANCIAL)</f>
        <v>695387.70500532654</v>
      </c>
      <c r="L6" s="6">
        <v>0</v>
      </c>
      <c r="M6" s="1">
        <v>0</v>
      </c>
      <c r="O6" s="1">
        <v>0</v>
      </c>
      <c r="P6" s="1">
        <v>0</v>
      </c>
      <c r="R6" s="1">
        <v>1008000</v>
      </c>
      <c r="S6" s="1">
        <v>0</v>
      </c>
      <c r="U6" s="1">
        <v>0</v>
      </c>
      <c r="V6" s="9">
        <v>0</v>
      </c>
    </row>
    <row r="7" spans="1:22">
      <c r="A7" s="1" t="s">
        <v>12</v>
      </c>
      <c r="B7" s="6">
        <v>0</v>
      </c>
      <c r="C7" s="1">
        <v>0</v>
      </c>
      <c r="D7" s="1">
        <v>5923.6025289548452</v>
      </c>
      <c r="E7" s="1">
        <v>0</v>
      </c>
      <c r="F7" s="1">
        <v>0</v>
      </c>
      <c r="G7" s="9">
        <f>SUM(AK_FINANCIAL)</f>
        <v>5923.6025289548452</v>
      </c>
      <c r="I7" s="12"/>
      <c r="J7" s="15"/>
      <c r="L7" s="6">
        <v>9517</v>
      </c>
      <c r="M7" s="1">
        <v>0</v>
      </c>
      <c r="O7" s="1">
        <v>0</v>
      </c>
      <c r="P7" s="1">
        <v>0</v>
      </c>
      <c r="R7" s="1">
        <v>20000</v>
      </c>
      <c r="S7" s="1">
        <v>20000</v>
      </c>
      <c r="U7" s="1">
        <v>0</v>
      </c>
      <c r="V7" s="9">
        <v>0</v>
      </c>
    </row>
    <row r="8" spans="1:22">
      <c r="A8" s="1" t="s">
        <v>13</v>
      </c>
      <c r="B8" s="6">
        <v>0</v>
      </c>
      <c r="C8" s="1">
        <v>0</v>
      </c>
      <c r="D8" s="1">
        <v>668556.1467076079</v>
      </c>
      <c r="E8" s="1">
        <v>0</v>
      </c>
      <c r="F8" s="1">
        <v>0</v>
      </c>
      <c r="G8" s="9">
        <f>SUM(AZ_FINANCIAL)</f>
        <v>668556.1467076079</v>
      </c>
      <c r="I8" s="13" t="s">
        <v>14</v>
      </c>
      <c r="J8" s="16"/>
      <c r="L8" s="6">
        <v>0</v>
      </c>
      <c r="M8" s="1">
        <v>0</v>
      </c>
      <c r="O8" s="1">
        <v>0</v>
      </c>
      <c r="P8" s="1">
        <v>0</v>
      </c>
      <c r="R8" s="1">
        <v>1323320</v>
      </c>
      <c r="S8" s="1">
        <v>0</v>
      </c>
      <c r="U8" s="1">
        <v>0</v>
      </c>
      <c r="V8" s="9">
        <v>0</v>
      </c>
    </row>
    <row r="9" spans="1:22">
      <c r="A9" s="1" t="s">
        <v>15</v>
      </c>
      <c r="B9" s="6">
        <v>0</v>
      </c>
      <c r="C9" s="1">
        <v>0</v>
      </c>
      <c r="D9" s="1">
        <v>105925.44597516643</v>
      </c>
      <c r="E9" s="1">
        <v>0</v>
      </c>
      <c r="F9" s="1">
        <v>0</v>
      </c>
      <c r="G9" s="9">
        <f>SUM(AR_FINANCIAL)</f>
        <v>105925.44597516643</v>
      </c>
      <c r="I9" s="13"/>
      <c r="J9" s="16"/>
      <c r="L9" s="6">
        <v>0</v>
      </c>
      <c r="M9" s="1">
        <v>0</v>
      </c>
      <c r="O9" s="1">
        <v>0</v>
      </c>
      <c r="P9" s="1">
        <v>0</v>
      </c>
      <c r="R9" s="1">
        <v>335216</v>
      </c>
      <c r="S9" s="1">
        <v>0</v>
      </c>
      <c r="U9" s="1">
        <v>0</v>
      </c>
      <c r="V9" s="9">
        <v>0</v>
      </c>
    </row>
    <row r="10" spans="1:22">
      <c r="A10" s="1" t="s">
        <v>16</v>
      </c>
      <c r="B10" s="6">
        <v>0</v>
      </c>
      <c r="C10" s="1">
        <v>0</v>
      </c>
      <c r="D10" s="1">
        <v>3879887.0449922271</v>
      </c>
      <c r="E10" s="1">
        <v>0</v>
      </c>
      <c r="F10" s="1">
        <v>0</v>
      </c>
      <c r="G10" s="9">
        <f>SUM(CA_FINANCIAL)</f>
        <v>3879887.0449922271</v>
      </c>
      <c r="I10" s="13" t="s">
        <v>17</v>
      </c>
      <c r="J10" s="16">
        <v>91380543.070000038</v>
      </c>
      <c r="L10" s="6">
        <v>0</v>
      </c>
      <c r="M10" s="1">
        <v>0</v>
      </c>
      <c r="O10" s="1">
        <v>0</v>
      </c>
      <c r="P10" s="1">
        <v>0</v>
      </c>
      <c r="R10" s="1">
        <v>10000000</v>
      </c>
      <c r="S10" s="1">
        <v>5650000</v>
      </c>
      <c r="U10" s="1">
        <v>0</v>
      </c>
      <c r="V10" s="9">
        <v>0</v>
      </c>
    </row>
    <row r="11" spans="1:22">
      <c r="A11" s="1" t="s">
        <v>18</v>
      </c>
      <c r="B11" s="6">
        <v>0</v>
      </c>
      <c r="C11" s="1">
        <v>0</v>
      </c>
      <c r="D11" s="1">
        <v>1427062.6392851444</v>
      </c>
      <c r="E11" s="1">
        <v>0</v>
      </c>
      <c r="F11" s="1">
        <v>0</v>
      </c>
      <c r="G11" s="9">
        <f>SUM(CO_FINANCIAL)</f>
        <v>1427062.6392851444</v>
      </c>
      <c r="I11" s="13"/>
      <c r="J11" s="16"/>
      <c r="L11" s="6">
        <v>0</v>
      </c>
      <c r="M11" s="1">
        <v>0</v>
      </c>
      <c r="O11" s="1">
        <v>0</v>
      </c>
      <c r="P11" s="1">
        <v>0</v>
      </c>
      <c r="R11" s="1">
        <v>2200000</v>
      </c>
      <c r="S11" s="1">
        <v>2356918</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26466.226061845264</v>
      </c>
      <c r="E13" s="1">
        <v>0</v>
      </c>
      <c r="F13" s="1">
        <v>0</v>
      </c>
      <c r="G13" s="9">
        <f>SUM(DE_FINANCIAL)</f>
        <v>26466.226061845264</v>
      </c>
      <c r="I13" s="13" t="s">
        <v>22</v>
      </c>
      <c r="J13" s="16">
        <v>20254758.070000004</v>
      </c>
      <c r="L13" s="6">
        <v>0</v>
      </c>
      <c r="M13" s="1">
        <v>0</v>
      </c>
      <c r="O13" s="1">
        <v>0</v>
      </c>
      <c r="P13" s="1">
        <v>0</v>
      </c>
      <c r="R13" s="1">
        <v>50000</v>
      </c>
      <c r="S13" s="1">
        <v>0</v>
      </c>
      <c r="U13" s="1">
        <v>0</v>
      </c>
      <c r="V13" s="9">
        <v>0</v>
      </c>
    </row>
    <row r="14" spans="1:22">
      <c r="A14" s="1" t="s">
        <v>23</v>
      </c>
      <c r="B14" s="6">
        <v>0</v>
      </c>
      <c r="C14" s="1">
        <v>0</v>
      </c>
      <c r="D14" s="1">
        <v>2674.0296415620005</v>
      </c>
      <c r="E14" s="1">
        <v>0</v>
      </c>
      <c r="F14" s="1">
        <v>0</v>
      </c>
      <c r="G14" s="9">
        <f>SUM(DC_FINANCIAL)</f>
        <v>2674.0296415620005</v>
      </c>
      <c r="I14" s="13" t="s">
        <v>24</v>
      </c>
      <c r="J14" s="16">
        <v>3000034.2600000002</v>
      </c>
      <c r="L14" s="6">
        <v>0</v>
      </c>
      <c r="M14" s="1">
        <v>0</v>
      </c>
      <c r="O14" s="1">
        <v>0</v>
      </c>
      <c r="P14" s="1">
        <v>0</v>
      </c>
      <c r="R14" s="1">
        <v>20000</v>
      </c>
      <c r="S14" s="1">
        <v>15780</v>
      </c>
      <c r="U14" s="1">
        <v>0</v>
      </c>
      <c r="V14" s="9">
        <v>0</v>
      </c>
    </row>
    <row r="15" spans="1:22">
      <c r="A15" s="1" t="s">
        <v>25</v>
      </c>
      <c r="B15" s="6">
        <v>0</v>
      </c>
      <c r="C15" s="1">
        <v>0</v>
      </c>
      <c r="D15" s="1">
        <v>2513409.5087764235</v>
      </c>
      <c r="E15" s="1">
        <v>0</v>
      </c>
      <c r="F15" s="1">
        <v>0</v>
      </c>
      <c r="G15" s="9">
        <f>SUM(FL_FINANCIAL)</f>
        <v>2513409.5087764235</v>
      </c>
      <c r="I15" s="13" t="s">
        <v>26</v>
      </c>
      <c r="J15" s="16">
        <v>1354168.0199999991</v>
      </c>
      <c r="L15" s="6">
        <v>0</v>
      </c>
      <c r="M15" s="1">
        <v>0</v>
      </c>
      <c r="O15" s="1">
        <v>0</v>
      </c>
      <c r="P15" s="1">
        <v>0</v>
      </c>
      <c r="R15" s="1">
        <v>4000000</v>
      </c>
      <c r="S15" s="1">
        <v>0</v>
      </c>
      <c r="U15" s="1">
        <v>0</v>
      </c>
      <c r="V15" s="9">
        <v>0</v>
      </c>
    </row>
    <row r="16" spans="1:22">
      <c r="A16" s="1" t="s">
        <v>27</v>
      </c>
      <c r="B16" s="6">
        <v>0</v>
      </c>
      <c r="C16" s="1">
        <v>0</v>
      </c>
      <c r="D16" s="1">
        <v>403124.40494929696</v>
      </c>
      <c r="E16" s="1">
        <v>0</v>
      </c>
      <c r="F16" s="1">
        <v>0</v>
      </c>
      <c r="G16" s="9">
        <f>SUM(GA_FINANCIAL)</f>
        <v>403124.40494929696</v>
      </c>
      <c r="I16" s="13" t="s">
        <v>28</v>
      </c>
      <c r="J16" s="16">
        <v>0</v>
      </c>
      <c r="L16" s="6">
        <v>0</v>
      </c>
      <c r="M16" s="1">
        <v>0</v>
      </c>
      <c r="O16" s="1">
        <v>0</v>
      </c>
      <c r="P16" s="1">
        <v>0</v>
      </c>
      <c r="R16" s="1">
        <v>400000</v>
      </c>
      <c r="S16" s="1">
        <v>0</v>
      </c>
      <c r="U16" s="1">
        <v>0</v>
      </c>
      <c r="V16" s="9">
        <v>0</v>
      </c>
    </row>
    <row r="17" spans="1:22">
      <c r="A17" s="1" t="s">
        <v>29</v>
      </c>
      <c r="B17" s="6">
        <v>0</v>
      </c>
      <c r="C17" s="1">
        <v>0</v>
      </c>
      <c r="D17" s="1">
        <v>2800.4555484134835</v>
      </c>
      <c r="E17" s="1">
        <v>0</v>
      </c>
      <c r="F17" s="1">
        <v>0</v>
      </c>
      <c r="G17" s="9">
        <f>SUM(HI_FINANCIAL)</f>
        <v>2800.4555484134835</v>
      </c>
      <c r="I17" s="13"/>
      <c r="J17" s="16"/>
      <c r="L17" s="6">
        <v>0</v>
      </c>
      <c r="M17" s="1">
        <v>9780</v>
      </c>
      <c r="O17" s="1">
        <v>0</v>
      </c>
      <c r="P17" s="1">
        <v>0</v>
      </c>
      <c r="R17" s="1">
        <v>27420</v>
      </c>
      <c r="S17" s="1">
        <v>0</v>
      </c>
      <c r="U17" s="1">
        <v>0</v>
      </c>
      <c r="V17" s="9">
        <v>0</v>
      </c>
    </row>
    <row r="18" spans="1:22">
      <c r="A18" s="1" t="s">
        <v>30</v>
      </c>
      <c r="B18" s="6">
        <v>0</v>
      </c>
      <c r="C18" s="1">
        <v>0</v>
      </c>
      <c r="D18" s="1">
        <v>133553.02735693546</v>
      </c>
      <c r="E18" s="1">
        <v>0</v>
      </c>
      <c r="F18" s="1">
        <v>0</v>
      </c>
      <c r="G18" s="9">
        <f>SUM(ID_FINANCIAL)</f>
        <v>133553.02735693546</v>
      </c>
      <c r="I18" s="13" t="s">
        <v>31</v>
      </c>
      <c r="J18" s="16"/>
      <c r="L18" s="6">
        <v>0</v>
      </c>
      <c r="M18" s="1">
        <v>0</v>
      </c>
      <c r="O18" s="1">
        <v>0</v>
      </c>
      <c r="P18" s="1">
        <v>0</v>
      </c>
      <c r="R18" s="1">
        <v>377000</v>
      </c>
      <c r="S18" s="1">
        <v>0</v>
      </c>
      <c r="U18" s="1">
        <v>0</v>
      </c>
      <c r="V18" s="9">
        <v>0</v>
      </c>
    </row>
    <row r="19" spans="1:22">
      <c r="A19" s="1" t="s">
        <v>32</v>
      </c>
      <c r="B19" s="6">
        <v>0</v>
      </c>
      <c r="C19" s="1">
        <v>0</v>
      </c>
      <c r="D19" s="1">
        <v>5457920.8855743799</v>
      </c>
      <c r="E19" s="1">
        <v>0</v>
      </c>
      <c r="F19" s="1">
        <v>0</v>
      </c>
      <c r="G19" s="9">
        <f>SUM(IL_FINANCIAL)</f>
        <v>5457920.8855743799</v>
      </c>
      <c r="I19" s="13" t="s">
        <v>33</v>
      </c>
      <c r="J19" s="16">
        <v>0</v>
      </c>
      <c r="L19" s="6">
        <v>0</v>
      </c>
      <c r="M19" s="1">
        <v>0</v>
      </c>
      <c r="O19" s="1">
        <v>0</v>
      </c>
      <c r="P19" s="1">
        <v>0</v>
      </c>
      <c r="R19" s="1">
        <v>14800000</v>
      </c>
      <c r="S19" s="1">
        <v>9450000</v>
      </c>
      <c r="U19" s="1">
        <v>0</v>
      </c>
      <c r="V19" s="9">
        <v>0</v>
      </c>
    </row>
    <row r="20" spans="1:22">
      <c r="A20" s="1" t="s">
        <v>34</v>
      </c>
      <c r="B20" s="6">
        <v>0</v>
      </c>
      <c r="C20" s="1">
        <v>0</v>
      </c>
      <c r="D20" s="1">
        <v>1016048.3061618884</v>
      </c>
      <c r="E20" s="1">
        <v>0</v>
      </c>
      <c r="F20" s="1">
        <v>0</v>
      </c>
      <c r="G20" s="9">
        <f>SUM(IN_FINANCIAL)</f>
        <v>1016048.3061618884</v>
      </c>
      <c r="I20" s="13" t="s">
        <v>35</v>
      </c>
      <c r="J20" s="16">
        <v>20254758.070000004</v>
      </c>
      <c r="L20" s="6">
        <v>0</v>
      </c>
      <c r="M20" s="1">
        <v>0</v>
      </c>
      <c r="O20" s="1">
        <v>0</v>
      </c>
      <c r="P20" s="1">
        <v>0</v>
      </c>
      <c r="R20" s="1">
        <v>2893631</v>
      </c>
      <c r="S20" s="1">
        <v>0</v>
      </c>
      <c r="U20" s="1">
        <v>0</v>
      </c>
      <c r="V20" s="9">
        <v>0</v>
      </c>
    </row>
    <row r="21" spans="1:22">
      <c r="A21" s="1" t="s">
        <v>36</v>
      </c>
      <c r="B21" s="6">
        <v>0</v>
      </c>
      <c r="C21" s="1">
        <v>0</v>
      </c>
      <c r="D21" s="1">
        <v>454668.30902198842</v>
      </c>
      <c r="E21" s="1">
        <v>0</v>
      </c>
      <c r="F21" s="1">
        <v>0</v>
      </c>
      <c r="G21" s="9">
        <f>SUM(IA_FINANCIAL)</f>
        <v>454668.30902198842</v>
      </c>
      <c r="I21" s="13" t="s">
        <v>37</v>
      </c>
      <c r="J21" s="16"/>
      <c r="L21" s="6">
        <v>0</v>
      </c>
      <c r="M21" s="1">
        <v>0</v>
      </c>
      <c r="O21" s="1">
        <v>0</v>
      </c>
      <c r="P21" s="1">
        <v>0</v>
      </c>
      <c r="R21" s="1">
        <v>1725000</v>
      </c>
      <c r="S21" s="1">
        <v>0</v>
      </c>
      <c r="U21" s="1">
        <v>0</v>
      </c>
      <c r="V21" s="9">
        <v>0</v>
      </c>
    </row>
    <row r="22" spans="1:22">
      <c r="A22" s="1" t="s">
        <v>38</v>
      </c>
      <c r="B22" s="6">
        <v>0</v>
      </c>
      <c r="C22" s="1">
        <v>0</v>
      </c>
      <c r="D22" s="1">
        <v>173319.16661035793</v>
      </c>
      <c r="E22" s="1">
        <v>0</v>
      </c>
      <c r="F22" s="1">
        <v>0</v>
      </c>
      <c r="G22" s="9">
        <f>SUM(KS_FINANCIAL)</f>
        <v>173319.16661035793</v>
      </c>
      <c r="I22" s="13" t="s">
        <v>39</v>
      </c>
      <c r="J22" s="16">
        <v>743000</v>
      </c>
      <c r="L22" s="6">
        <v>0</v>
      </c>
      <c r="M22" s="1">
        <v>0</v>
      </c>
      <c r="O22" s="1">
        <v>0</v>
      </c>
      <c r="P22" s="1">
        <v>0</v>
      </c>
      <c r="R22" s="1">
        <v>500000</v>
      </c>
      <c r="S22" s="1">
        <v>0</v>
      </c>
      <c r="U22" s="1">
        <v>0</v>
      </c>
      <c r="V22" s="9">
        <v>0</v>
      </c>
    </row>
    <row r="23" spans="1:22">
      <c r="A23" s="1" t="s">
        <v>40</v>
      </c>
      <c r="B23" s="6">
        <v>0</v>
      </c>
      <c r="C23" s="1">
        <v>0</v>
      </c>
      <c r="D23" s="1">
        <v>485493.38072546665</v>
      </c>
      <c r="E23" s="1">
        <v>0</v>
      </c>
      <c r="F23" s="1">
        <v>0</v>
      </c>
      <c r="G23" s="9">
        <f>SUM(KY_FINANCIAL)</f>
        <v>485493.38072546665</v>
      </c>
      <c r="I23" s="13" t="s">
        <v>41</v>
      </c>
      <c r="J23" s="16"/>
      <c r="L23" s="6">
        <v>0</v>
      </c>
      <c r="M23" s="1">
        <v>0</v>
      </c>
      <c r="O23" s="1">
        <v>0</v>
      </c>
      <c r="P23" s="1">
        <v>0</v>
      </c>
      <c r="R23" s="1">
        <v>1341501</v>
      </c>
      <c r="S23" s="1">
        <v>522000</v>
      </c>
      <c r="U23" s="1">
        <v>0</v>
      </c>
      <c r="V23" s="9">
        <v>0</v>
      </c>
    </row>
    <row r="24" spans="1:22">
      <c r="A24" s="1" t="s">
        <v>42</v>
      </c>
      <c r="B24" s="6">
        <v>0</v>
      </c>
      <c r="C24" s="1">
        <v>0</v>
      </c>
      <c r="D24" s="1">
        <v>45627.404682400957</v>
      </c>
      <c r="E24" s="1">
        <v>0</v>
      </c>
      <c r="F24" s="1">
        <v>0</v>
      </c>
      <c r="G24" s="9">
        <f>SUM(LA_FINANCIAL)</f>
        <v>45627.404682400957</v>
      </c>
      <c r="I24" s="13" t="s">
        <v>43</v>
      </c>
      <c r="J24" s="16">
        <v>60769110.859999992</v>
      </c>
      <c r="L24" s="6">
        <v>0</v>
      </c>
      <c r="M24" s="1">
        <v>0</v>
      </c>
      <c r="O24" s="1">
        <v>0</v>
      </c>
      <c r="P24" s="1">
        <v>0</v>
      </c>
      <c r="R24" s="1">
        <v>509121</v>
      </c>
      <c r="S24" s="1">
        <v>0</v>
      </c>
      <c r="U24" s="1">
        <v>0</v>
      </c>
      <c r="V24" s="9">
        <v>0</v>
      </c>
    </row>
    <row r="25" spans="1:22">
      <c r="A25" s="1" t="s">
        <v>44</v>
      </c>
      <c r="B25" s="6">
        <v>0</v>
      </c>
      <c r="C25" s="1">
        <v>0</v>
      </c>
      <c r="D25" s="1">
        <v>55278.739512028333</v>
      </c>
      <c r="E25" s="1">
        <v>0</v>
      </c>
      <c r="F25" s="1">
        <v>0</v>
      </c>
      <c r="G25" s="9">
        <f>SUM(ME_FINANCIAL)</f>
        <v>55278.739512028333</v>
      </c>
      <c r="I25" s="13"/>
      <c r="J25" s="16"/>
      <c r="L25" s="6">
        <v>0</v>
      </c>
      <c r="M25" s="1">
        <v>0</v>
      </c>
      <c r="O25" s="1">
        <v>0</v>
      </c>
      <c r="P25" s="1">
        <v>0</v>
      </c>
      <c r="R25" s="1">
        <v>175000</v>
      </c>
      <c r="S25" s="1">
        <v>0</v>
      </c>
      <c r="U25" s="1">
        <v>0</v>
      </c>
      <c r="V25" s="9">
        <v>0</v>
      </c>
    </row>
    <row r="26" spans="1:22">
      <c r="A26" s="1" t="s">
        <v>45</v>
      </c>
      <c r="B26" s="6">
        <v>0</v>
      </c>
      <c r="C26" s="1">
        <v>0</v>
      </c>
      <c r="D26" s="1">
        <v>495450.94925008772</v>
      </c>
      <c r="E26" s="1">
        <v>0</v>
      </c>
      <c r="F26" s="1">
        <v>0</v>
      </c>
      <c r="G26" s="9">
        <f>SUM(MD_FINANCIAL)</f>
        <v>495450.94925008772</v>
      </c>
      <c r="I26" s="13" t="s">
        <v>46</v>
      </c>
      <c r="J26" s="16">
        <f>SUM(ADD_FINANCIAL)-SUM(LESS_FINANCIAL)</f>
        <v>34222634.490000054</v>
      </c>
      <c r="L26" s="6">
        <v>0</v>
      </c>
      <c r="M26" s="1">
        <v>0</v>
      </c>
      <c r="O26" s="1">
        <v>0</v>
      </c>
      <c r="P26" s="1">
        <v>0</v>
      </c>
      <c r="R26" s="1">
        <v>1700000</v>
      </c>
      <c r="S26" s="1">
        <v>0</v>
      </c>
      <c r="U26" s="1">
        <v>0</v>
      </c>
      <c r="V26" s="9">
        <v>0</v>
      </c>
    </row>
    <row r="27" spans="1:22">
      <c r="A27" s="1" t="s">
        <v>47</v>
      </c>
      <c r="B27" s="6">
        <v>0</v>
      </c>
      <c r="C27" s="1">
        <v>0</v>
      </c>
      <c r="D27" s="1">
        <v>163930.41337618587</v>
      </c>
      <c r="E27" s="1">
        <v>0</v>
      </c>
      <c r="F27" s="1">
        <v>0</v>
      </c>
      <c r="G27" s="9">
        <f>SUM(MA_FINANCIAL)</f>
        <v>163930.41337618587</v>
      </c>
      <c r="I27" s="13" t="s">
        <v>48</v>
      </c>
      <c r="J27" s="16">
        <f>SUM(ALL_BLOCKS)</f>
        <v>34222634.49000001</v>
      </c>
      <c r="L27" s="6">
        <v>0</v>
      </c>
      <c r="M27" s="1">
        <v>0</v>
      </c>
      <c r="O27" s="1">
        <v>0</v>
      </c>
      <c r="P27" s="1">
        <v>0</v>
      </c>
      <c r="R27" s="1">
        <v>456000</v>
      </c>
      <c r="S27" s="1">
        <v>75000</v>
      </c>
      <c r="U27" s="1">
        <v>0</v>
      </c>
      <c r="V27" s="9">
        <v>0</v>
      </c>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52315.316401278746</v>
      </c>
      <c r="E29" s="1">
        <v>0</v>
      </c>
      <c r="F29" s="1">
        <v>0</v>
      </c>
      <c r="G29" s="9">
        <f>SUM(MN_FINANCIAL)</f>
        <v>52315.316401278746</v>
      </c>
      <c r="L29" s="6"/>
      <c r="V29" s="9"/>
    </row>
    <row r="30" spans="1:22">
      <c r="A30" s="1" t="s">
        <v>51</v>
      </c>
      <c r="B30" s="6">
        <v>0</v>
      </c>
      <c r="C30" s="1">
        <v>0</v>
      </c>
      <c r="D30" s="1">
        <v>103783.90654544503</v>
      </c>
      <c r="E30" s="1">
        <v>0</v>
      </c>
      <c r="F30" s="1">
        <v>0</v>
      </c>
      <c r="G30" s="9">
        <f>SUM(MS_FINANCIAL)</f>
        <v>103783.90654544503</v>
      </c>
      <c r="L30" s="6">
        <v>0</v>
      </c>
      <c r="M30" s="1">
        <v>0</v>
      </c>
      <c r="O30" s="1">
        <v>0</v>
      </c>
      <c r="P30" s="1">
        <v>0</v>
      </c>
      <c r="R30" s="1">
        <v>210000</v>
      </c>
      <c r="S30" s="1">
        <v>0</v>
      </c>
      <c r="U30" s="1">
        <v>0</v>
      </c>
      <c r="V30" s="9">
        <v>0</v>
      </c>
    </row>
    <row r="31" spans="1:22">
      <c r="A31" s="1" t="s">
        <v>52</v>
      </c>
      <c r="B31" s="6">
        <v>0</v>
      </c>
      <c r="C31" s="1">
        <v>0</v>
      </c>
      <c r="D31" s="1">
        <v>2352831.9530095244</v>
      </c>
      <c r="E31" s="1">
        <v>0</v>
      </c>
      <c r="F31" s="1">
        <v>0</v>
      </c>
      <c r="G31" s="9">
        <f>SUM(MO_FINANCIAL)</f>
        <v>2352831.9530095244</v>
      </c>
      <c r="L31" s="6">
        <v>0</v>
      </c>
      <c r="M31" s="1">
        <v>0</v>
      </c>
      <c r="O31" s="1">
        <v>0</v>
      </c>
      <c r="P31" s="1">
        <v>0</v>
      </c>
      <c r="R31" s="1">
        <v>8354499</v>
      </c>
      <c r="S31" s="1">
        <v>0</v>
      </c>
      <c r="U31" s="1">
        <v>0</v>
      </c>
      <c r="V31" s="9">
        <v>0</v>
      </c>
    </row>
    <row r="32" spans="1:22">
      <c r="A32" s="1" t="s">
        <v>53</v>
      </c>
      <c r="B32" s="6">
        <v>0</v>
      </c>
      <c r="C32" s="1">
        <v>0</v>
      </c>
      <c r="D32" s="1">
        <v>432351.28770421119</v>
      </c>
      <c r="E32" s="1">
        <v>0</v>
      </c>
      <c r="F32" s="1">
        <v>0</v>
      </c>
      <c r="G32" s="9">
        <f>SUM(MT_FINANCIAL)</f>
        <v>432351.28770421119</v>
      </c>
      <c r="L32" s="6">
        <v>0</v>
      </c>
      <c r="M32" s="1">
        <v>0</v>
      </c>
      <c r="O32" s="1">
        <v>0</v>
      </c>
      <c r="P32" s="1">
        <v>0</v>
      </c>
      <c r="R32" s="1">
        <v>670000</v>
      </c>
      <c r="S32" s="1">
        <v>0</v>
      </c>
      <c r="U32" s="1">
        <v>0</v>
      </c>
      <c r="V32" s="9">
        <v>0</v>
      </c>
    </row>
    <row r="33" spans="1:22">
      <c r="A33" s="1" t="s">
        <v>54</v>
      </c>
      <c r="B33" s="6">
        <v>0</v>
      </c>
      <c r="C33" s="1">
        <v>0</v>
      </c>
      <c r="D33" s="1">
        <v>1233700.4604683197</v>
      </c>
      <c r="E33" s="1">
        <v>0</v>
      </c>
      <c r="F33" s="1">
        <v>0</v>
      </c>
      <c r="G33" s="9">
        <f>SUM(NE_FINANCIAL)</f>
        <v>1233700.4604683197</v>
      </c>
      <c r="L33" s="6">
        <v>0</v>
      </c>
      <c r="M33" s="1">
        <v>0</v>
      </c>
      <c r="O33" s="1">
        <v>0</v>
      </c>
      <c r="P33" s="1">
        <v>0</v>
      </c>
      <c r="R33" s="1">
        <v>4475000</v>
      </c>
      <c r="S33" s="1">
        <v>5300000</v>
      </c>
      <c r="U33" s="1">
        <v>0</v>
      </c>
      <c r="V33" s="9">
        <v>0</v>
      </c>
    </row>
    <row r="34" spans="1:22">
      <c r="A34" s="1" t="s">
        <v>55</v>
      </c>
      <c r="B34" s="6">
        <v>0</v>
      </c>
      <c r="C34" s="1">
        <v>0</v>
      </c>
      <c r="D34" s="1">
        <v>149461.60147172029</v>
      </c>
      <c r="E34" s="1">
        <v>0</v>
      </c>
      <c r="F34" s="1">
        <v>0</v>
      </c>
      <c r="G34" s="9">
        <f>SUM(NV_FINANCIAL)</f>
        <v>149461.60147172029</v>
      </c>
      <c r="L34" s="6">
        <v>0</v>
      </c>
      <c r="M34" s="1">
        <v>0</v>
      </c>
      <c r="O34" s="1">
        <v>0</v>
      </c>
      <c r="P34" s="1">
        <v>0</v>
      </c>
      <c r="R34" s="1">
        <v>370000</v>
      </c>
      <c r="S34" s="1">
        <v>178000</v>
      </c>
      <c r="U34" s="1">
        <v>0</v>
      </c>
      <c r="V34" s="9">
        <v>0</v>
      </c>
    </row>
    <row r="35" spans="1:22">
      <c r="A35" s="1" t="s">
        <v>56</v>
      </c>
      <c r="B35" s="6">
        <v>0</v>
      </c>
      <c r="C35" s="1">
        <v>0</v>
      </c>
      <c r="D35" s="1">
        <v>1388.4564093102472</v>
      </c>
      <c r="E35" s="1">
        <v>0</v>
      </c>
      <c r="F35" s="1">
        <v>0</v>
      </c>
      <c r="G35" s="9">
        <f>SUM(NH_FINANCIAL)</f>
        <v>1388.4564093102472</v>
      </c>
      <c r="L35" s="6"/>
      <c r="V35" s="9"/>
    </row>
    <row r="36" spans="1:22">
      <c r="A36" s="1" t="s">
        <v>57</v>
      </c>
      <c r="B36" s="6">
        <v>0</v>
      </c>
      <c r="C36" s="1">
        <v>0</v>
      </c>
      <c r="D36" s="1">
        <v>461092.29489941511</v>
      </c>
      <c r="E36" s="1">
        <v>0</v>
      </c>
      <c r="F36" s="1">
        <v>0</v>
      </c>
      <c r="G36" s="9">
        <f>SUM(NJ_FINANCIAL)</f>
        <v>461092.29489941511</v>
      </c>
      <c r="L36" s="6">
        <v>0</v>
      </c>
      <c r="M36" s="1">
        <v>0</v>
      </c>
      <c r="O36" s="1">
        <v>0</v>
      </c>
      <c r="P36" s="1">
        <v>0</v>
      </c>
      <c r="R36" s="1">
        <v>1250000</v>
      </c>
      <c r="S36" s="1">
        <v>151039</v>
      </c>
      <c r="U36" s="1">
        <v>0</v>
      </c>
      <c r="V36" s="9">
        <v>0</v>
      </c>
    </row>
    <row r="37" spans="1:22">
      <c r="A37" s="1" t="s">
        <v>58</v>
      </c>
      <c r="B37" s="6">
        <v>0</v>
      </c>
      <c r="C37" s="1">
        <v>0</v>
      </c>
      <c r="D37" s="1">
        <v>140043.72777535047</v>
      </c>
      <c r="E37" s="1">
        <v>0</v>
      </c>
      <c r="F37" s="1">
        <v>0</v>
      </c>
      <c r="G37" s="9">
        <f>SUM(NM_FINANCIAL)</f>
        <v>140043.72777535047</v>
      </c>
      <c r="L37" s="6">
        <v>0</v>
      </c>
      <c r="M37" s="1">
        <v>120000</v>
      </c>
      <c r="O37" s="1">
        <v>0</v>
      </c>
      <c r="P37" s="1">
        <v>0</v>
      </c>
      <c r="R37" s="1">
        <v>350000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439138.24588632514</v>
      </c>
      <c r="E39" s="1">
        <v>0</v>
      </c>
      <c r="F39" s="1">
        <v>0</v>
      </c>
      <c r="G39" s="9">
        <f>SUM(NC_FINANCIAL)</f>
        <v>439138.24588632514</v>
      </c>
      <c r="L39" s="6">
        <v>0</v>
      </c>
      <c r="M39" s="1">
        <v>0</v>
      </c>
      <c r="O39" s="1">
        <v>0</v>
      </c>
      <c r="P39" s="1">
        <v>0</v>
      </c>
      <c r="R39" s="1">
        <v>800000</v>
      </c>
      <c r="S39" s="1">
        <v>0</v>
      </c>
      <c r="U39" s="1">
        <v>0</v>
      </c>
      <c r="V39" s="9">
        <v>0</v>
      </c>
    </row>
    <row r="40" spans="1:22">
      <c r="A40" s="1" t="s">
        <v>61</v>
      </c>
      <c r="B40" s="6">
        <v>0</v>
      </c>
      <c r="C40" s="1">
        <v>0</v>
      </c>
      <c r="D40" s="1">
        <v>1185626.6976548356</v>
      </c>
      <c r="E40" s="1">
        <v>0</v>
      </c>
      <c r="F40" s="1">
        <v>0</v>
      </c>
      <c r="G40" s="9">
        <f>SUM(ND_FINANCIAL)</f>
        <v>1185626.6976548356</v>
      </c>
      <c r="L40" s="6">
        <v>0</v>
      </c>
      <c r="M40" s="1">
        <v>0</v>
      </c>
      <c r="O40" s="1">
        <v>0</v>
      </c>
      <c r="P40" s="1">
        <v>0</v>
      </c>
      <c r="R40" s="1">
        <v>3202700</v>
      </c>
      <c r="S40" s="1">
        <v>924599</v>
      </c>
      <c r="U40" s="1">
        <v>0</v>
      </c>
      <c r="V40" s="9">
        <v>0</v>
      </c>
    </row>
    <row r="41" spans="1:22">
      <c r="A41" s="1" t="s">
        <v>62</v>
      </c>
      <c r="B41" s="6">
        <v>0</v>
      </c>
      <c r="C41" s="1">
        <v>0</v>
      </c>
      <c r="D41" s="1">
        <v>1669458.0664728074</v>
      </c>
      <c r="E41" s="1">
        <v>0</v>
      </c>
      <c r="F41" s="1">
        <v>0</v>
      </c>
      <c r="G41" s="9">
        <f>SUM(OH_FINANCIAL)</f>
        <v>1669458.0664728074</v>
      </c>
      <c r="L41" s="6">
        <v>0</v>
      </c>
      <c r="M41" s="1">
        <v>0</v>
      </c>
      <c r="O41" s="1">
        <v>0</v>
      </c>
      <c r="P41" s="1">
        <v>0</v>
      </c>
      <c r="R41" s="1">
        <v>5600000</v>
      </c>
      <c r="S41" s="1">
        <v>0</v>
      </c>
      <c r="U41" s="1">
        <v>0</v>
      </c>
      <c r="V41" s="9">
        <v>0</v>
      </c>
    </row>
    <row r="42" spans="1:22">
      <c r="A42" s="1" t="s">
        <v>63</v>
      </c>
      <c r="B42" s="6">
        <v>0</v>
      </c>
      <c r="C42" s="1">
        <v>0</v>
      </c>
      <c r="D42" s="1">
        <v>257536.20378070883</v>
      </c>
      <c r="E42" s="1">
        <v>0</v>
      </c>
      <c r="F42" s="1">
        <v>0</v>
      </c>
      <c r="G42" s="9">
        <f>SUM(OK_FINANCIAL)</f>
        <v>257536.20378070883</v>
      </c>
      <c r="L42" s="6">
        <v>0</v>
      </c>
      <c r="M42" s="1">
        <v>0</v>
      </c>
      <c r="O42" s="1">
        <v>0</v>
      </c>
      <c r="P42" s="1">
        <v>0</v>
      </c>
      <c r="R42" s="1">
        <v>850000</v>
      </c>
      <c r="S42" s="1">
        <v>500000</v>
      </c>
      <c r="U42" s="1">
        <v>0</v>
      </c>
      <c r="V42" s="9">
        <v>0</v>
      </c>
    </row>
    <row r="43" spans="1:22">
      <c r="A43" s="1" t="s">
        <v>64</v>
      </c>
      <c r="B43" s="6">
        <v>0</v>
      </c>
      <c r="C43" s="1">
        <v>0</v>
      </c>
      <c r="D43" s="1">
        <v>448643.51960224716</v>
      </c>
      <c r="E43" s="1">
        <v>0</v>
      </c>
      <c r="F43" s="1">
        <v>0</v>
      </c>
      <c r="G43" s="9">
        <f>SUM(OR_FINANCIAL)</f>
        <v>448643.51960224716</v>
      </c>
      <c r="L43" s="6">
        <v>0</v>
      </c>
      <c r="M43" s="1">
        <v>0</v>
      </c>
      <c r="O43" s="1">
        <v>0</v>
      </c>
      <c r="P43" s="1">
        <v>0</v>
      </c>
      <c r="R43" s="1">
        <v>1688644</v>
      </c>
      <c r="S43" s="1">
        <v>0</v>
      </c>
      <c r="U43" s="1">
        <v>0</v>
      </c>
      <c r="V43" s="9">
        <v>0</v>
      </c>
    </row>
    <row r="44" spans="1:22">
      <c r="A44" s="1" t="s">
        <v>65</v>
      </c>
      <c r="B44" s="6">
        <v>0</v>
      </c>
      <c r="C44" s="1">
        <v>0</v>
      </c>
      <c r="D44" s="1">
        <v>394999.11377018644</v>
      </c>
      <c r="E44" s="1">
        <v>0</v>
      </c>
      <c r="F44" s="1">
        <v>0</v>
      </c>
      <c r="G44" s="9">
        <f>SUM(PA_FINANCIAL)</f>
        <v>394999.11377018644</v>
      </c>
      <c r="L44" s="6">
        <v>0</v>
      </c>
      <c r="M44" s="1">
        <v>0</v>
      </c>
      <c r="O44" s="1">
        <v>0</v>
      </c>
      <c r="P44" s="1">
        <v>0</v>
      </c>
      <c r="R44" s="1">
        <v>1000000</v>
      </c>
      <c r="S44" s="1">
        <v>0</v>
      </c>
      <c r="U44" s="1">
        <v>0</v>
      </c>
      <c r="V44" s="9">
        <v>0</v>
      </c>
    </row>
    <row r="45" spans="1:22">
      <c r="A45" s="1" t="s">
        <v>66</v>
      </c>
      <c r="B45" s="6">
        <v>0</v>
      </c>
      <c r="C45" s="1">
        <v>0</v>
      </c>
      <c r="D45" s="1">
        <v>0</v>
      </c>
      <c r="E45" s="1">
        <v>0</v>
      </c>
      <c r="F45" s="1">
        <v>0</v>
      </c>
      <c r="G45" s="9">
        <f>SUM(PR_FINANCIAL)</f>
        <v>0</v>
      </c>
      <c r="L45" s="6"/>
      <c r="V45" s="9"/>
    </row>
    <row r="46" spans="1:22">
      <c r="A46" s="1" t="s">
        <v>67</v>
      </c>
      <c r="B46" s="6">
        <v>0</v>
      </c>
      <c r="C46" s="1">
        <v>0</v>
      </c>
      <c r="D46" s="1">
        <v>3197.1472625904426</v>
      </c>
      <c r="E46" s="1">
        <v>0</v>
      </c>
      <c r="F46" s="1">
        <v>0</v>
      </c>
      <c r="G46" s="9">
        <f>SUM(RI_FINANCIAL)</f>
        <v>3197.1472625904426</v>
      </c>
      <c r="L46" s="6"/>
      <c r="V46" s="9"/>
    </row>
    <row r="47" spans="1:22">
      <c r="A47" s="1" t="s">
        <v>68</v>
      </c>
      <c r="B47" s="6">
        <v>0</v>
      </c>
      <c r="C47" s="1">
        <v>0</v>
      </c>
      <c r="D47" s="1">
        <v>205817.4714043815</v>
      </c>
      <c r="E47" s="1">
        <v>0</v>
      </c>
      <c r="F47" s="1">
        <v>0</v>
      </c>
      <c r="G47" s="9">
        <f>SUM(SC_FINANCIAL)</f>
        <v>205817.4714043815</v>
      </c>
      <c r="L47" s="6">
        <v>0</v>
      </c>
      <c r="M47" s="1">
        <v>0</v>
      </c>
      <c r="O47" s="1">
        <v>0</v>
      </c>
      <c r="P47" s="1">
        <v>0</v>
      </c>
      <c r="R47" s="1">
        <v>600000</v>
      </c>
      <c r="S47" s="1">
        <v>0</v>
      </c>
      <c r="U47" s="1">
        <v>0</v>
      </c>
      <c r="V47" s="9">
        <v>0</v>
      </c>
    </row>
    <row r="48" spans="1:22">
      <c r="A48" s="1" t="s">
        <v>69</v>
      </c>
      <c r="B48" s="6">
        <v>0</v>
      </c>
      <c r="C48" s="1">
        <v>0</v>
      </c>
      <c r="D48" s="1">
        <v>1385577.7453399794</v>
      </c>
      <c r="E48" s="1">
        <v>0</v>
      </c>
      <c r="F48" s="1">
        <v>0</v>
      </c>
      <c r="G48" s="9">
        <f>SUM(SD_FINANCIAL)</f>
        <v>1385577.7453399794</v>
      </c>
      <c r="L48" s="6">
        <v>0</v>
      </c>
      <c r="M48" s="1">
        <v>0</v>
      </c>
      <c r="O48" s="1">
        <v>0</v>
      </c>
      <c r="P48" s="1">
        <v>0</v>
      </c>
      <c r="R48" s="1">
        <v>3748806</v>
      </c>
      <c r="S48" s="1">
        <v>1475000</v>
      </c>
      <c r="U48" s="1">
        <v>0</v>
      </c>
      <c r="V48" s="9">
        <v>0</v>
      </c>
    </row>
    <row r="49" spans="1:22">
      <c r="A49" s="1" t="s">
        <v>70</v>
      </c>
      <c r="B49" s="6">
        <v>0</v>
      </c>
      <c r="C49" s="1">
        <v>0</v>
      </c>
      <c r="D49" s="1">
        <v>304483.02869709744</v>
      </c>
      <c r="E49" s="1">
        <v>0</v>
      </c>
      <c r="F49" s="1">
        <v>0</v>
      </c>
      <c r="G49" s="9">
        <f>SUM(TN_FINANCIAL)</f>
        <v>304483.02869709744</v>
      </c>
      <c r="L49" s="6">
        <v>0</v>
      </c>
      <c r="M49" s="1">
        <v>0</v>
      </c>
      <c r="O49" s="1">
        <v>0</v>
      </c>
      <c r="P49" s="1">
        <v>0</v>
      </c>
      <c r="R49" s="1">
        <v>1000000</v>
      </c>
      <c r="S49" s="1">
        <v>0</v>
      </c>
      <c r="U49" s="1">
        <v>0</v>
      </c>
      <c r="V49" s="9">
        <v>0</v>
      </c>
    </row>
    <row r="50" spans="1:22">
      <c r="A50" s="1" t="s">
        <v>71</v>
      </c>
      <c r="B50" s="6">
        <v>0</v>
      </c>
      <c r="C50" s="1">
        <v>0</v>
      </c>
      <c r="D50" s="1">
        <v>999098.45080373227</v>
      </c>
      <c r="E50" s="1">
        <v>0</v>
      </c>
      <c r="F50" s="1">
        <v>0</v>
      </c>
      <c r="G50" s="9">
        <f>SUM(TX_FINANCIAL)</f>
        <v>999098.45080373227</v>
      </c>
      <c r="L50" s="6">
        <v>0</v>
      </c>
      <c r="M50" s="1">
        <v>600000</v>
      </c>
      <c r="O50" s="1">
        <v>0</v>
      </c>
      <c r="P50" s="1">
        <v>0</v>
      </c>
      <c r="R50" s="1">
        <v>3221193.5</v>
      </c>
      <c r="S50" s="1">
        <v>1164901</v>
      </c>
      <c r="U50" s="1">
        <v>0</v>
      </c>
      <c r="V50" s="9">
        <v>0</v>
      </c>
    </row>
    <row r="51" spans="1:22">
      <c r="A51" s="1" t="s">
        <v>72</v>
      </c>
      <c r="B51" s="6">
        <v>0</v>
      </c>
      <c r="C51" s="1">
        <v>0</v>
      </c>
      <c r="D51" s="1">
        <v>41239.544410369781</v>
      </c>
      <c r="E51" s="1">
        <v>0</v>
      </c>
      <c r="F51" s="1">
        <v>0</v>
      </c>
      <c r="G51" s="9">
        <f>SUM(UT_FINANCIAL)</f>
        <v>41239.544410369781</v>
      </c>
      <c r="L51" s="6">
        <v>0</v>
      </c>
      <c r="M51" s="1">
        <v>0</v>
      </c>
      <c r="O51" s="1">
        <v>0</v>
      </c>
      <c r="P51" s="1">
        <v>0</v>
      </c>
      <c r="R51" s="1">
        <v>125000</v>
      </c>
      <c r="S51" s="1">
        <v>0</v>
      </c>
      <c r="U51" s="1">
        <v>0</v>
      </c>
      <c r="V51" s="9">
        <v>0</v>
      </c>
    </row>
    <row r="52" spans="1:22">
      <c r="A52" s="1" t="s">
        <v>73</v>
      </c>
      <c r="B52" s="6">
        <v>0</v>
      </c>
      <c r="C52" s="1">
        <v>0</v>
      </c>
      <c r="D52" s="1">
        <v>9549.0587860707419</v>
      </c>
      <c r="E52" s="1">
        <v>0</v>
      </c>
      <c r="F52" s="1">
        <v>0</v>
      </c>
      <c r="G52" s="9">
        <f>SUM(VT_FINANCIAL)</f>
        <v>9549.0587860707419</v>
      </c>
      <c r="L52" s="6">
        <v>0</v>
      </c>
      <c r="M52" s="1">
        <v>0</v>
      </c>
      <c r="O52" s="1">
        <v>0</v>
      </c>
      <c r="P52" s="1">
        <v>0</v>
      </c>
      <c r="R52" s="1">
        <v>27500</v>
      </c>
      <c r="S52" s="1">
        <v>0</v>
      </c>
      <c r="U52" s="1">
        <v>0</v>
      </c>
      <c r="V52" s="9">
        <v>0</v>
      </c>
    </row>
    <row r="53" spans="1:22">
      <c r="A53" s="1" t="s">
        <v>74</v>
      </c>
      <c r="B53" s="6">
        <v>0</v>
      </c>
      <c r="C53" s="1">
        <v>0</v>
      </c>
      <c r="D53" s="1">
        <v>280134.47212240438</v>
      </c>
      <c r="E53" s="1">
        <v>0</v>
      </c>
      <c r="F53" s="1">
        <v>0</v>
      </c>
      <c r="G53" s="9">
        <f>SUM(VA_FINANCIAL)</f>
        <v>280134.47212240438</v>
      </c>
      <c r="L53" s="6">
        <v>0</v>
      </c>
      <c r="M53" s="1">
        <v>0</v>
      </c>
      <c r="O53" s="1">
        <v>0</v>
      </c>
      <c r="P53" s="1">
        <v>0</v>
      </c>
      <c r="R53" s="1">
        <v>850915</v>
      </c>
      <c r="S53" s="1">
        <v>455000</v>
      </c>
      <c r="U53" s="1">
        <v>0</v>
      </c>
      <c r="V53" s="9">
        <v>0</v>
      </c>
    </row>
    <row r="54" spans="1:22">
      <c r="A54" s="1" t="s">
        <v>75</v>
      </c>
      <c r="B54" s="6">
        <v>0</v>
      </c>
      <c r="C54" s="1">
        <v>0</v>
      </c>
      <c r="D54" s="1">
        <v>3137064.872541381</v>
      </c>
      <c r="E54" s="1">
        <v>0</v>
      </c>
      <c r="F54" s="1">
        <v>0</v>
      </c>
      <c r="G54" s="9">
        <f>SUM(WA_FINANCIAL)</f>
        <v>3137064.872541381</v>
      </c>
      <c r="L54" s="6">
        <v>0</v>
      </c>
      <c r="M54" s="1">
        <v>0</v>
      </c>
      <c r="O54" s="1">
        <v>0</v>
      </c>
      <c r="P54" s="1">
        <v>0</v>
      </c>
      <c r="R54" s="1">
        <v>3000000</v>
      </c>
      <c r="S54" s="1">
        <v>2169430</v>
      </c>
      <c r="U54" s="1">
        <v>0</v>
      </c>
      <c r="V54" s="9">
        <v>0</v>
      </c>
    </row>
    <row r="55" spans="1:22">
      <c r="A55" s="1" t="s">
        <v>76</v>
      </c>
      <c r="B55" s="6">
        <v>0</v>
      </c>
      <c r="C55" s="1">
        <v>0</v>
      </c>
      <c r="D55" s="1">
        <v>82842.771334038349</v>
      </c>
      <c r="E55" s="1">
        <v>0</v>
      </c>
      <c r="F55" s="1">
        <v>0</v>
      </c>
      <c r="G55" s="9">
        <f>SUM(WV_FINANCIAL)</f>
        <v>82842.771334038349</v>
      </c>
      <c r="L55" s="6">
        <v>0</v>
      </c>
      <c r="M55" s="1">
        <v>0</v>
      </c>
      <c r="O55" s="1">
        <v>0</v>
      </c>
      <c r="P55" s="1">
        <v>0</v>
      </c>
      <c r="R55" s="1">
        <v>350000</v>
      </c>
      <c r="S55" s="1">
        <v>280</v>
      </c>
      <c r="U55" s="1">
        <v>0</v>
      </c>
      <c r="V55" s="9">
        <v>0</v>
      </c>
    </row>
    <row r="56" spans="1:22">
      <c r="A56" s="1" t="s">
        <v>77</v>
      </c>
      <c r="B56" s="6">
        <v>0</v>
      </c>
      <c r="C56" s="1">
        <v>0</v>
      </c>
      <c r="D56" s="1">
        <v>62557.916053683613</v>
      </c>
      <c r="E56" s="1">
        <v>0</v>
      </c>
      <c r="F56" s="1">
        <v>0</v>
      </c>
      <c r="G56" s="9">
        <f>SUM(WI_FINANCIAL)</f>
        <v>62557.916053683613</v>
      </c>
      <c r="L56" s="6"/>
      <c r="V56" s="9"/>
    </row>
    <row r="57" spans="1:22">
      <c r="A57" s="1" t="s">
        <v>78</v>
      </c>
      <c r="B57" s="6">
        <v>0</v>
      </c>
      <c r="C57" s="1">
        <v>0</v>
      </c>
      <c r="D57" s="1">
        <v>175996.52870981046</v>
      </c>
      <c r="E57" s="1">
        <v>0</v>
      </c>
      <c r="F57" s="1">
        <v>0</v>
      </c>
      <c r="G57" s="9">
        <f>SUM(WY_FINANCIAL)</f>
        <v>175996.52870981046</v>
      </c>
      <c r="L57" s="6">
        <v>0</v>
      </c>
      <c r="M57" s="1">
        <v>0</v>
      </c>
      <c r="O57" s="1">
        <v>0</v>
      </c>
      <c r="P57" s="1">
        <v>0</v>
      </c>
      <c r="R57" s="1">
        <v>275000</v>
      </c>
      <c r="S57" s="1">
        <v>410327</v>
      </c>
      <c r="U57" s="1">
        <v>0</v>
      </c>
      <c r="V57" s="9">
        <v>0</v>
      </c>
    </row>
    <row r="58" spans="1:22">
      <c r="A58" s="1" t="s">
        <v>79</v>
      </c>
      <c r="B58" s="6">
        <v>0</v>
      </c>
      <c r="C58" s="1">
        <v>0</v>
      </c>
      <c r="D58" s="1">
        <v>196.83893910258433</v>
      </c>
      <c r="E58" s="1">
        <v>0</v>
      </c>
      <c r="F58" s="1">
        <v>0</v>
      </c>
      <c r="G58" s="9">
        <f>SUM(OT_FINANCIAL)</f>
        <v>196.83893910258433</v>
      </c>
      <c r="L58" s="6"/>
      <c r="V58" s="9"/>
    </row>
    <row r="59" spans="1:22">
      <c r="B59" s="6"/>
      <c r="G59" s="9"/>
      <c r="L59" s="6"/>
      <c r="V59" s="9"/>
    </row>
    <row r="60" spans="1:22">
      <c r="A60" s="1" t="s">
        <v>8</v>
      </c>
      <c r="B60" s="6">
        <f>SUM(LIFE)</f>
        <v>0</v>
      </c>
      <c r="C60" s="1">
        <f>SUM(ALLOCATED)</f>
        <v>0</v>
      </c>
      <c r="D60" s="1">
        <f>SUM(HEALTH)</f>
        <v>34222634.49000001</v>
      </c>
      <c r="E60" s="1">
        <f>SUM(UNALLOCATED)</f>
        <v>0</v>
      </c>
      <c r="F60" s="1">
        <f>SUM(LTC)</f>
        <v>0</v>
      </c>
      <c r="G60" s="9">
        <f>SUM(ALL_BLOCKS)</f>
        <v>34222634.49000001</v>
      </c>
      <c r="L60" s="6">
        <f>SUM(LIFE_CALLED)</f>
        <v>9517</v>
      </c>
      <c r="M60" s="1">
        <f>SUM(LIFE_REFUNDED)</f>
        <v>729780</v>
      </c>
      <c r="O60" s="1">
        <f>SUM(ALLOC_CALLED)</f>
        <v>0</v>
      </c>
      <c r="P60" s="1">
        <f>SUM(ALLOC_REFUNDED)</f>
        <v>0</v>
      </c>
      <c r="R60" s="1">
        <f>SUM(HEALTH_CALLED)</f>
        <v>85880466.5</v>
      </c>
      <c r="S60" s="1">
        <f>SUM(HEALTH_REFUNDED)</f>
        <v>30818274</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129</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46766.830409904243</v>
      </c>
      <c r="E6" s="1">
        <v>0</v>
      </c>
      <c r="F6" s="1">
        <v>0</v>
      </c>
      <c r="G6" s="9">
        <f>SUM(AL_FINANCIAL)</f>
        <v>46766.830409904243</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646982.91182761954</v>
      </c>
      <c r="E8" s="1">
        <v>0</v>
      </c>
      <c r="F8" s="1">
        <v>0</v>
      </c>
      <c r="G8" s="9">
        <f>SUM(AZ_FINANCIAL)</f>
        <v>646982.91182761954</v>
      </c>
      <c r="I8" s="13" t="s">
        <v>14</v>
      </c>
      <c r="J8" s="16"/>
      <c r="L8" s="6"/>
      <c r="V8" s="9"/>
    </row>
    <row r="9" spans="1:22">
      <c r="A9" s="1" t="s">
        <v>15</v>
      </c>
      <c r="B9" s="6">
        <v>0</v>
      </c>
      <c r="C9" s="1">
        <v>0</v>
      </c>
      <c r="D9" s="1">
        <v>24159.564710118037</v>
      </c>
      <c r="E9" s="1">
        <v>0</v>
      </c>
      <c r="F9" s="1">
        <v>0</v>
      </c>
      <c r="G9" s="9">
        <f>SUM(AR_FINANCIAL)</f>
        <v>24159.564710118037</v>
      </c>
      <c r="I9" s="13"/>
      <c r="J9" s="16"/>
      <c r="L9" s="6">
        <v>0</v>
      </c>
      <c r="M9" s="1">
        <v>0</v>
      </c>
      <c r="O9" s="1">
        <v>0</v>
      </c>
      <c r="P9" s="1">
        <v>0</v>
      </c>
      <c r="R9" s="1">
        <v>0</v>
      </c>
      <c r="S9" s="1">
        <v>0</v>
      </c>
      <c r="U9" s="1">
        <v>0</v>
      </c>
      <c r="V9" s="9">
        <v>0</v>
      </c>
    </row>
    <row r="10" spans="1:22">
      <c r="A10" s="1" t="s">
        <v>16</v>
      </c>
      <c r="B10" s="6">
        <v>0</v>
      </c>
      <c r="C10" s="1">
        <v>0</v>
      </c>
      <c r="D10" s="1">
        <v>6507.892509727687</v>
      </c>
      <c r="E10" s="1">
        <v>0</v>
      </c>
      <c r="F10" s="1">
        <v>0</v>
      </c>
      <c r="G10" s="9">
        <f>SUM(CA_FINANCIAL)</f>
        <v>6507.892509727687</v>
      </c>
      <c r="I10" s="13" t="s">
        <v>17</v>
      </c>
      <c r="J10" s="16">
        <v>9951600</v>
      </c>
      <c r="L10" s="6"/>
      <c r="V10" s="9"/>
    </row>
    <row r="11" spans="1:22">
      <c r="A11" s="1" t="s">
        <v>18</v>
      </c>
      <c r="B11" s="6">
        <v>0</v>
      </c>
      <c r="C11" s="1">
        <v>0</v>
      </c>
      <c r="D11" s="1">
        <v>3171365.7189612566</v>
      </c>
      <c r="E11" s="1">
        <v>0</v>
      </c>
      <c r="F11" s="1">
        <v>0</v>
      </c>
      <c r="G11" s="9">
        <f>SUM(CO_FINANCIAL)</f>
        <v>3171365.7189612566</v>
      </c>
      <c r="I11" s="13"/>
      <c r="J11" s="16"/>
      <c r="L11" s="6">
        <v>0</v>
      </c>
      <c r="M11" s="1">
        <v>0</v>
      </c>
      <c r="O11" s="1">
        <v>0</v>
      </c>
      <c r="P11" s="1">
        <v>0</v>
      </c>
      <c r="R11" s="1">
        <v>3558082</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3506.4905648751273</v>
      </c>
      <c r="E13" s="1">
        <v>0</v>
      </c>
      <c r="F13" s="1">
        <v>0</v>
      </c>
      <c r="G13" s="9">
        <f>SUM(DE_FINANCIAL)</f>
        <v>3506.4905648751273</v>
      </c>
      <c r="I13" s="13" t="s">
        <v>22</v>
      </c>
      <c r="J13" s="16">
        <v>9951600</v>
      </c>
      <c r="L13" s="6"/>
      <c r="V13" s="9"/>
    </row>
    <row r="14" spans="1:22">
      <c r="A14" s="1" t="s">
        <v>23</v>
      </c>
      <c r="B14" s="6">
        <v>0</v>
      </c>
      <c r="C14" s="1">
        <v>0</v>
      </c>
      <c r="D14" s="1">
        <v>0</v>
      </c>
      <c r="E14" s="1">
        <v>0</v>
      </c>
      <c r="F14" s="1">
        <v>0</v>
      </c>
      <c r="G14" s="9">
        <f>SUM(DC_FINANCIAL)</f>
        <v>0</v>
      </c>
      <c r="I14" s="13" t="s">
        <v>24</v>
      </c>
      <c r="J14" s="16">
        <v>2805062</v>
      </c>
      <c r="L14" s="6"/>
      <c r="V14" s="9"/>
    </row>
    <row r="15" spans="1:22">
      <c r="A15" s="1" t="s">
        <v>25</v>
      </c>
      <c r="B15" s="6">
        <v>0</v>
      </c>
      <c r="C15" s="1">
        <v>0</v>
      </c>
      <c r="D15" s="1">
        <v>24553.230804016781</v>
      </c>
      <c r="E15" s="1">
        <v>0</v>
      </c>
      <c r="F15" s="1">
        <v>0</v>
      </c>
      <c r="G15" s="9">
        <f>SUM(FL_FINANCIAL)</f>
        <v>24553.230804016781</v>
      </c>
      <c r="I15" s="13" t="s">
        <v>26</v>
      </c>
      <c r="J15" s="16">
        <v>1672114.3289886401</v>
      </c>
      <c r="L15" s="6"/>
      <c r="V15" s="9"/>
    </row>
    <row r="16" spans="1:22">
      <c r="A16" s="1" t="s">
        <v>27</v>
      </c>
      <c r="B16" s="6">
        <v>0</v>
      </c>
      <c r="C16" s="1">
        <v>0</v>
      </c>
      <c r="D16" s="1">
        <v>2118119.0403985954</v>
      </c>
      <c r="E16" s="1">
        <v>0</v>
      </c>
      <c r="F16" s="1">
        <v>0</v>
      </c>
      <c r="G16" s="9">
        <f>SUM(GA_FINANCIAL)</f>
        <v>2118119.0403985954</v>
      </c>
      <c r="I16" s="13" t="s">
        <v>28</v>
      </c>
      <c r="J16" s="16">
        <v>0</v>
      </c>
      <c r="L16" s="6">
        <v>0</v>
      </c>
      <c r="M16" s="1">
        <v>0</v>
      </c>
      <c r="O16" s="1">
        <v>0</v>
      </c>
      <c r="P16" s="1">
        <v>0</v>
      </c>
      <c r="R16" s="1">
        <v>2190579</v>
      </c>
      <c r="S16" s="1">
        <v>0</v>
      </c>
      <c r="U16" s="1">
        <v>0</v>
      </c>
      <c r="V16" s="9">
        <v>0</v>
      </c>
    </row>
    <row r="17" spans="1:22">
      <c r="A17" s="1" t="s">
        <v>29</v>
      </c>
      <c r="B17" s="6">
        <v>0</v>
      </c>
      <c r="C17" s="1">
        <v>0</v>
      </c>
      <c r="D17" s="1">
        <v>5393.9222003028353</v>
      </c>
      <c r="E17" s="1">
        <v>0</v>
      </c>
      <c r="F17" s="1">
        <v>0</v>
      </c>
      <c r="G17" s="9">
        <f>SUM(HI_FINANCIAL)</f>
        <v>5393.9222003028353</v>
      </c>
      <c r="I17" s="13"/>
      <c r="J17" s="16"/>
      <c r="L17" s="6"/>
      <c r="V17" s="9"/>
    </row>
    <row r="18" spans="1:22">
      <c r="A18" s="1" t="s">
        <v>30</v>
      </c>
      <c r="B18" s="6">
        <v>0</v>
      </c>
      <c r="C18" s="1">
        <v>0</v>
      </c>
      <c r="D18" s="1">
        <v>1471.9740016126607</v>
      </c>
      <c r="E18" s="1">
        <v>0</v>
      </c>
      <c r="F18" s="1">
        <v>0</v>
      </c>
      <c r="G18" s="9">
        <f>SUM(ID_FINANCIAL)</f>
        <v>1471.9740016126607</v>
      </c>
      <c r="I18" s="13" t="s">
        <v>31</v>
      </c>
      <c r="J18" s="16"/>
      <c r="L18" s="6">
        <v>0</v>
      </c>
      <c r="M18" s="1">
        <v>0</v>
      </c>
      <c r="O18" s="1">
        <v>0</v>
      </c>
      <c r="P18" s="1">
        <v>0</v>
      </c>
      <c r="R18" s="1">
        <v>14100</v>
      </c>
      <c r="S18" s="1">
        <v>0</v>
      </c>
      <c r="U18" s="1">
        <v>0</v>
      </c>
      <c r="V18" s="9">
        <v>0</v>
      </c>
    </row>
    <row r="19" spans="1:22">
      <c r="A19" s="1" t="s">
        <v>32</v>
      </c>
      <c r="B19" s="6">
        <v>0</v>
      </c>
      <c r="C19" s="1">
        <v>0</v>
      </c>
      <c r="D19" s="1">
        <v>86211.856569046504</v>
      </c>
      <c r="E19" s="1">
        <v>0</v>
      </c>
      <c r="F19" s="1">
        <v>0</v>
      </c>
      <c r="G19" s="9">
        <f>SUM(IL_FINANCIAL)</f>
        <v>86211.856569046504</v>
      </c>
      <c r="I19" s="13" t="s">
        <v>33</v>
      </c>
      <c r="J19" s="16">
        <v>0</v>
      </c>
      <c r="L19" s="6">
        <v>0</v>
      </c>
      <c r="M19" s="1">
        <v>0</v>
      </c>
      <c r="O19" s="1">
        <v>0</v>
      </c>
      <c r="P19" s="1">
        <v>0</v>
      </c>
      <c r="R19" s="1">
        <v>130000</v>
      </c>
      <c r="S19" s="1">
        <v>0</v>
      </c>
      <c r="U19" s="1">
        <v>0</v>
      </c>
      <c r="V19" s="9">
        <v>0</v>
      </c>
    </row>
    <row r="20" spans="1:22">
      <c r="A20" s="1" t="s">
        <v>34</v>
      </c>
      <c r="B20" s="6">
        <v>0</v>
      </c>
      <c r="C20" s="1">
        <v>0</v>
      </c>
      <c r="D20" s="1">
        <v>5408.1747132451528</v>
      </c>
      <c r="E20" s="1">
        <v>0</v>
      </c>
      <c r="F20" s="1">
        <v>0</v>
      </c>
      <c r="G20" s="9">
        <f>SUM(IN_FINANCIAL)</f>
        <v>5408.1747132451528</v>
      </c>
      <c r="I20" s="13" t="s">
        <v>35</v>
      </c>
      <c r="J20" s="16">
        <v>9951600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4837.3284060574624</v>
      </c>
      <c r="E22" s="1">
        <v>0</v>
      </c>
      <c r="F22" s="1">
        <v>0</v>
      </c>
      <c r="G22" s="9">
        <f>SUM(KS_FINANCIAL)</f>
        <v>4837.3284060574624</v>
      </c>
      <c r="I22" s="13" t="s">
        <v>39</v>
      </c>
      <c r="J22" s="16">
        <v>0</v>
      </c>
      <c r="L22" s="6"/>
      <c r="V22" s="9"/>
    </row>
    <row r="23" spans="1:22">
      <c r="A23" s="1" t="s">
        <v>40</v>
      </c>
      <c r="B23" s="6">
        <v>0</v>
      </c>
      <c r="C23" s="1">
        <v>0</v>
      </c>
      <c r="D23" s="1">
        <v>-162.13439381446796</v>
      </c>
      <c r="E23" s="1">
        <v>0</v>
      </c>
      <c r="F23" s="1">
        <v>0</v>
      </c>
      <c r="G23" s="9">
        <f>SUM(KY_FINANCIAL)</f>
        <v>-162.13439381446796</v>
      </c>
      <c r="I23" s="13" t="s">
        <v>41</v>
      </c>
      <c r="J23" s="16"/>
      <c r="L23" s="6"/>
      <c r="V23" s="9"/>
    </row>
    <row r="24" spans="1:22">
      <c r="A24" s="1" t="s">
        <v>42</v>
      </c>
      <c r="B24" s="6">
        <v>0</v>
      </c>
      <c r="C24" s="1">
        <v>0</v>
      </c>
      <c r="D24" s="1">
        <v>21245.020470945667</v>
      </c>
      <c r="E24" s="1">
        <v>0</v>
      </c>
      <c r="F24" s="1">
        <v>0</v>
      </c>
      <c r="G24" s="9">
        <f>SUM(LA_FINANCIAL)</f>
        <v>21245.020470945667</v>
      </c>
      <c r="I24" s="13" t="s">
        <v>43</v>
      </c>
      <c r="J24" s="16">
        <v>2930959.05</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11497817.278988641</v>
      </c>
      <c r="L26" s="6"/>
      <c r="V26" s="9"/>
    </row>
    <row r="27" spans="1:22">
      <c r="A27" s="1" t="s">
        <v>47</v>
      </c>
      <c r="B27" s="6">
        <v>0</v>
      </c>
      <c r="C27" s="1">
        <v>0</v>
      </c>
      <c r="D27" s="1">
        <v>0</v>
      </c>
      <c r="E27" s="1">
        <v>0</v>
      </c>
      <c r="F27" s="1">
        <v>0</v>
      </c>
      <c r="G27" s="9">
        <f>SUM(MA_FINANCIAL)</f>
        <v>0</v>
      </c>
      <c r="I27" s="13" t="s">
        <v>48</v>
      </c>
      <c r="J27" s="16">
        <f>SUM(ALL_BLOCKS)</f>
        <v>11497817.278988643</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490005.87277437531</v>
      </c>
      <c r="E30" s="1">
        <v>0</v>
      </c>
      <c r="F30" s="1">
        <v>0</v>
      </c>
      <c r="G30" s="9">
        <f>SUM(MS_FINANCIAL)</f>
        <v>490005.87277437531</v>
      </c>
      <c r="L30" s="6"/>
      <c r="V30" s="9"/>
    </row>
    <row r="31" spans="1:22">
      <c r="A31" s="1" t="s">
        <v>52</v>
      </c>
      <c r="B31" s="6">
        <v>0</v>
      </c>
      <c r="C31" s="1">
        <v>0</v>
      </c>
      <c r="D31" s="1">
        <v>48.87948108449109</v>
      </c>
      <c r="E31" s="1">
        <v>0</v>
      </c>
      <c r="F31" s="1">
        <v>0</v>
      </c>
      <c r="G31" s="9">
        <f>SUM(MO_FINANCIAL)</f>
        <v>48.87948108449109</v>
      </c>
      <c r="L31" s="6"/>
      <c r="V31" s="9"/>
    </row>
    <row r="32" spans="1:22">
      <c r="A32" s="1" t="s">
        <v>53</v>
      </c>
      <c r="B32" s="6">
        <v>0</v>
      </c>
      <c r="C32" s="1">
        <v>0</v>
      </c>
      <c r="D32" s="1">
        <v>2084.7693606751336</v>
      </c>
      <c r="E32" s="1">
        <v>0</v>
      </c>
      <c r="F32" s="1">
        <v>0</v>
      </c>
      <c r="G32" s="9">
        <f>SUM(MT_FINANCIAL)</f>
        <v>2084.7693606751336</v>
      </c>
      <c r="L32" s="6"/>
      <c r="V32" s="9"/>
    </row>
    <row r="33" spans="1:22">
      <c r="A33" s="1" t="s">
        <v>54</v>
      </c>
      <c r="B33" s="6">
        <v>0</v>
      </c>
      <c r="C33" s="1">
        <v>0</v>
      </c>
      <c r="D33" s="1">
        <v>318.22912297914218</v>
      </c>
      <c r="E33" s="1">
        <v>0</v>
      </c>
      <c r="F33" s="1">
        <v>0</v>
      </c>
      <c r="G33" s="9">
        <f>SUM(NE_FINANCIAL)</f>
        <v>318.22912297914218</v>
      </c>
      <c r="L33" s="6"/>
      <c r="V33" s="9"/>
    </row>
    <row r="34" spans="1:22">
      <c r="A34" s="1" t="s">
        <v>55</v>
      </c>
      <c r="B34" s="6">
        <v>0</v>
      </c>
      <c r="C34" s="1">
        <v>0</v>
      </c>
      <c r="D34" s="1">
        <v>-10981</v>
      </c>
      <c r="E34" s="1">
        <v>0</v>
      </c>
      <c r="F34" s="1">
        <v>0</v>
      </c>
      <c r="G34" s="9">
        <f>SUM(NV_FINANCIAL)</f>
        <v>-10981</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12165.184083543298</v>
      </c>
      <c r="E37" s="1">
        <v>0</v>
      </c>
      <c r="F37" s="1">
        <v>0</v>
      </c>
      <c r="G37" s="9">
        <f>SUM(NM_FINANCIAL)</f>
        <v>12165.184083543298</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-1476.0379582283495</v>
      </c>
      <c r="E39" s="1">
        <v>0</v>
      </c>
      <c r="F39" s="1">
        <v>0</v>
      </c>
      <c r="G39" s="9">
        <f>SUM(NC_FINANCIAL)</f>
        <v>-1476.0379582283495</v>
      </c>
      <c r="L39" s="6"/>
      <c r="V39" s="9"/>
    </row>
    <row r="40" spans="1:22">
      <c r="A40" s="1" t="s">
        <v>61</v>
      </c>
      <c r="B40" s="6">
        <v>0</v>
      </c>
      <c r="C40" s="1">
        <v>0</v>
      </c>
      <c r="D40" s="1">
        <v>198.12527444164743</v>
      </c>
      <c r="E40" s="1">
        <v>0</v>
      </c>
      <c r="F40" s="1">
        <v>0</v>
      </c>
      <c r="G40" s="9">
        <f>SUM(ND_FINANCIAL)</f>
        <v>198.12527444164743</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218295.4006204668</v>
      </c>
      <c r="E42" s="1">
        <v>0</v>
      </c>
      <c r="F42" s="1">
        <v>0</v>
      </c>
      <c r="G42" s="9">
        <f>SUM(OK_FINANCIAL)</f>
        <v>218295.4006204668</v>
      </c>
      <c r="L42" s="6">
        <v>0</v>
      </c>
      <c r="M42" s="1">
        <v>0</v>
      </c>
      <c r="O42" s="1">
        <v>0</v>
      </c>
      <c r="P42" s="1">
        <v>0</v>
      </c>
      <c r="R42" s="1">
        <v>400000</v>
      </c>
      <c r="S42" s="1">
        <v>0</v>
      </c>
      <c r="U42" s="1">
        <v>0</v>
      </c>
      <c r="V42" s="9">
        <v>0</v>
      </c>
    </row>
    <row r="43" spans="1:22">
      <c r="A43" s="1" t="s">
        <v>64</v>
      </c>
      <c r="B43" s="6">
        <v>0</v>
      </c>
      <c r="C43" s="1">
        <v>0</v>
      </c>
      <c r="D43" s="1">
        <v>138.94794211910039</v>
      </c>
      <c r="E43" s="1">
        <v>0</v>
      </c>
      <c r="F43" s="1">
        <v>0</v>
      </c>
      <c r="G43" s="9">
        <f>SUM(OR_FINANCIAL)</f>
        <v>138.94794211910039</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1483196.8793163202</v>
      </c>
      <c r="E47" s="1">
        <v>0</v>
      </c>
      <c r="F47" s="1">
        <v>0</v>
      </c>
      <c r="G47" s="9">
        <f>SUM(SC_FINANCIAL)</f>
        <v>1483196.8793163202</v>
      </c>
      <c r="L47" s="6">
        <v>0</v>
      </c>
      <c r="M47" s="1">
        <v>0</v>
      </c>
      <c r="O47" s="1">
        <v>0</v>
      </c>
      <c r="P47" s="1">
        <v>0</v>
      </c>
      <c r="R47" s="1">
        <v>1500000</v>
      </c>
      <c r="S47" s="1">
        <v>0</v>
      </c>
      <c r="U47" s="1">
        <v>0</v>
      </c>
      <c r="V47" s="9">
        <v>0</v>
      </c>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3137405.8279367057</v>
      </c>
      <c r="E50" s="1">
        <v>0</v>
      </c>
      <c r="F50" s="1">
        <v>0</v>
      </c>
      <c r="G50" s="9">
        <f>SUM(TX_FINANCIAL)</f>
        <v>3137405.8279367057</v>
      </c>
      <c r="L50" s="6">
        <v>0</v>
      </c>
      <c r="M50" s="1">
        <v>0</v>
      </c>
      <c r="O50" s="1">
        <v>0</v>
      </c>
      <c r="P50" s="1">
        <v>0</v>
      </c>
      <c r="R50" s="1">
        <v>7899980</v>
      </c>
      <c r="S50" s="1">
        <v>1450000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48.378880649392435</v>
      </c>
      <c r="E57" s="1">
        <v>0</v>
      </c>
      <c r="F57" s="1">
        <v>0</v>
      </c>
      <c r="G57" s="9">
        <f>SUM(WY_FINANCIAL)</f>
        <v>48.378880649392435</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11497817.278988643</v>
      </c>
      <c r="E60" s="1">
        <f>SUM(UNALLOCATED)</f>
        <v>0</v>
      </c>
      <c r="F60" s="1">
        <f>SUM(LTC)</f>
        <v>0</v>
      </c>
      <c r="G60" s="9">
        <f>SUM(ALL_BLOCKS)</f>
        <v>11497817.278988643</v>
      </c>
      <c r="L60" s="6">
        <f>SUM(LIFE_CALLED)</f>
        <v>0</v>
      </c>
      <c r="M60" s="1">
        <f>SUM(LIFE_REFUNDED)</f>
        <v>0</v>
      </c>
      <c r="O60" s="1">
        <f>SUM(ALLOC_CALLED)</f>
        <v>0</v>
      </c>
      <c r="P60" s="1">
        <f>SUM(ALLOC_REFUNDED)</f>
        <v>0</v>
      </c>
      <c r="R60" s="1">
        <f>SUM(HEALTH_CALLED)</f>
        <v>15692741</v>
      </c>
      <c r="S60" s="1">
        <f>SUM(HEALTH_REFUNDED)</f>
        <v>1450000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130</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575506.77905280993</v>
      </c>
      <c r="C6" s="1">
        <v>245144.28758403228</v>
      </c>
      <c r="D6" s="1">
        <v>0</v>
      </c>
      <c r="E6" s="1">
        <v>0</v>
      </c>
      <c r="F6" s="1">
        <v>0</v>
      </c>
      <c r="G6" s="9">
        <f>SUM(AL_FINANCIAL)</f>
        <v>820651.06663684221</v>
      </c>
      <c r="L6" s="6">
        <v>1419000</v>
      </c>
      <c r="M6" s="1">
        <v>0</v>
      </c>
      <c r="O6" s="1">
        <v>15909</v>
      </c>
      <c r="P6" s="1">
        <v>0</v>
      </c>
      <c r="R6" s="1">
        <v>0</v>
      </c>
      <c r="S6" s="1">
        <v>0</v>
      </c>
      <c r="U6" s="1">
        <v>0</v>
      </c>
      <c r="V6" s="9">
        <v>0</v>
      </c>
    </row>
    <row r="7" spans="1:22">
      <c r="A7" s="1" t="s">
        <v>12</v>
      </c>
      <c r="B7" s="6">
        <v>-4552.9972762040634</v>
      </c>
      <c r="C7" s="1">
        <v>0</v>
      </c>
      <c r="D7" s="1">
        <v>0</v>
      </c>
      <c r="E7" s="1">
        <v>0</v>
      </c>
      <c r="F7" s="1">
        <v>0</v>
      </c>
      <c r="G7" s="9">
        <f>SUM(AK_FINANCIAL)</f>
        <v>-4552.9972762040634</v>
      </c>
      <c r="I7" s="12"/>
      <c r="J7" s="15"/>
      <c r="L7" s="6">
        <v>68158</v>
      </c>
      <c r="M7" s="1">
        <v>41500</v>
      </c>
      <c r="O7" s="1">
        <v>0</v>
      </c>
      <c r="P7" s="1">
        <v>0</v>
      </c>
      <c r="R7" s="1">
        <v>1000</v>
      </c>
      <c r="S7" s="1">
        <v>0</v>
      </c>
      <c r="U7" s="1">
        <v>0</v>
      </c>
      <c r="V7" s="9">
        <v>0</v>
      </c>
    </row>
    <row r="8" spans="1:22">
      <c r="A8" s="1" t="s">
        <v>13</v>
      </c>
      <c r="B8" s="6">
        <v>1386950.5984946908</v>
      </c>
      <c r="C8" s="1">
        <v>77902.019848582626</v>
      </c>
      <c r="D8" s="1">
        <v>0</v>
      </c>
      <c r="E8" s="1">
        <v>0</v>
      </c>
      <c r="F8" s="1">
        <v>0</v>
      </c>
      <c r="G8" s="9">
        <f>SUM(AZ_FINANCIAL)</f>
        <v>1464852.6183432734</v>
      </c>
      <c r="I8" s="13" t="s">
        <v>14</v>
      </c>
      <c r="J8" s="16"/>
      <c r="L8" s="6">
        <v>1251703</v>
      </c>
      <c r="M8" s="1">
        <v>0</v>
      </c>
      <c r="O8" s="1">
        <v>44673</v>
      </c>
      <c r="P8" s="1">
        <v>0</v>
      </c>
      <c r="R8" s="1">
        <v>0</v>
      </c>
      <c r="S8" s="1">
        <v>0</v>
      </c>
      <c r="U8" s="1">
        <v>0</v>
      </c>
      <c r="V8" s="9">
        <v>0</v>
      </c>
    </row>
    <row r="9" spans="1:22">
      <c r="A9" s="1" t="s">
        <v>15</v>
      </c>
      <c r="B9" s="6">
        <v>519704.03972281993</v>
      </c>
      <c r="C9" s="1">
        <v>0</v>
      </c>
      <c r="D9" s="1">
        <v>0</v>
      </c>
      <c r="E9" s="1">
        <v>0</v>
      </c>
      <c r="F9" s="1">
        <v>0</v>
      </c>
      <c r="G9" s="9">
        <f>SUM(AR_FINANCIAL)</f>
        <v>519704.03972281993</v>
      </c>
      <c r="I9" s="13"/>
      <c r="J9" s="16"/>
      <c r="L9" s="6">
        <v>669513</v>
      </c>
      <c r="M9" s="1">
        <v>0</v>
      </c>
      <c r="O9" s="1">
        <v>0</v>
      </c>
      <c r="P9" s="1">
        <v>0</v>
      </c>
      <c r="R9" s="1">
        <v>0</v>
      </c>
      <c r="S9" s="1">
        <v>0</v>
      </c>
      <c r="U9" s="1">
        <v>0</v>
      </c>
      <c r="V9" s="9">
        <v>0</v>
      </c>
    </row>
    <row r="10" spans="1:22">
      <c r="A10" s="1" t="s">
        <v>16</v>
      </c>
      <c r="B10" s="6">
        <v>9814042.7385009639</v>
      </c>
      <c r="C10" s="1">
        <v>4615055.5849099187</v>
      </c>
      <c r="D10" s="1">
        <v>0</v>
      </c>
      <c r="E10" s="1">
        <v>0</v>
      </c>
      <c r="F10" s="1">
        <v>0</v>
      </c>
      <c r="G10" s="9">
        <f>SUM(CA_FINANCIAL)</f>
        <v>14429098.323410884</v>
      </c>
      <c r="I10" s="13" t="s">
        <v>17</v>
      </c>
      <c r="J10" s="16">
        <v>72462458.310899913</v>
      </c>
      <c r="L10" s="6">
        <v>17000000</v>
      </c>
      <c r="M10" s="1">
        <v>5715000</v>
      </c>
      <c r="O10" s="1">
        <v>7800000</v>
      </c>
      <c r="P10" s="1">
        <v>8563000</v>
      </c>
      <c r="R10" s="1">
        <v>270000</v>
      </c>
      <c r="S10" s="1">
        <v>0</v>
      </c>
      <c r="U10" s="1">
        <v>0</v>
      </c>
      <c r="V10" s="9">
        <v>0</v>
      </c>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45369.833579006139</v>
      </c>
      <c r="C13" s="1">
        <v>59975.535650317543</v>
      </c>
      <c r="D13" s="1">
        <v>0</v>
      </c>
      <c r="E13" s="1">
        <v>232037.84091795259</v>
      </c>
      <c r="F13" s="1">
        <v>0</v>
      </c>
      <c r="G13" s="9">
        <f>SUM(DE_FINANCIAL)</f>
        <v>337383.21014727629</v>
      </c>
      <c r="I13" s="13" t="s">
        <v>22</v>
      </c>
      <c r="J13" s="16">
        <v>79125416</v>
      </c>
      <c r="L13" s="6">
        <v>82000</v>
      </c>
      <c r="M13" s="1">
        <v>0</v>
      </c>
      <c r="O13" s="1">
        <v>418000</v>
      </c>
      <c r="P13" s="1">
        <v>0</v>
      </c>
      <c r="R13" s="1">
        <v>0</v>
      </c>
      <c r="S13" s="1">
        <v>0</v>
      </c>
      <c r="U13" s="1">
        <v>0</v>
      </c>
      <c r="V13" s="9">
        <v>0</v>
      </c>
    </row>
    <row r="14" spans="1:22">
      <c r="A14" s="1" t="s">
        <v>23</v>
      </c>
      <c r="B14" s="6">
        <v>0</v>
      </c>
      <c r="C14" s="1">
        <v>0</v>
      </c>
      <c r="D14" s="1">
        <v>0</v>
      </c>
      <c r="E14" s="1">
        <v>0</v>
      </c>
      <c r="F14" s="1">
        <v>0</v>
      </c>
      <c r="G14" s="9">
        <f>SUM(DC_FINANCIAL)</f>
        <v>0</v>
      </c>
      <c r="I14" s="13" t="s">
        <v>24</v>
      </c>
      <c r="J14" s="16">
        <v>4933932.9999999981</v>
      </c>
      <c r="L14" s="6"/>
      <c r="V14" s="9"/>
    </row>
    <row r="15" spans="1:22">
      <c r="A15" s="1" t="s">
        <v>25</v>
      </c>
      <c r="B15" s="6">
        <v>2477191.004463701</v>
      </c>
      <c r="C15" s="1">
        <v>1756526.1662031896</v>
      </c>
      <c r="D15" s="1">
        <v>0</v>
      </c>
      <c r="E15" s="1">
        <v>0</v>
      </c>
      <c r="F15" s="1">
        <v>0</v>
      </c>
      <c r="G15" s="9">
        <f>SUM(FL_FINANCIAL)</f>
        <v>4233717.1706668902</v>
      </c>
      <c r="I15" s="13" t="s">
        <v>26</v>
      </c>
      <c r="J15" s="16">
        <v>2897449.169999999</v>
      </c>
      <c r="L15" s="6">
        <v>2300000</v>
      </c>
      <c r="M15" s="1">
        <v>0</v>
      </c>
      <c r="O15" s="1">
        <v>1000000</v>
      </c>
      <c r="P15" s="1">
        <v>0</v>
      </c>
      <c r="R15" s="1">
        <v>1300000</v>
      </c>
      <c r="S15" s="1">
        <v>0</v>
      </c>
      <c r="U15" s="1">
        <v>0</v>
      </c>
      <c r="V15" s="9">
        <v>0</v>
      </c>
    </row>
    <row r="16" spans="1:22">
      <c r="A16" s="1" t="s">
        <v>27</v>
      </c>
      <c r="B16" s="6">
        <v>1195120.8848296409</v>
      </c>
      <c r="C16" s="1">
        <v>0</v>
      </c>
      <c r="D16" s="1">
        <v>0</v>
      </c>
      <c r="E16" s="1">
        <v>110519.7249168734</v>
      </c>
      <c r="F16" s="1">
        <v>0</v>
      </c>
      <c r="G16" s="9">
        <f>SUM(GA_FINANCIAL)</f>
        <v>1305640.6097465144</v>
      </c>
      <c r="I16" s="13" t="s">
        <v>28</v>
      </c>
      <c r="J16" s="16">
        <v>0</v>
      </c>
      <c r="L16" s="6">
        <v>1630072</v>
      </c>
      <c r="M16" s="1">
        <v>0</v>
      </c>
      <c r="O16" s="1">
        <v>0</v>
      </c>
      <c r="P16" s="1">
        <v>0</v>
      </c>
      <c r="R16" s="1">
        <v>0</v>
      </c>
      <c r="S16" s="1">
        <v>0</v>
      </c>
      <c r="U16" s="1">
        <v>157061</v>
      </c>
      <c r="V16" s="9">
        <v>-1770.53</v>
      </c>
    </row>
    <row r="17" spans="1:22">
      <c r="A17" s="1" t="s">
        <v>29</v>
      </c>
      <c r="B17" s="6">
        <v>68394.513320275961</v>
      </c>
      <c r="C17" s="1">
        <v>0</v>
      </c>
      <c r="D17" s="1">
        <v>0</v>
      </c>
      <c r="E17" s="1">
        <v>0</v>
      </c>
      <c r="F17" s="1">
        <v>0</v>
      </c>
      <c r="G17" s="9">
        <f>SUM(HI_FINANCIAL)</f>
        <v>68394.513320275961</v>
      </c>
      <c r="I17" s="13"/>
      <c r="J17" s="16"/>
      <c r="L17" s="6">
        <v>0</v>
      </c>
      <c r="M17" s="1">
        <v>19697</v>
      </c>
      <c r="O17" s="1">
        <v>0</v>
      </c>
      <c r="P17" s="1">
        <v>0</v>
      </c>
      <c r="R17" s="1">
        <v>121409</v>
      </c>
      <c r="S17" s="1">
        <v>0</v>
      </c>
      <c r="U17" s="1">
        <v>0</v>
      </c>
      <c r="V17" s="9">
        <v>0</v>
      </c>
    </row>
    <row r="18" spans="1:22">
      <c r="A18" s="1" t="s">
        <v>30</v>
      </c>
      <c r="B18" s="6">
        <v>131116.69432653923</v>
      </c>
      <c r="C18" s="1">
        <v>0</v>
      </c>
      <c r="D18" s="1">
        <v>0</v>
      </c>
      <c r="E18" s="1">
        <v>0</v>
      </c>
      <c r="F18" s="1">
        <v>0</v>
      </c>
      <c r="G18" s="9">
        <f>SUM(ID_FINANCIAL)</f>
        <v>131116.69432653923</v>
      </c>
      <c r="I18" s="13" t="s">
        <v>31</v>
      </c>
      <c r="J18" s="16"/>
      <c r="L18" s="6">
        <v>275000</v>
      </c>
      <c r="M18" s="1">
        <v>0</v>
      </c>
      <c r="O18" s="1">
        <v>0</v>
      </c>
      <c r="P18" s="1">
        <v>0</v>
      </c>
      <c r="R18" s="1">
        <v>0</v>
      </c>
      <c r="S18" s="1">
        <v>0</v>
      </c>
      <c r="U18" s="1">
        <v>0</v>
      </c>
      <c r="V18" s="9">
        <v>0</v>
      </c>
    </row>
    <row r="19" spans="1:22">
      <c r="A19" s="1" t="s">
        <v>32</v>
      </c>
      <c r="B19" s="6">
        <v>13188076.258957719</v>
      </c>
      <c r="C19" s="1">
        <v>3314131.1297161132</v>
      </c>
      <c r="D19" s="1">
        <v>0</v>
      </c>
      <c r="E19" s="1">
        <v>2431447.3482384542</v>
      </c>
      <c r="F19" s="1">
        <v>0</v>
      </c>
      <c r="G19" s="9">
        <f>SUM(IL_FINANCIAL)</f>
        <v>18933654.736912288</v>
      </c>
      <c r="I19" s="13" t="s">
        <v>33</v>
      </c>
      <c r="J19" s="16">
        <v>0</v>
      </c>
      <c r="L19" s="6">
        <v>15189000</v>
      </c>
      <c r="M19" s="1">
        <v>7787461</v>
      </c>
      <c r="O19" s="1">
        <v>6029000</v>
      </c>
      <c r="P19" s="1">
        <v>2127010</v>
      </c>
      <c r="R19" s="1">
        <v>200000</v>
      </c>
      <c r="S19" s="1">
        <v>221540</v>
      </c>
      <c r="U19" s="1">
        <v>15925000</v>
      </c>
      <c r="V19" s="9">
        <v>10987367</v>
      </c>
    </row>
    <row r="20" spans="1:22">
      <c r="A20" s="1" t="s">
        <v>34</v>
      </c>
      <c r="B20" s="6">
        <v>1234196.9246880396</v>
      </c>
      <c r="C20" s="1">
        <v>80397.911154496702</v>
      </c>
      <c r="D20" s="1">
        <v>0</v>
      </c>
      <c r="E20" s="1">
        <v>0</v>
      </c>
      <c r="F20" s="1">
        <v>0</v>
      </c>
      <c r="G20" s="9">
        <f>SUM(IN_FINANCIAL)</f>
        <v>1314594.8358425363</v>
      </c>
      <c r="I20" s="13" t="s">
        <v>35</v>
      </c>
      <c r="J20" s="16">
        <v>-1818282.7484705588</v>
      </c>
      <c r="L20" s="6">
        <v>1004167</v>
      </c>
      <c r="M20" s="1">
        <v>0</v>
      </c>
      <c r="O20" s="1">
        <v>0</v>
      </c>
      <c r="P20" s="1">
        <v>0</v>
      </c>
      <c r="R20" s="1">
        <v>0</v>
      </c>
      <c r="S20" s="1">
        <v>0</v>
      </c>
      <c r="U20" s="1">
        <v>0</v>
      </c>
      <c r="V20" s="9">
        <v>0</v>
      </c>
    </row>
    <row r="21" spans="1:22">
      <c r="A21" s="1" t="s">
        <v>36</v>
      </c>
      <c r="B21" s="6">
        <v>1320419.0433456562</v>
      </c>
      <c r="C21" s="1">
        <v>100279.3612348779</v>
      </c>
      <c r="D21" s="1">
        <v>0</v>
      </c>
      <c r="E21" s="1">
        <v>0</v>
      </c>
      <c r="F21" s="1">
        <v>0</v>
      </c>
      <c r="G21" s="9">
        <f>SUM(IA_FINANCIAL)</f>
        <v>1420698.4045805342</v>
      </c>
      <c r="I21" s="13" t="s">
        <v>37</v>
      </c>
      <c r="J21" s="16"/>
      <c r="L21" s="6">
        <v>1199870</v>
      </c>
      <c r="M21" s="1">
        <v>0</v>
      </c>
      <c r="O21" s="1">
        <v>436704</v>
      </c>
      <c r="P21" s="1">
        <v>0</v>
      </c>
      <c r="R21" s="1">
        <v>0</v>
      </c>
      <c r="S21" s="1">
        <v>0</v>
      </c>
      <c r="U21" s="1">
        <v>1040000</v>
      </c>
      <c r="V21" s="9">
        <v>0</v>
      </c>
    </row>
    <row r="22" spans="1:22">
      <c r="A22" s="1" t="s">
        <v>38</v>
      </c>
      <c r="B22" s="6">
        <v>207426.57403413404</v>
      </c>
      <c r="C22" s="1">
        <v>234322.78809978411</v>
      </c>
      <c r="D22" s="1">
        <v>0</v>
      </c>
      <c r="E22" s="1">
        <v>0</v>
      </c>
      <c r="F22" s="1">
        <v>0</v>
      </c>
      <c r="G22" s="9">
        <f>SUM(KS_FINANCIAL)</f>
        <v>441749.36213391816</v>
      </c>
      <c r="I22" s="13" t="s">
        <v>39</v>
      </c>
      <c r="J22" s="16">
        <v>370225</v>
      </c>
      <c r="L22" s="6">
        <v>450000</v>
      </c>
      <c r="M22" s="1">
        <v>0</v>
      </c>
      <c r="O22" s="1">
        <v>300000</v>
      </c>
      <c r="P22" s="1">
        <v>0</v>
      </c>
      <c r="R22" s="1">
        <v>0</v>
      </c>
      <c r="S22" s="1">
        <v>0</v>
      </c>
      <c r="U22" s="1">
        <v>0</v>
      </c>
      <c r="V22" s="9">
        <v>0</v>
      </c>
    </row>
    <row r="23" spans="1:22">
      <c r="A23" s="1" t="s">
        <v>40</v>
      </c>
      <c r="B23" s="6">
        <v>463898.03573189606</v>
      </c>
      <c r="C23" s="1">
        <v>16323.504421248354</v>
      </c>
      <c r="D23" s="1">
        <v>0</v>
      </c>
      <c r="E23" s="1">
        <v>0</v>
      </c>
      <c r="F23" s="1">
        <v>0</v>
      </c>
      <c r="G23" s="9">
        <f>SUM(KY_FINANCIAL)</f>
        <v>480221.54015314439</v>
      </c>
      <c r="I23" s="13" t="s">
        <v>41</v>
      </c>
      <c r="J23" s="16"/>
      <c r="L23" s="6">
        <v>643875</v>
      </c>
      <c r="M23" s="1">
        <v>150000</v>
      </c>
      <c r="O23" s="1">
        <v>11600</v>
      </c>
      <c r="P23" s="1">
        <v>0</v>
      </c>
      <c r="R23" s="1">
        <v>0</v>
      </c>
      <c r="S23" s="1">
        <v>0</v>
      </c>
      <c r="U23" s="1">
        <v>0</v>
      </c>
      <c r="V23" s="9">
        <v>0</v>
      </c>
    </row>
    <row r="24" spans="1:22">
      <c r="A24" s="1" t="s">
        <v>42</v>
      </c>
      <c r="B24" s="6">
        <v>-2.3283064365386963E-10</v>
      </c>
      <c r="C24" s="1">
        <v>0</v>
      </c>
      <c r="D24" s="1">
        <v>0</v>
      </c>
      <c r="E24" s="1">
        <v>0</v>
      </c>
      <c r="F24" s="1">
        <v>0</v>
      </c>
      <c r="G24" s="9">
        <f>SUM(LA_FINANCIAL)</f>
        <v>-2.3283064365386963E-10</v>
      </c>
      <c r="I24" s="13" t="s">
        <v>43</v>
      </c>
      <c r="J24" s="16">
        <v>53095510.000000015</v>
      </c>
      <c r="L24" s="6"/>
      <c r="V24" s="9"/>
    </row>
    <row r="25" spans="1:22">
      <c r="A25" s="1" t="s">
        <v>44</v>
      </c>
      <c r="B25" s="6">
        <v>91296.720195528527</v>
      </c>
      <c r="C25" s="1">
        <v>0</v>
      </c>
      <c r="D25" s="1">
        <v>0</v>
      </c>
      <c r="E25" s="1">
        <v>63667.402396726931</v>
      </c>
      <c r="F25" s="1">
        <v>0</v>
      </c>
      <c r="G25" s="9">
        <f>SUM(ME_FINANCIAL)</f>
        <v>154964.12259225547</v>
      </c>
      <c r="I25" s="13"/>
      <c r="J25" s="16"/>
      <c r="L25" s="6">
        <v>230000</v>
      </c>
      <c r="M25" s="1">
        <v>0</v>
      </c>
      <c r="O25" s="1">
        <v>0</v>
      </c>
      <c r="P25" s="1">
        <v>0</v>
      </c>
      <c r="R25" s="1">
        <v>0</v>
      </c>
      <c r="S25" s="1">
        <v>0</v>
      </c>
      <c r="U25" s="1">
        <v>0</v>
      </c>
      <c r="V25" s="9">
        <v>0</v>
      </c>
    </row>
    <row r="26" spans="1:22">
      <c r="A26" s="1" t="s">
        <v>45</v>
      </c>
      <c r="B26" s="6">
        <v>-2.3283064365386963E-10</v>
      </c>
      <c r="C26" s="1">
        <v>0</v>
      </c>
      <c r="D26" s="1">
        <v>0</v>
      </c>
      <c r="E26" s="1">
        <v>0</v>
      </c>
      <c r="F26" s="1">
        <v>0</v>
      </c>
      <c r="G26" s="9">
        <f>SUM(MD_FINANCIAL)</f>
        <v>-2.3283064365386963E-10</v>
      </c>
      <c r="I26" s="13" t="s">
        <v>46</v>
      </c>
      <c r="J26" s="16">
        <f>SUM(ADD_FINANCIAL)-SUM(LESS_FINANCIAL)</f>
        <v>107771804.22937045</v>
      </c>
      <c r="L26" s="6"/>
      <c r="V26" s="9"/>
    </row>
    <row r="27" spans="1:22">
      <c r="A27" s="1" t="s">
        <v>47</v>
      </c>
      <c r="B27" s="6">
        <v>1598221.2706992128</v>
      </c>
      <c r="C27" s="1">
        <v>0</v>
      </c>
      <c r="D27" s="1">
        <v>0</v>
      </c>
      <c r="E27" s="1">
        <v>0</v>
      </c>
      <c r="F27" s="1">
        <v>0</v>
      </c>
      <c r="G27" s="9">
        <f>SUM(MA_FINANCIAL)</f>
        <v>1598221.2706992128</v>
      </c>
      <c r="I27" s="13" t="s">
        <v>48</v>
      </c>
      <c r="J27" s="16">
        <f>SUM(ALL_BLOCKS)</f>
        <v>107771804.22937047</v>
      </c>
      <c r="L27" s="6">
        <v>2000000</v>
      </c>
      <c r="M27" s="1">
        <v>0</v>
      </c>
      <c r="O27" s="1">
        <v>0</v>
      </c>
      <c r="P27" s="1">
        <v>0</v>
      </c>
      <c r="R27" s="1">
        <v>0</v>
      </c>
      <c r="S27" s="1">
        <v>0</v>
      </c>
      <c r="U27" s="1">
        <v>0</v>
      </c>
      <c r="V27" s="9">
        <v>0</v>
      </c>
    </row>
    <row r="28" spans="1:22">
      <c r="A28" s="1" t="s">
        <v>49</v>
      </c>
      <c r="B28" s="6">
        <v>5156080.9320903979</v>
      </c>
      <c r="C28" s="1">
        <v>1624865.4421040844</v>
      </c>
      <c r="D28" s="1">
        <v>0</v>
      </c>
      <c r="E28" s="1">
        <v>3491311.3666136372</v>
      </c>
      <c r="F28" s="1">
        <v>0</v>
      </c>
      <c r="G28" s="9">
        <f>SUM(MI_FINANCIAL)</f>
        <v>10272257.74080812</v>
      </c>
      <c r="I28" s="14"/>
      <c r="J28" s="17"/>
      <c r="L28" s="6">
        <v>4100000</v>
      </c>
      <c r="M28" s="1">
        <v>900647</v>
      </c>
      <c r="O28" s="1">
        <v>2500000</v>
      </c>
      <c r="P28" s="1">
        <v>0</v>
      </c>
      <c r="R28" s="1">
        <v>0</v>
      </c>
      <c r="S28" s="1">
        <v>0</v>
      </c>
      <c r="U28" s="1">
        <v>10300000</v>
      </c>
      <c r="V28" s="9">
        <v>4497170</v>
      </c>
    </row>
    <row r="29" spans="1:22">
      <c r="A29" s="1" t="s">
        <v>50</v>
      </c>
      <c r="B29" s="6">
        <v>-0.16064403949885922</v>
      </c>
      <c r="C29" s="1">
        <v>61037.702092913081</v>
      </c>
      <c r="D29" s="1">
        <v>0</v>
      </c>
      <c r="E29" s="1">
        <v>2403902.3604149404</v>
      </c>
      <c r="F29" s="1">
        <v>0</v>
      </c>
      <c r="G29" s="9">
        <f>SUM(MN_FINANCIAL)</f>
        <v>2464939.9018638139</v>
      </c>
      <c r="L29" s="6">
        <v>447000</v>
      </c>
      <c r="M29" s="1">
        <v>353520</v>
      </c>
      <c r="O29" s="1">
        <v>3170000</v>
      </c>
      <c r="P29" s="1">
        <v>2592480</v>
      </c>
      <c r="R29" s="1">
        <v>0</v>
      </c>
      <c r="S29" s="1">
        <v>0</v>
      </c>
      <c r="U29" s="1">
        <v>0</v>
      </c>
      <c r="V29" s="9">
        <v>0</v>
      </c>
    </row>
    <row r="30" spans="1:22">
      <c r="A30" s="1" t="s">
        <v>51</v>
      </c>
      <c r="B30" s="6">
        <v>276221.05690131889</v>
      </c>
      <c r="C30" s="1">
        <v>17556.147758459134</v>
      </c>
      <c r="D30" s="1">
        <v>0</v>
      </c>
      <c r="E30" s="1">
        <v>0</v>
      </c>
      <c r="F30" s="1">
        <v>0</v>
      </c>
      <c r="G30" s="9">
        <f>SUM(MS_FINANCIAL)</f>
        <v>293777.20465977804</v>
      </c>
      <c r="L30" s="6">
        <v>368000</v>
      </c>
      <c r="M30" s="1">
        <v>0</v>
      </c>
      <c r="O30" s="1">
        <v>32000</v>
      </c>
      <c r="P30" s="1">
        <v>0</v>
      </c>
      <c r="R30" s="1">
        <v>0</v>
      </c>
      <c r="S30" s="1">
        <v>0</v>
      </c>
      <c r="U30" s="1">
        <v>0</v>
      </c>
      <c r="V30" s="9">
        <v>0</v>
      </c>
    </row>
    <row r="31" spans="1:22">
      <c r="A31" s="1" t="s">
        <v>52</v>
      </c>
      <c r="B31" s="6">
        <v>544027.02898497414</v>
      </c>
      <c r="C31" s="1">
        <v>184480.71788341177</v>
      </c>
      <c r="D31" s="1">
        <v>0</v>
      </c>
      <c r="E31" s="1">
        <v>0</v>
      </c>
      <c r="F31" s="1">
        <v>0</v>
      </c>
      <c r="G31" s="9">
        <f>SUM(MO_FINANCIAL)</f>
        <v>728507.74686838593</v>
      </c>
      <c r="L31" s="6">
        <v>1650000</v>
      </c>
      <c r="M31" s="1">
        <v>0</v>
      </c>
      <c r="O31" s="1">
        <v>353704</v>
      </c>
      <c r="P31" s="1">
        <v>0</v>
      </c>
      <c r="R31" s="1">
        <v>0</v>
      </c>
      <c r="S31" s="1">
        <v>0</v>
      </c>
      <c r="U31" s="1">
        <v>0</v>
      </c>
      <c r="V31" s="9">
        <v>0</v>
      </c>
    </row>
    <row r="32" spans="1:22">
      <c r="A32" s="1" t="s">
        <v>53</v>
      </c>
      <c r="B32" s="6">
        <v>242544.35738207214</v>
      </c>
      <c r="C32" s="1">
        <v>115273.10882349081</v>
      </c>
      <c r="D32" s="1">
        <v>0</v>
      </c>
      <c r="E32" s="1">
        <v>0</v>
      </c>
      <c r="F32" s="1">
        <v>0</v>
      </c>
      <c r="G32" s="9">
        <f>SUM(MT_FINANCIAL)</f>
        <v>357817.46620556293</v>
      </c>
      <c r="L32" s="6">
        <v>429300</v>
      </c>
      <c r="M32" s="1">
        <v>0</v>
      </c>
      <c r="O32" s="1">
        <v>56000</v>
      </c>
      <c r="P32" s="1">
        <v>0</v>
      </c>
      <c r="R32" s="1">
        <v>0</v>
      </c>
      <c r="S32" s="1">
        <v>0</v>
      </c>
      <c r="U32" s="1">
        <v>0</v>
      </c>
      <c r="V32" s="9">
        <v>0</v>
      </c>
    </row>
    <row r="33" spans="1:22">
      <c r="A33" s="1" t="s">
        <v>54</v>
      </c>
      <c r="B33" s="6">
        <v>1177367.4095338404</v>
      </c>
      <c r="C33" s="1">
        <v>119062.18176379008</v>
      </c>
      <c r="D33" s="1">
        <v>0</v>
      </c>
      <c r="E33" s="1">
        <v>0</v>
      </c>
      <c r="F33" s="1">
        <v>0</v>
      </c>
      <c r="G33" s="9">
        <f>SUM(NE_FINANCIAL)</f>
        <v>1296429.5912976305</v>
      </c>
      <c r="L33" s="6">
        <v>1639125</v>
      </c>
      <c r="M33" s="1">
        <v>137750</v>
      </c>
      <c r="O33" s="1">
        <v>102116</v>
      </c>
      <c r="P33" s="1">
        <v>7250</v>
      </c>
      <c r="R33" s="1">
        <v>0</v>
      </c>
      <c r="S33" s="1">
        <v>0</v>
      </c>
      <c r="U33" s="1">
        <v>0</v>
      </c>
      <c r="V33" s="9">
        <v>0</v>
      </c>
    </row>
    <row r="34" spans="1:22">
      <c r="A34" s="1" t="s">
        <v>55</v>
      </c>
      <c r="B34" s="6">
        <v>113329.80264569481</v>
      </c>
      <c r="C34" s="1">
        <v>15775.499696333382</v>
      </c>
      <c r="D34" s="1">
        <v>0</v>
      </c>
      <c r="E34" s="1">
        <v>0</v>
      </c>
      <c r="F34" s="1">
        <v>0</v>
      </c>
      <c r="G34" s="9">
        <f>SUM(NV_FINANCIAL)</f>
        <v>129105.3023420282</v>
      </c>
      <c r="L34" s="6">
        <v>213900</v>
      </c>
      <c r="M34" s="1">
        <v>0</v>
      </c>
      <c r="O34" s="1">
        <v>9500</v>
      </c>
      <c r="P34" s="1">
        <v>0</v>
      </c>
      <c r="R34" s="1">
        <v>0</v>
      </c>
      <c r="S34" s="1">
        <v>0</v>
      </c>
      <c r="U34" s="1">
        <v>0</v>
      </c>
      <c r="V34" s="9">
        <v>0</v>
      </c>
    </row>
    <row r="35" spans="1:22">
      <c r="A35" s="1" t="s">
        <v>56</v>
      </c>
      <c r="B35" s="6">
        <v>388191.9864102549</v>
      </c>
      <c r="C35" s="1">
        <v>146996.28813317491</v>
      </c>
      <c r="D35" s="1">
        <v>0</v>
      </c>
      <c r="E35" s="1">
        <v>607576.32708864158</v>
      </c>
      <c r="F35" s="1">
        <v>0</v>
      </c>
      <c r="G35" s="9">
        <f>SUM(NH_FINANCIAL)</f>
        <v>1142764.6016320714</v>
      </c>
      <c r="L35" s="6">
        <v>1283000</v>
      </c>
      <c r="M35" s="1">
        <v>250000</v>
      </c>
      <c r="O35" s="1">
        <v>1217000</v>
      </c>
      <c r="P35" s="1">
        <v>550000</v>
      </c>
      <c r="R35" s="1">
        <v>0</v>
      </c>
      <c r="S35" s="1">
        <v>0</v>
      </c>
      <c r="U35" s="1">
        <v>0</v>
      </c>
      <c r="V35" s="9">
        <v>0</v>
      </c>
    </row>
    <row r="36" spans="1:22">
      <c r="A36" s="1" t="s">
        <v>57</v>
      </c>
      <c r="B36" s="6">
        <v>7671000.4748165421</v>
      </c>
      <c r="C36" s="1">
        <v>1533725.2528033189</v>
      </c>
      <c r="D36" s="1">
        <v>0</v>
      </c>
      <c r="E36" s="1">
        <v>3477971.3466877248</v>
      </c>
      <c r="F36" s="1">
        <v>0</v>
      </c>
      <c r="G36" s="9">
        <f>SUM(NJ_FINANCIAL)</f>
        <v>12682697.074307585</v>
      </c>
      <c r="L36" s="6">
        <v>5500000</v>
      </c>
      <c r="M36" s="1">
        <v>3764806</v>
      </c>
      <c r="O36" s="1">
        <v>2508522</v>
      </c>
      <c r="P36" s="1">
        <v>4520000</v>
      </c>
      <c r="R36" s="1">
        <v>0</v>
      </c>
      <c r="S36" s="1">
        <v>0</v>
      </c>
      <c r="U36" s="1">
        <v>11404352</v>
      </c>
      <c r="V36" s="9">
        <v>0</v>
      </c>
    </row>
    <row r="37" spans="1:22">
      <c r="A37" s="1" t="s">
        <v>58</v>
      </c>
      <c r="B37" s="6">
        <v>208876.21458554908</v>
      </c>
      <c r="C37" s="1">
        <v>48649.417275770858</v>
      </c>
      <c r="D37" s="1">
        <v>0</v>
      </c>
      <c r="E37" s="1">
        <v>0</v>
      </c>
      <c r="F37" s="1">
        <v>0</v>
      </c>
      <c r="G37" s="9">
        <f>SUM(NM_FINANCIAL)</f>
        <v>257525.63186131994</v>
      </c>
      <c r="L37" s="6">
        <v>260000</v>
      </c>
      <c r="M37" s="1">
        <v>0</v>
      </c>
      <c r="O37" s="1">
        <v>55263</v>
      </c>
      <c r="P37" s="1">
        <v>0</v>
      </c>
      <c r="R37" s="1">
        <v>0</v>
      </c>
      <c r="S37" s="1">
        <v>0</v>
      </c>
      <c r="U37" s="1">
        <v>0</v>
      </c>
      <c r="V37" s="9">
        <v>0</v>
      </c>
    </row>
    <row r="38" spans="1:22">
      <c r="A38" s="1" t="s">
        <v>59</v>
      </c>
      <c r="B38" s="6">
        <v>4.6566128730773926E-10</v>
      </c>
      <c r="C38" s="1">
        <v>0</v>
      </c>
      <c r="D38" s="1">
        <v>0</v>
      </c>
      <c r="E38" s="1">
        <v>0</v>
      </c>
      <c r="F38" s="1">
        <v>0</v>
      </c>
      <c r="G38" s="9">
        <f>SUM(NY_FINANCIAL)</f>
        <v>4.6566128730773926E-10</v>
      </c>
      <c r="L38" s="6"/>
      <c r="V38" s="9"/>
    </row>
    <row r="39" spans="1:22">
      <c r="A39" s="1" t="s">
        <v>60</v>
      </c>
      <c r="B39" s="6">
        <v>3056073.9838651726</v>
      </c>
      <c r="C39" s="1">
        <v>343856.2833639218</v>
      </c>
      <c r="D39" s="1">
        <v>0</v>
      </c>
      <c r="E39" s="1">
        <v>220855.22559240862</v>
      </c>
      <c r="F39" s="1">
        <v>0</v>
      </c>
      <c r="G39" s="9">
        <f>SUM(NC_FINANCIAL)</f>
        <v>3620785.492821503</v>
      </c>
      <c r="L39" s="6">
        <v>5044000</v>
      </c>
      <c r="M39" s="1">
        <v>533500</v>
      </c>
      <c r="O39" s="1">
        <v>156000</v>
      </c>
      <c r="P39" s="1">
        <v>0</v>
      </c>
      <c r="R39" s="1">
        <v>0</v>
      </c>
      <c r="S39" s="1">
        <v>0</v>
      </c>
      <c r="U39" s="1">
        <v>0</v>
      </c>
      <c r="V39" s="9">
        <v>0</v>
      </c>
    </row>
    <row r="40" spans="1:22">
      <c r="A40" s="1" t="s">
        <v>61</v>
      </c>
      <c r="B40" s="6">
        <v>140258.58576626328</v>
      </c>
      <c r="C40" s="1">
        <v>19029.144577259776</v>
      </c>
      <c r="D40" s="1">
        <v>0</v>
      </c>
      <c r="E40" s="1">
        <v>0</v>
      </c>
      <c r="F40" s="1">
        <v>0</v>
      </c>
      <c r="G40" s="9">
        <f>SUM(ND_FINANCIAL)</f>
        <v>159287.73034352306</v>
      </c>
      <c r="L40" s="6">
        <v>192600</v>
      </c>
      <c r="M40" s="1">
        <v>0</v>
      </c>
      <c r="O40" s="1">
        <v>16600</v>
      </c>
      <c r="P40" s="1">
        <v>0</v>
      </c>
      <c r="R40" s="1">
        <v>0</v>
      </c>
      <c r="S40" s="1">
        <v>0</v>
      </c>
      <c r="U40" s="1">
        <v>0</v>
      </c>
      <c r="V40" s="9">
        <v>0</v>
      </c>
    </row>
    <row r="41" spans="1:22">
      <c r="A41" s="1" t="s">
        <v>62</v>
      </c>
      <c r="B41" s="6">
        <v>3585992.1221347293</v>
      </c>
      <c r="C41" s="1">
        <v>315304.01980564836</v>
      </c>
      <c r="D41" s="1">
        <v>0</v>
      </c>
      <c r="E41" s="1">
        <v>481454.88721310091</v>
      </c>
      <c r="F41" s="1">
        <v>0</v>
      </c>
      <c r="G41" s="9">
        <f>SUM(OH_FINANCIAL)</f>
        <v>4382751.0291534783</v>
      </c>
      <c r="L41" s="6">
        <v>3500000</v>
      </c>
      <c r="M41" s="1">
        <v>0</v>
      </c>
      <c r="O41" s="1">
        <v>200000</v>
      </c>
      <c r="P41" s="1">
        <v>0</v>
      </c>
      <c r="R41" s="1">
        <v>0</v>
      </c>
      <c r="S41" s="1">
        <v>0</v>
      </c>
      <c r="U41" s="1">
        <v>3000000</v>
      </c>
      <c r="V41" s="9">
        <v>2500000</v>
      </c>
    </row>
    <row r="42" spans="1:22">
      <c r="A42" s="1" t="s">
        <v>63</v>
      </c>
      <c r="B42" s="6">
        <v>410169.41005632852</v>
      </c>
      <c r="C42" s="1">
        <v>258100.05506558172</v>
      </c>
      <c r="D42" s="1">
        <v>0</v>
      </c>
      <c r="E42" s="1">
        <v>0</v>
      </c>
      <c r="F42" s="1">
        <v>0</v>
      </c>
      <c r="G42" s="9">
        <f>SUM(OK_FINANCIAL)</f>
        <v>668269.46512191021</v>
      </c>
      <c r="L42" s="6">
        <v>768000</v>
      </c>
      <c r="M42" s="1">
        <v>160000</v>
      </c>
      <c r="O42" s="1">
        <v>432000</v>
      </c>
      <c r="P42" s="1">
        <v>90000</v>
      </c>
      <c r="R42" s="1">
        <v>0</v>
      </c>
      <c r="S42" s="1">
        <v>0</v>
      </c>
      <c r="U42" s="1">
        <v>0</v>
      </c>
      <c r="V42" s="9">
        <v>0</v>
      </c>
    </row>
    <row r="43" spans="1:22">
      <c r="A43" s="1" t="s">
        <v>64</v>
      </c>
      <c r="B43" s="6">
        <v>490940.04214307887</v>
      </c>
      <c r="C43" s="1">
        <v>3307.6975564176892</v>
      </c>
      <c r="D43" s="1">
        <v>0</v>
      </c>
      <c r="E43" s="1">
        <v>0</v>
      </c>
      <c r="F43" s="1">
        <v>0</v>
      </c>
      <c r="G43" s="9">
        <f>SUM(OR_FINANCIAL)</f>
        <v>494247.73969949654</v>
      </c>
      <c r="L43" s="6">
        <v>619914</v>
      </c>
      <c r="M43" s="1">
        <v>0</v>
      </c>
      <c r="O43" s="1">
        <v>0</v>
      </c>
      <c r="P43" s="1">
        <v>0</v>
      </c>
      <c r="R43" s="1">
        <v>0</v>
      </c>
      <c r="S43" s="1">
        <v>0</v>
      </c>
      <c r="U43" s="1">
        <v>0</v>
      </c>
      <c r="V43" s="9">
        <v>0</v>
      </c>
    </row>
    <row r="44" spans="1:22">
      <c r="A44" s="1" t="s">
        <v>65</v>
      </c>
      <c r="B44" s="6">
        <v>4846863.6182279177</v>
      </c>
      <c r="C44" s="1">
        <v>772328.39742092928</v>
      </c>
      <c r="D44" s="1">
        <v>0</v>
      </c>
      <c r="E44" s="1">
        <v>1538614.18334295</v>
      </c>
      <c r="F44" s="1">
        <v>0</v>
      </c>
      <c r="G44" s="9">
        <f>SUM(PA_FINANCIAL)</f>
        <v>7157806.1989917979</v>
      </c>
      <c r="L44" s="6">
        <v>4460640</v>
      </c>
      <c r="M44" s="1">
        <v>0</v>
      </c>
      <c r="O44" s="1">
        <v>5736310</v>
      </c>
      <c r="P44" s="1">
        <v>0</v>
      </c>
      <c r="R44" s="1">
        <v>803050</v>
      </c>
      <c r="S44" s="1">
        <v>0</v>
      </c>
      <c r="U44" s="1">
        <v>0</v>
      </c>
      <c r="V44" s="9">
        <v>0</v>
      </c>
    </row>
    <row r="45" spans="1:22">
      <c r="A45" s="1" t="s">
        <v>66</v>
      </c>
      <c r="B45" s="6">
        <v>0</v>
      </c>
      <c r="C45" s="1">
        <v>0</v>
      </c>
      <c r="D45" s="1">
        <v>0</v>
      </c>
      <c r="E45" s="1">
        <v>0</v>
      </c>
      <c r="F45" s="1">
        <v>0</v>
      </c>
      <c r="G45" s="9">
        <f>SUM(PR_FINANCIAL)</f>
        <v>0</v>
      </c>
      <c r="L45" s="6">
        <v>14808</v>
      </c>
      <c r="M45" s="1">
        <v>0</v>
      </c>
      <c r="O45" s="1">
        <v>0</v>
      </c>
      <c r="P45" s="1">
        <v>0</v>
      </c>
      <c r="R45" s="1">
        <v>0</v>
      </c>
      <c r="S45" s="1">
        <v>0</v>
      </c>
      <c r="U45" s="1">
        <v>0</v>
      </c>
      <c r="V45" s="9">
        <v>0</v>
      </c>
    </row>
    <row r="46" spans="1:22">
      <c r="A46" s="1" t="s">
        <v>67</v>
      </c>
      <c r="B46" s="6">
        <v>336135.66800992435</v>
      </c>
      <c r="C46" s="1">
        <v>0</v>
      </c>
      <c r="D46" s="1">
        <v>0</v>
      </c>
      <c r="E46" s="1">
        <v>0</v>
      </c>
      <c r="F46" s="1">
        <v>0</v>
      </c>
      <c r="G46" s="9">
        <f>SUM(RI_FINANCIAL)</f>
        <v>336135.66800992435</v>
      </c>
      <c r="L46" s="6">
        <v>427727</v>
      </c>
      <c r="M46" s="1">
        <v>0</v>
      </c>
      <c r="O46" s="1">
        <v>0</v>
      </c>
      <c r="P46" s="1">
        <v>0</v>
      </c>
      <c r="R46" s="1">
        <v>0</v>
      </c>
      <c r="S46" s="1">
        <v>0</v>
      </c>
      <c r="U46" s="1">
        <v>0</v>
      </c>
      <c r="V46" s="9">
        <v>0</v>
      </c>
    </row>
    <row r="47" spans="1:22">
      <c r="A47" s="1" t="s">
        <v>68</v>
      </c>
      <c r="B47" s="6">
        <v>844274.53144225897</v>
      </c>
      <c r="C47" s="1">
        <v>200549.89022030809</v>
      </c>
      <c r="D47" s="1">
        <v>0</v>
      </c>
      <c r="E47" s="1">
        <v>0</v>
      </c>
      <c r="F47" s="1">
        <v>0</v>
      </c>
      <c r="G47" s="9">
        <f>SUM(SC_FINANCIAL)</f>
        <v>1044824.4216625671</v>
      </c>
      <c r="L47" s="6">
        <v>928000</v>
      </c>
      <c r="M47" s="1">
        <v>0</v>
      </c>
      <c r="O47" s="1">
        <v>72000</v>
      </c>
      <c r="P47" s="1">
        <v>0</v>
      </c>
      <c r="R47" s="1">
        <v>0</v>
      </c>
      <c r="S47" s="1">
        <v>0</v>
      </c>
      <c r="U47" s="1">
        <v>0</v>
      </c>
      <c r="V47" s="9">
        <v>0</v>
      </c>
    </row>
    <row r="48" spans="1:22">
      <c r="A48" s="1" t="s">
        <v>69</v>
      </c>
      <c r="B48" s="6">
        <v>132123.37629983868</v>
      </c>
      <c r="C48" s="1">
        <v>0</v>
      </c>
      <c r="D48" s="1">
        <v>0</v>
      </c>
      <c r="E48" s="1">
        <v>0</v>
      </c>
      <c r="F48" s="1">
        <v>0</v>
      </c>
      <c r="G48" s="9">
        <f>SUM(SD_FINANCIAL)</f>
        <v>132123.37629983868</v>
      </c>
      <c r="L48" s="6">
        <v>181962</v>
      </c>
      <c r="M48" s="1">
        <v>0</v>
      </c>
      <c r="O48" s="1">
        <v>0</v>
      </c>
      <c r="P48" s="1">
        <v>0</v>
      </c>
      <c r="R48" s="1">
        <v>0</v>
      </c>
      <c r="S48" s="1">
        <v>0</v>
      </c>
      <c r="U48" s="1">
        <v>0</v>
      </c>
      <c r="V48" s="9">
        <v>0</v>
      </c>
    </row>
    <row r="49" spans="1:22">
      <c r="A49" s="1" t="s">
        <v>70</v>
      </c>
      <c r="B49" s="6">
        <v>589585.75095035997</v>
      </c>
      <c r="C49" s="1">
        <v>14063.664009104332</v>
      </c>
      <c r="D49" s="1">
        <v>0</v>
      </c>
      <c r="E49" s="1">
        <v>0</v>
      </c>
      <c r="F49" s="1">
        <v>0</v>
      </c>
      <c r="G49" s="9">
        <f>SUM(TN_FINANCIAL)</f>
        <v>603649.41495946434</v>
      </c>
      <c r="L49" s="6">
        <v>800000</v>
      </c>
      <c r="M49" s="1">
        <v>0</v>
      </c>
      <c r="O49" s="1">
        <v>15000</v>
      </c>
      <c r="P49" s="1">
        <v>0</v>
      </c>
      <c r="R49" s="1">
        <v>0</v>
      </c>
      <c r="S49" s="1">
        <v>0</v>
      </c>
      <c r="U49" s="1">
        <v>0</v>
      </c>
      <c r="V49" s="9">
        <v>0</v>
      </c>
    </row>
    <row r="50" spans="1:22">
      <c r="A50" s="1" t="s">
        <v>71</v>
      </c>
      <c r="B50" s="6">
        <v>4940302.6584821995</v>
      </c>
      <c r="C50" s="1">
        <v>1145849.2949819188</v>
      </c>
      <c r="D50" s="1">
        <v>0</v>
      </c>
      <c r="E50" s="1">
        <v>2829708.7647490716</v>
      </c>
      <c r="F50" s="1">
        <v>0</v>
      </c>
      <c r="G50" s="9">
        <f>SUM(TX_FINANCIAL)</f>
        <v>8915860.7182131894</v>
      </c>
      <c r="L50" s="6">
        <v>7943606</v>
      </c>
      <c r="M50" s="1">
        <v>2763533.6333499998</v>
      </c>
      <c r="O50" s="1">
        <v>3266771</v>
      </c>
      <c r="P50" s="1">
        <v>1029679.6889800001</v>
      </c>
      <c r="R50" s="1">
        <v>1337174</v>
      </c>
      <c r="S50" s="1">
        <v>421519.62767000002</v>
      </c>
      <c r="U50" s="1">
        <v>0</v>
      </c>
      <c r="V50" s="9">
        <v>0</v>
      </c>
    </row>
    <row r="51" spans="1:22">
      <c r="A51" s="1" t="s">
        <v>72</v>
      </c>
      <c r="B51" s="6">
        <v>340421.35796203499</v>
      </c>
      <c r="C51" s="1">
        <v>69358.267657500081</v>
      </c>
      <c r="D51" s="1">
        <v>0</v>
      </c>
      <c r="E51" s="1">
        <v>72.716908959676857</v>
      </c>
      <c r="F51" s="1">
        <v>0</v>
      </c>
      <c r="G51" s="9">
        <f>SUM(UT_FINANCIAL)</f>
        <v>409852.34252849477</v>
      </c>
      <c r="L51" s="6">
        <v>591592</v>
      </c>
      <c r="M51" s="1">
        <v>0</v>
      </c>
      <c r="O51" s="1">
        <v>97832</v>
      </c>
      <c r="P51" s="1">
        <v>0</v>
      </c>
      <c r="R51" s="1">
        <v>250</v>
      </c>
      <c r="S51" s="1">
        <v>0</v>
      </c>
      <c r="U51" s="1">
        <v>0</v>
      </c>
      <c r="V51" s="9">
        <v>0</v>
      </c>
    </row>
    <row r="52" spans="1:22">
      <c r="A52" s="1" t="s">
        <v>73</v>
      </c>
      <c r="B52" s="6">
        <v>48628.380846166881</v>
      </c>
      <c r="C52" s="1">
        <v>2813.8426878663549</v>
      </c>
      <c r="D52" s="1">
        <v>0</v>
      </c>
      <c r="E52" s="1">
        <v>0</v>
      </c>
      <c r="F52" s="1">
        <v>0</v>
      </c>
      <c r="G52" s="9">
        <f>SUM(VT_FINANCIAL)</f>
        <v>51442.223534033234</v>
      </c>
      <c r="L52" s="6">
        <v>81000</v>
      </c>
      <c r="M52" s="1">
        <v>0</v>
      </c>
      <c r="O52" s="1">
        <v>6000</v>
      </c>
      <c r="P52" s="1">
        <v>0</v>
      </c>
      <c r="R52" s="1">
        <v>0</v>
      </c>
      <c r="S52" s="1">
        <v>0</v>
      </c>
      <c r="U52" s="1">
        <v>0</v>
      </c>
      <c r="V52" s="9">
        <v>0</v>
      </c>
    </row>
    <row r="53" spans="1:22">
      <c r="A53" s="1" t="s">
        <v>74</v>
      </c>
      <c r="B53" s="6">
        <v>758017.40106835263</v>
      </c>
      <c r="C53" s="1">
        <v>5759.1419402080737</v>
      </c>
      <c r="D53" s="1">
        <v>0</v>
      </c>
      <c r="E53" s="1">
        <v>0</v>
      </c>
      <c r="F53" s="1">
        <v>0</v>
      </c>
      <c r="G53" s="9">
        <f>SUM(VA_FINANCIAL)</f>
        <v>763776.54300856066</v>
      </c>
      <c r="L53" s="6">
        <v>2000000</v>
      </c>
      <c r="M53" s="1">
        <v>2556164</v>
      </c>
      <c r="O53" s="1">
        <v>85000</v>
      </c>
      <c r="P53" s="1">
        <v>0</v>
      </c>
      <c r="R53" s="1">
        <v>0</v>
      </c>
      <c r="S53" s="1">
        <v>0</v>
      </c>
      <c r="U53" s="1">
        <v>0</v>
      </c>
      <c r="V53" s="9">
        <v>0</v>
      </c>
    </row>
    <row r="54" spans="1:22">
      <c r="A54" s="1" t="s">
        <v>75</v>
      </c>
      <c r="B54" s="6">
        <v>898985.55433335283</v>
      </c>
      <c r="C54" s="1">
        <v>221020.68532045238</v>
      </c>
      <c r="D54" s="1">
        <v>0</v>
      </c>
      <c r="E54" s="1">
        <v>0</v>
      </c>
      <c r="F54" s="1">
        <v>0</v>
      </c>
      <c r="G54" s="9">
        <f>SUM(WA_FINANCIAL)</f>
        <v>1120006.2396538053</v>
      </c>
      <c r="L54" s="6">
        <v>1175000</v>
      </c>
      <c r="M54" s="1">
        <v>315235</v>
      </c>
      <c r="O54" s="1">
        <v>400000</v>
      </c>
      <c r="P54" s="1">
        <v>288326</v>
      </c>
      <c r="R54" s="1">
        <v>0</v>
      </c>
      <c r="S54" s="1">
        <v>0</v>
      </c>
      <c r="U54" s="1">
        <v>0</v>
      </c>
      <c r="V54" s="9">
        <v>0</v>
      </c>
    </row>
    <row r="55" spans="1:22">
      <c r="A55" s="1" t="s">
        <v>76</v>
      </c>
      <c r="B55" s="6">
        <v>94345.308271840273</v>
      </c>
      <c r="C55" s="1">
        <v>1053.384859884105</v>
      </c>
      <c r="D55" s="1">
        <v>0</v>
      </c>
      <c r="E55" s="1">
        <v>0</v>
      </c>
      <c r="F55" s="1">
        <v>0</v>
      </c>
      <c r="G55" s="9">
        <f>SUM(WV_FINANCIAL)</f>
        <v>95398.693131724373</v>
      </c>
      <c r="L55" s="6">
        <v>157506</v>
      </c>
      <c r="M55" s="1">
        <v>86553</v>
      </c>
      <c r="O55" s="1">
        <v>101999</v>
      </c>
      <c r="P55" s="1">
        <v>24519</v>
      </c>
      <c r="R55" s="1">
        <v>0</v>
      </c>
      <c r="S55" s="1">
        <v>0</v>
      </c>
      <c r="U55" s="1">
        <v>0</v>
      </c>
      <c r="V55" s="9">
        <v>0</v>
      </c>
    </row>
    <row r="56" spans="1:22">
      <c r="A56" s="1" t="s">
        <v>77</v>
      </c>
      <c r="B56" s="6">
        <v>200805.41480724691</v>
      </c>
      <c r="C56" s="1">
        <v>199010.16854199956</v>
      </c>
      <c r="D56" s="1">
        <v>0</v>
      </c>
      <c r="E56" s="1">
        <v>0</v>
      </c>
      <c r="F56" s="1">
        <v>0</v>
      </c>
      <c r="G56" s="9">
        <f>SUM(WI_FINANCIAL)</f>
        <v>399815.58334924647</v>
      </c>
      <c r="L56" s="6">
        <v>420000</v>
      </c>
      <c r="M56" s="1">
        <v>0</v>
      </c>
      <c r="O56" s="1">
        <v>320000</v>
      </c>
      <c r="P56" s="1">
        <v>0</v>
      </c>
      <c r="R56" s="1">
        <v>0</v>
      </c>
      <c r="S56" s="1">
        <v>0</v>
      </c>
      <c r="U56" s="1">
        <v>0</v>
      </c>
      <c r="V56" s="9">
        <v>0</v>
      </c>
    </row>
    <row r="57" spans="1:22">
      <c r="A57" s="1" t="s">
        <v>78</v>
      </c>
      <c r="B57" s="6">
        <v>126241.63883353157</v>
      </c>
      <c r="C57" s="1">
        <v>13597.92624909637</v>
      </c>
      <c r="D57" s="1">
        <v>0</v>
      </c>
      <c r="E57" s="1">
        <v>0</v>
      </c>
      <c r="F57" s="1">
        <v>0</v>
      </c>
      <c r="G57" s="9">
        <f>SUM(WY_FINANCIAL)</f>
        <v>139839.56508262793</v>
      </c>
      <c r="L57" s="6">
        <v>150150</v>
      </c>
      <c r="M57" s="1">
        <v>299619</v>
      </c>
      <c r="O57" s="1">
        <v>200600</v>
      </c>
      <c r="P57" s="1">
        <v>74905</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71930182.822873682</v>
      </c>
      <c r="C60" s="1">
        <f>SUM(ALLOCATED)</f>
        <v>17952481.911415406</v>
      </c>
      <c r="D60" s="1">
        <f>SUM(HEALTH)</f>
        <v>0</v>
      </c>
      <c r="E60" s="1">
        <f>SUM(UNALLOCATED)</f>
        <v>17889139.495081443</v>
      </c>
      <c r="F60" s="1">
        <f>SUM(LTC)</f>
        <v>0</v>
      </c>
      <c r="G60" s="9">
        <f>SUM(ALL_BLOCKS)</f>
        <v>107771804.22937047</v>
      </c>
      <c r="L60" s="6">
        <f>SUM(LIFE_CALLED)</f>
        <v>90759188</v>
      </c>
      <c r="M60" s="1">
        <f>SUM(LIFE_REFUNDED)</f>
        <v>25834985.63335</v>
      </c>
      <c r="O60" s="1">
        <f>SUM(ALLOC_CALLED)</f>
        <v>37166103</v>
      </c>
      <c r="P60" s="1">
        <f>SUM(ALLOC_REFUNDED)</f>
        <v>19867169.688979998</v>
      </c>
      <c r="R60" s="1">
        <f>SUM(HEALTH_CALLED)</f>
        <v>4032883</v>
      </c>
      <c r="S60" s="1">
        <f>SUM(HEALTH_REFUNDED)</f>
        <v>643059.62767000007</v>
      </c>
      <c r="U60" s="1">
        <f>SUM(UNALLOC_CALLED)</f>
        <v>41826413</v>
      </c>
      <c r="V60" s="9">
        <f>SUM(UNALLOC_REFUNDED)</f>
        <v>17982766.469999999</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131</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1447.6828388237245</v>
      </c>
      <c r="C6" s="1">
        <v>0</v>
      </c>
      <c r="D6" s="1">
        <v>0</v>
      </c>
      <c r="E6" s="1">
        <v>0</v>
      </c>
      <c r="F6" s="1">
        <v>0</v>
      </c>
      <c r="G6" s="9">
        <f>SUM(AL_FINANCIAL)</f>
        <v>1447.6828388237245</v>
      </c>
      <c r="L6" s="6"/>
      <c r="V6" s="9"/>
    </row>
    <row r="7" spans="1:22">
      <c r="A7" s="1" t="s">
        <v>12</v>
      </c>
      <c r="B7" s="6">
        <v>602</v>
      </c>
      <c r="C7" s="1">
        <v>0</v>
      </c>
      <c r="D7" s="1">
        <v>0</v>
      </c>
      <c r="E7" s="1">
        <v>0</v>
      </c>
      <c r="F7" s="1">
        <v>0</v>
      </c>
      <c r="G7" s="9">
        <f>SUM(AK_FINANCIAL)</f>
        <v>602</v>
      </c>
      <c r="I7" s="12"/>
      <c r="J7" s="15"/>
      <c r="L7" s="6"/>
      <c r="V7" s="9"/>
    </row>
    <row r="8" spans="1:22">
      <c r="A8" s="1" t="s">
        <v>13</v>
      </c>
      <c r="B8" s="6">
        <v>82122.277088855219</v>
      </c>
      <c r="C8" s="1">
        <v>49145.865187966992</v>
      </c>
      <c r="D8" s="1">
        <v>0</v>
      </c>
      <c r="E8" s="1">
        <v>0</v>
      </c>
      <c r="F8" s="1">
        <v>0</v>
      </c>
      <c r="G8" s="9">
        <f>SUM(AZ_FINANCIAL)</f>
        <v>131268.14227682221</v>
      </c>
      <c r="I8" s="13" t="s">
        <v>14</v>
      </c>
      <c r="J8" s="16"/>
      <c r="L8" s="6"/>
      <c r="V8" s="9"/>
    </row>
    <row r="9" spans="1:22">
      <c r="A9" s="1" t="s">
        <v>15</v>
      </c>
      <c r="B9" s="6">
        <v>13532.603127788992</v>
      </c>
      <c r="C9" s="1">
        <v>12683.963821730751</v>
      </c>
      <c r="D9" s="1">
        <v>0</v>
      </c>
      <c r="E9" s="1">
        <v>0</v>
      </c>
      <c r="F9" s="1">
        <v>0</v>
      </c>
      <c r="G9" s="9">
        <f>SUM(AR_FINANCIAL)</f>
        <v>26216.566949519744</v>
      </c>
      <c r="I9" s="13"/>
      <c r="J9" s="16"/>
      <c r="L9" s="6">
        <v>70158</v>
      </c>
      <c r="M9" s="1">
        <v>0</v>
      </c>
      <c r="O9" s="1">
        <v>0</v>
      </c>
      <c r="P9" s="1">
        <v>0</v>
      </c>
      <c r="R9" s="1">
        <v>0</v>
      </c>
      <c r="S9" s="1">
        <v>0</v>
      </c>
      <c r="U9" s="1">
        <v>0</v>
      </c>
      <c r="V9" s="9">
        <v>0</v>
      </c>
    </row>
    <row r="10" spans="1:22">
      <c r="A10" s="1" t="s">
        <v>16</v>
      </c>
      <c r="B10" s="6">
        <v>170118.25012718188</v>
      </c>
      <c r="C10" s="1">
        <v>24520.92575714807</v>
      </c>
      <c r="D10" s="1">
        <v>0</v>
      </c>
      <c r="E10" s="1">
        <v>0</v>
      </c>
      <c r="F10" s="1">
        <v>0</v>
      </c>
      <c r="G10" s="9">
        <f>SUM(CA_FINANCIAL)</f>
        <v>194639.17588432995</v>
      </c>
      <c r="I10" s="13" t="s">
        <v>17</v>
      </c>
      <c r="J10" s="16">
        <v>12183752</v>
      </c>
      <c r="L10" s="6">
        <v>1393120</v>
      </c>
      <c r="M10" s="1">
        <v>300000</v>
      </c>
      <c r="O10" s="1">
        <v>206880</v>
      </c>
      <c r="P10" s="1">
        <v>0</v>
      </c>
      <c r="R10" s="1">
        <v>0</v>
      </c>
      <c r="S10" s="1">
        <v>0</v>
      </c>
      <c r="U10" s="1">
        <v>0</v>
      </c>
      <c r="V10" s="9">
        <v>0</v>
      </c>
    </row>
    <row r="11" spans="1:22">
      <c r="A11" s="1" t="s">
        <v>18</v>
      </c>
      <c r="B11" s="6">
        <v>9643.0587551195313</v>
      </c>
      <c r="C11" s="1">
        <v>4498.9033746396126</v>
      </c>
      <c r="D11" s="1">
        <v>0</v>
      </c>
      <c r="E11" s="1">
        <v>0</v>
      </c>
      <c r="F11" s="1">
        <v>0</v>
      </c>
      <c r="G11" s="9">
        <f>SUM(CO_FINANCIAL)</f>
        <v>14141.962129759144</v>
      </c>
      <c r="I11" s="13"/>
      <c r="J11" s="16"/>
      <c r="L11" s="6"/>
      <c r="V11" s="9"/>
    </row>
    <row r="12" spans="1:22">
      <c r="A12" s="1" t="s">
        <v>19</v>
      </c>
      <c r="B12" s="6">
        <v>1398.9215501613987</v>
      </c>
      <c r="C12" s="1">
        <v>6451.7570119050779</v>
      </c>
      <c r="D12" s="1">
        <v>0</v>
      </c>
      <c r="E12" s="1">
        <v>0</v>
      </c>
      <c r="F12" s="1">
        <v>0</v>
      </c>
      <c r="G12" s="9">
        <f>SUM(CT_FINANCIAL)</f>
        <v>7850.6785620664768</v>
      </c>
      <c r="I12" s="13" t="s">
        <v>20</v>
      </c>
      <c r="J12" s="16"/>
      <c r="L12" s="6"/>
      <c r="V12" s="9"/>
    </row>
    <row r="13" spans="1:22">
      <c r="A13" s="1" t="s">
        <v>21</v>
      </c>
      <c r="B13" s="6">
        <v>0</v>
      </c>
      <c r="C13" s="1">
        <v>0</v>
      </c>
      <c r="D13" s="1">
        <v>0</v>
      </c>
      <c r="E13" s="1">
        <v>0</v>
      </c>
      <c r="F13" s="1">
        <v>0</v>
      </c>
      <c r="G13" s="9">
        <f>SUM(DE_FINANCIAL)</f>
        <v>0</v>
      </c>
      <c r="I13" s="13" t="s">
        <v>22</v>
      </c>
      <c r="J13" s="16">
        <v>25081</v>
      </c>
      <c r="L13" s="6"/>
      <c r="V13" s="9"/>
    </row>
    <row r="14" spans="1:22">
      <c r="A14" s="1" t="s">
        <v>23</v>
      </c>
      <c r="B14" s="6">
        <v>-296.26944197306216</v>
      </c>
      <c r="C14" s="1">
        <v>0</v>
      </c>
      <c r="D14" s="1">
        <v>0</v>
      </c>
      <c r="E14" s="1">
        <v>0</v>
      </c>
      <c r="F14" s="1">
        <v>0</v>
      </c>
      <c r="G14" s="9">
        <f>SUM(DC_FINANCIAL)</f>
        <v>-296.26944197306216</v>
      </c>
      <c r="I14" s="13" t="s">
        <v>24</v>
      </c>
      <c r="J14" s="16">
        <v>318423.00000000006</v>
      </c>
      <c r="L14" s="6"/>
      <c r="V14" s="9"/>
    </row>
    <row r="15" spans="1:22">
      <c r="A15" s="1" t="s">
        <v>25</v>
      </c>
      <c r="B15" s="6">
        <v>30447.354709779316</v>
      </c>
      <c r="C15" s="1">
        <v>40726.002380299571</v>
      </c>
      <c r="D15" s="1">
        <v>0</v>
      </c>
      <c r="E15" s="1">
        <v>0</v>
      </c>
      <c r="F15" s="1">
        <v>0</v>
      </c>
      <c r="G15" s="9">
        <f>SUM(FL_FINANCIAL)</f>
        <v>71173.357090078891</v>
      </c>
      <c r="I15" s="13" t="s">
        <v>26</v>
      </c>
      <c r="J15" s="16">
        <v>394039.02597756055</v>
      </c>
      <c r="L15" s="6"/>
      <c r="V15" s="9"/>
    </row>
    <row r="16" spans="1:22">
      <c r="A16" s="1" t="s">
        <v>27</v>
      </c>
      <c r="B16" s="6">
        <v>10985.554101273712</v>
      </c>
      <c r="C16" s="1">
        <v>925.30123878272639</v>
      </c>
      <c r="D16" s="1">
        <v>0</v>
      </c>
      <c r="E16" s="1">
        <v>0</v>
      </c>
      <c r="F16" s="1">
        <v>0</v>
      </c>
      <c r="G16" s="9">
        <f>SUM(GA_FINANCIAL)</f>
        <v>11910.855340056438</v>
      </c>
      <c r="I16" s="13" t="s">
        <v>28</v>
      </c>
      <c r="J16" s="16">
        <v>0</v>
      </c>
      <c r="L16" s="6"/>
      <c r="V16" s="9"/>
    </row>
    <row r="17" spans="1:22">
      <c r="A17" s="1" t="s">
        <v>29</v>
      </c>
      <c r="B17" s="6">
        <v>1870.9831130158077</v>
      </c>
      <c r="C17" s="1">
        <v>0</v>
      </c>
      <c r="D17" s="1">
        <v>0</v>
      </c>
      <c r="E17" s="1">
        <v>0</v>
      </c>
      <c r="F17" s="1">
        <v>0</v>
      </c>
      <c r="G17" s="9">
        <f>SUM(HI_FINANCIAL)</f>
        <v>1870.9831130158077</v>
      </c>
      <c r="I17" s="13"/>
      <c r="J17" s="16"/>
      <c r="L17" s="6"/>
      <c r="V17" s="9"/>
    </row>
    <row r="18" spans="1:22">
      <c r="A18" s="1" t="s">
        <v>30</v>
      </c>
      <c r="B18" s="6">
        <v>5354.1618790984303</v>
      </c>
      <c r="C18" s="1">
        <v>5519.9086856590857</v>
      </c>
      <c r="D18" s="1">
        <v>0</v>
      </c>
      <c r="E18" s="1">
        <v>0</v>
      </c>
      <c r="F18" s="1">
        <v>0</v>
      </c>
      <c r="G18" s="9">
        <f>SUM(ID_FINANCIAL)</f>
        <v>10874.070564757516</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158441.97183141485</v>
      </c>
      <c r="C20" s="1">
        <v>449115.42820598977</v>
      </c>
      <c r="D20" s="1">
        <v>0</v>
      </c>
      <c r="E20" s="1">
        <v>0</v>
      </c>
      <c r="F20" s="1">
        <v>0</v>
      </c>
      <c r="G20" s="9">
        <f>SUM(IN_FINANCIAL)</f>
        <v>607557.40003740462</v>
      </c>
      <c r="I20" s="13" t="s">
        <v>35</v>
      </c>
      <c r="J20" s="16">
        <v>-406387.00000000012</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2973.6676807416843</v>
      </c>
      <c r="C22" s="1">
        <v>1711.5109540268822</v>
      </c>
      <c r="D22" s="1">
        <v>0</v>
      </c>
      <c r="E22" s="1">
        <v>0</v>
      </c>
      <c r="F22" s="1">
        <v>0</v>
      </c>
      <c r="G22" s="9">
        <f>SUM(KS_FINANCIAL)</f>
        <v>4685.1786347685666</v>
      </c>
      <c r="I22" s="13" t="s">
        <v>39</v>
      </c>
      <c r="J22" s="16">
        <v>1953369</v>
      </c>
      <c r="L22" s="6"/>
      <c r="V22" s="9"/>
    </row>
    <row r="23" spans="1:22">
      <c r="A23" s="1" t="s">
        <v>40</v>
      </c>
      <c r="B23" s="6">
        <v>-892.644810028135</v>
      </c>
      <c r="C23" s="1">
        <v>-415.65903367722296</v>
      </c>
      <c r="D23" s="1">
        <v>0</v>
      </c>
      <c r="E23" s="1">
        <v>0</v>
      </c>
      <c r="F23" s="1">
        <v>0</v>
      </c>
      <c r="G23" s="9">
        <f>SUM(KY_FINANCIAL)</f>
        <v>-1308.3038437053578</v>
      </c>
      <c r="I23" s="13" t="s">
        <v>41</v>
      </c>
      <c r="J23" s="16"/>
      <c r="L23" s="6"/>
      <c r="V23" s="9"/>
    </row>
    <row r="24" spans="1:22">
      <c r="A24" s="1" t="s">
        <v>42</v>
      </c>
      <c r="B24" s="6">
        <v>2651</v>
      </c>
      <c r="C24" s="1">
        <v>0</v>
      </c>
      <c r="D24" s="1">
        <v>0</v>
      </c>
      <c r="E24" s="1">
        <v>0</v>
      </c>
      <c r="F24" s="1">
        <v>0</v>
      </c>
      <c r="G24" s="9">
        <f>SUM(LA_FINANCIAL)</f>
        <v>2651</v>
      </c>
      <c r="I24" s="13" t="s">
        <v>43</v>
      </c>
      <c r="J24" s="16">
        <v>9499998.0000000019</v>
      </c>
      <c r="L24" s="6"/>
      <c r="V24" s="9"/>
    </row>
    <row r="25" spans="1:22">
      <c r="A25" s="1" t="s">
        <v>44</v>
      </c>
      <c r="B25" s="6">
        <v>0</v>
      </c>
      <c r="C25" s="1">
        <v>0</v>
      </c>
      <c r="D25" s="1">
        <v>0</v>
      </c>
      <c r="E25" s="1">
        <v>0</v>
      </c>
      <c r="F25" s="1">
        <v>0</v>
      </c>
      <c r="G25" s="9">
        <f>SUM(ME_FINANCIAL)</f>
        <v>0</v>
      </c>
      <c r="I25" s="13"/>
      <c r="J25" s="16"/>
      <c r="L25" s="6"/>
      <c r="V25" s="9"/>
    </row>
    <row r="26" spans="1:22">
      <c r="A26" s="1" t="s">
        <v>45</v>
      </c>
      <c r="B26" s="6">
        <v>-13.755882507239676</v>
      </c>
      <c r="C26" s="1">
        <v>-14.31236122731525</v>
      </c>
      <c r="D26" s="1">
        <v>0</v>
      </c>
      <c r="E26" s="1">
        <v>0</v>
      </c>
      <c r="F26" s="1">
        <v>0</v>
      </c>
      <c r="G26" s="9">
        <f>SUM(MD_FINANCIAL)</f>
        <v>-28.068243734554926</v>
      </c>
      <c r="I26" s="13" t="s">
        <v>46</v>
      </c>
      <c r="J26" s="16">
        <f>SUM(ADD_FINANCIAL)-SUM(LESS_FINANCIAL)</f>
        <v>1874315.0259775594</v>
      </c>
      <c r="L26" s="6">
        <v>0</v>
      </c>
      <c r="M26" s="1">
        <v>0</v>
      </c>
      <c r="O26" s="1">
        <v>0</v>
      </c>
      <c r="P26" s="1">
        <v>0</v>
      </c>
      <c r="R26" s="1">
        <v>0</v>
      </c>
      <c r="S26" s="1">
        <v>0</v>
      </c>
      <c r="U26" s="1">
        <v>0</v>
      </c>
      <c r="V26" s="9">
        <v>0</v>
      </c>
    </row>
    <row r="27" spans="1:22">
      <c r="A27" s="1" t="s">
        <v>47</v>
      </c>
      <c r="B27" s="6">
        <v>0</v>
      </c>
      <c r="C27" s="1">
        <v>0</v>
      </c>
      <c r="D27" s="1">
        <v>0</v>
      </c>
      <c r="E27" s="1">
        <v>0</v>
      </c>
      <c r="F27" s="1">
        <v>0</v>
      </c>
      <c r="G27" s="9">
        <f>SUM(MA_FINANCIAL)</f>
        <v>0</v>
      </c>
      <c r="I27" s="13" t="s">
        <v>48</v>
      </c>
      <c r="J27" s="16">
        <f>SUM(ALL_BLOCKS)</f>
        <v>1874315.025977561</v>
      </c>
      <c r="L27" s="6"/>
      <c r="V27" s="9"/>
    </row>
    <row r="28" spans="1:22">
      <c r="A28" s="1" t="s">
        <v>49</v>
      </c>
      <c r="B28" s="6">
        <v>118</v>
      </c>
      <c r="C28" s="1">
        <v>0</v>
      </c>
      <c r="D28" s="1">
        <v>0</v>
      </c>
      <c r="E28" s="1">
        <v>0</v>
      </c>
      <c r="F28" s="1">
        <v>0</v>
      </c>
      <c r="G28" s="9">
        <f>SUM(MI_FINANCIAL)</f>
        <v>118</v>
      </c>
      <c r="I28" s="14"/>
      <c r="J28" s="17"/>
      <c r="L28" s="6"/>
      <c r="V28" s="9"/>
    </row>
    <row r="29" spans="1:22">
      <c r="A29" s="1" t="s">
        <v>50</v>
      </c>
      <c r="B29" s="6">
        <v>1770.2335342854349</v>
      </c>
      <c r="C29" s="1">
        <v>6949.8886936039962</v>
      </c>
      <c r="D29" s="1">
        <v>0</v>
      </c>
      <c r="E29" s="1">
        <v>0</v>
      </c>
      <c r="F29" s="1">
        <v>0</v>
      </c>
      <c r="G29" s="9">
        <f>SUM(MN_FINANCIAL)</f>
        <v>8720.1222278894311</v>
      </c>
      <c r="L29" s="6"/>
      <c r="V29" s="9"/>
    </row>
    <row r="30" spans="1:22">
      <c r="A30" s="1" t="s">
        <v>51</v>
      </c>
      <c r="B30" s="6">
        <v>0</v>
      </c>
      <c r="C30" s="1">
        <v>0</v>
      </c>
      <c r="D30" s="1">
        <v>0</v>
      </c>
      <c r="E30" s="1">
        <v>0</v>
      </c>
      <c r="F30" s="1">
        <v>0</v>
      </c>
      <c r="G30" s="9">
        <f>SUM(MS_FINANCIAL)</f>
        <v>0</v>
      </c>
      <c r="L30" s="6"/>
      <c r="V30" s="9"/>
    </row>
    <row r="31" spans="1:22">
      <c r="A31" s="1" t="s">
        <v>52</v>
      </c>
      <c r="B31" s="6">
        <v>135693.82162663573</v>
      </c>
      <c r="C31" s="1">
        <v>29355.088174757722</v>
      </c>
      <c r="D31" s="1">
        <v>0</v>
      </c>
      <c r="E31" s="1">
        <v>0</v>
      </c>
      <c r="F31" s="1">
        <v>0</v>
      </c>
      <c r="G31" s="9">
        <f>SUM(MO_FINANCIAL)</f>
        <v>165048.90980139346</v>
      </c>
      <c r="L31" s="6"/>
      <c r="V31" s="9"/>
    </row>
    <row r="32" spans="1:22">
      <c r="A32" s="1" t="s">
        <v>53</v>
      </c>
      <c r="B32" s="6">
        <v>710</v>
      </c>
      <c r="C32" s="1">
        <v>0</v>
      </c>
      <c r="D32" s="1">
        <v>0</v>
      </c>
      <c r="E32" s="1">
        <v>0</v>
      </c>
      <c r="F32" s="1">
        <v>0</v>
      </c>
      <c r="G32" s="9">
        <f>SUM(MT_FINANCIAL)</f>
        <v>710</v>
      </c>
      <c r="L32" s="6"/>
      <c r="V32" s="9"/>
    </row>
    <row r="33" spans="1:22">
      <c r="A33" s="1" t="s">
        <v>54</v>
      </c>
      <c r="B33" s="6">
        <v>562.88657529060765</v>
      </c>
      <c r="C33" s="1">
        <v>0</v>
      </c>
      <c r="D33" s="1">
        <v>0</v>
      </c>
      <c r="E33" s="1">
        <v>0</v>
      </c>
      <c r="F33" s="1">
        <v>0</v>
      </c>
      <c r="G33" s="9">
        <f>SUM(NE_FINANCIAL)</f>
        <v>562.88657529060765</v>
      </c>
      <c r="L33" s="6"/>
      <c r="V33" s="9"/>
    </row>
    <row r="34" spans="1:22">
      <c r="A34" s="1" t="s">
        <v>55</v>
      </c>
      <c r="B34" s="6">
        <v>1776.4720444526906</v>
      </c>
      <c r="C34" s="1">
        <v>121.69987057776552</v>
      </c>
      <c r="D34" s="1">
        <v>0</v>
      </c>
      <c r="E34" s="1">
        <v>0</v>
      </c>
      <c r="F34" s="1">
        <v>0</v>
      </c>
      <c r="G34" s="9">
        <f>SUM(NV_FINANCIAL)</f>
        <v>1898.1719150304561</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14754.254825006619</v>
      </c>
      <c r="C37" s="1">
        <v>0</v>
      </c>
      <c r="D37" s="1">
        <v>0</v>
      </c>
      <c r="E37" s="1">
        <v>0</v>
      </c>
      <c r="F37" s="1">
        <v>0</v>
      </c>
      <c r="G37" s="9">
        <f>SUM(NM_FINANCIAL)</f>
        <v>14754.254825006619</v>
      </c>
      <c r="L37" s="6">
        <v>99972</v>
      </c>
      <c r="M37" s="1">
        <v>0</v>
      </c>
      <c r="O37" s="1">
        <v>0</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940.57131973658102</v>
      </c>
      <c r="C39" s="1">
        <v>6257.4951813048328</v>
      </c>
      <c r="D39" s="1">
        <v>0</v>
      </c>
      <c r="E39" s="1">
        <v>0</v>
      </c>
      <c r="F39" s="1">
        <v>0</v>
      </c>
      <c r="G39" s="9">
        <f>SUM(NC_FINANCIAL)</f>
        <v>7198.0665010414141</v>
      </c>
      <c r="L39" s="6"/>
      <c r="V39" s="9"/>
    </row>
    <row r="40" spans="1:22">
      <c r="A40" s="1" t="s">
        <v>61</v>
      </c>
      <c r="B40" s="6">
        <v>818</v>
      </c>
      <c r="C40" s="1">
        <v>0</v>
      </c>
      <c r="D40" s="1">
        <v>0</v>
      </c>
      <c r="E40" s="1">
        <v>0</v>
      </c>
      <c r="F40" s="1">
        <v>0</v>
      </c>
      <c r="G40" s="9">
        <f>SUM(ND_FINANCIAL)</f>
        <v>818</v>
      </c>
      <c r="L40" s="6"/>
      <c r="V40" s="9"/>
    </row>
    <row r="41" spans="1:22">
      <c r="A41" s="1" t="s">
        <v>62</v>
      </c>
      <c r="B41" s="6">
        <v>1941.5727084925784</v>
      </c>
      <c r="C41" s="1">
        <v>2172.8477889215337</v>
      </c>
      <c r="D41" s="1">
        <v>0</v>
      </c>
      <c r="E41" s="1">
        <v>0</v>
      </c>
      <c r="F41" s="1">
        <v>0</v>
      </c>
      <c r="G41" s="9">
        <f>SUM(OH_FINANCIAL)</f>
        <v>4114.4204974141121</v>
      </c>
      <c r="L41" s="6"/>
      <c r="V41" s="9"/>
    </row>
    <row r="42" spans="1:22">
      <c r="A42" s="1" t="s">
        <v>63</v>
      </c>
      <c r="B42" s="6">
        <v>12253.522952081326</v>
      </c>
      <c r="C42" s="1">
        <v>4557.9918686051569</v>
      </c>
      <c r="D42" s="1">
        <v>0</v>
      </c>
      <c r="E42" s="1">
        <v>0</v>
      </c>
      <c r="F42" s="1">
        <v>0</v>
      </c>
      <c r="G42" s="9">
        <f>SUM(OK_FINANCIAL)</f>
        <v>16811.514820686483</v>
      </c>
      <c r="L42" s="6">
        <v>99000</v>
      </c>
      <c r="M42" s="1">
        <v>0</v>
      </c>
      <c r="O42" s="1">
        <v>1000</v>
      </c>
      <c r="P42" s="1">
        <v>0</v>
      </c>
      <c r="R42" s="1">
        <v>0</v>
      </c>
      <c r="S42" s="1">
        <v>0</v>
      </c>
      <c r="U42" s="1">
        <v>0</v>
      </c>
      <c r="V42" s="9">
        <v>0</v>
      </c>
    </row>
    <row r="43" spans="1:22">
      <c r="A43" s="1" t="s">
        <v>64</v>
      </c>
      <c r="B43" s="6">
        <v>1311.573704012535</v>
      </c>
      <c r="C43" s="1">
        <v>143.61513501663285</v>
      </c>
      <c r="D43" s="1">
        <v>0</v>
      </c>
      <c r="E43" s="1">
        <v>0</v>
      </c>
      <c r="F43" s="1">
        <v>0</v>
      </c>
      <c r="G43" s="9">
        <f>SUM(OR_FINANCIAL)</f>
        <v>1455.1888390291679</v>
      </c>
      <c r="L43" s="6"/>
      <c r="V43" s="9"/>
    </row>
    <row r="44" spans="1:22">
      <c r="A44" s="1" t="s">
        <v>65</v>
      </c>
      <c r="B44" s="6">
        <v>154.7143337339983</v>
      </c>
      <c r="C44" s="1">
        <v>0</v>
      </c>
      <c r="D44" s="1">
        <v>0</v>
      </c>
      <c r="E44" s="1">
        <v>0</v>
      </c>
      <c r="F44" s="1">
        <v>0</v>
      </c>
      <c r="G44" s="9">
        <f>SUM(PA_FINANCIAL)</f>
        <v>154.7143337339983</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2520.7562981871247</v>
      </c>
      <c r="C47" s="1">
        <v>12.061034919555627</v>
      </c>
      <c r="D47" s="1">
        <v>0</v>
      </c>
      <c r="E47" s="1">
        <v>0</v>
      </c>
      <c r="F47" s="1">
        <v>0</v>
      </c>
      <c r="G47" s="9">
        <f>SUM(SC_FINANCIAL)</f>
        <v>2532.8173331066805</v>
      </c>
      <c r="L47" s="6"/>
      <c r="V47" s="9"/>
    </row>
    <row r="48" spans="1:22">
      <c r="A48" s="1" t="s">
        <v>69</v>
      </c>
      <c r="B48" s="6">
        <v>1026.3730921083566</v>
      </c>
      <c r="C48" s="1">
        <v>0</v>
      </c>
      <c r="D48" s="1">
        <v>0</v>
      </c>
      <c r="E48" s="1">
        <v>0</v>
      </c>
      <c r="F48" s="1">
        <v>0</v>
      </c>
      <c r="G48" s="9">
        <f>SUM(SD_FINANCIAL)</f>
        <v>1026.3730921083566</v>
      </c>
      <c r="L48" s="6"/>
      <c r="V48" s="9"/>
    </row>
    <row r="49" spans="1:22">
      <c r="A49" s="1" t="s">
        <v>70</v>
      </c>
      <c r="B49" s="6">
        <v>311.5981509965286</v>
      </c>
      <c r="C49" s="1">
        <v>1856.1331876682998</v>
      </c>
      <c r="D49" s="1">
        <v>0</v>
      </c>
      <c r="E49" s="1">
        <v>0</v>
      </c>
      <c r="F49" s="1">
        <v>0</v>
      </c>
      <c r="G49" s="9">
        <f>SUM(TN_FINANCIAL)</f>
        <v>2167.7313386648284</v>
      </c>
      <c r="L49" s="6"/>
      <c r="V49" s="9"/>
    </row>
    <row r="50" spans="1:22">
      <c r="A50" s="1" t="s">
        <v>71</v>
      </c>
      <c r="B50" s="6">
        <v>453589.87161319377</v>
      </c>
      <c r="C50" s="1">
        <v>27153.248477641755</v>
      </c>
      <c r="D50" s="1">
        <v>0</v>
      </c>
      <c r="E50" s="1">
        <v>0</v>
      </c>
      <c r="F50" s="1">
        <v>0</v>
      </c>
      <c r="G50" s="9">
        <f>SUM(TX_FINANCIAL)</f>
        <v>480743.12009083549</v>
      </c>
      <c r="L50" s="6">
        <v>2898033</v>
      </c>
      <c r="M50" s="1">
        <v>2875000</v>
      </c>
      <c r="O50" s="1">
        <v>0</v>
      </c>
      <c r="P50" s="1">
        <v>0</v>
      </c>
      <c r="R50" s="1">
        <v>152528</v>
      </c>
      <c r="S50" s="1">
        <v>125000</v>
      </c>
      <c r="U50" s="1">
        <v>0</v>
      </c>
      <c r="V50" s="9">
        <v>0</v>
      </c>
    </row>
    <row r="51" spans="1:22">
      <c r="A51" s="1" t="s">
        <v>72</v>
      </c>
      <c r="B51" s="6">
        <v>851.04855708939931</v>
      </c>
      <c r="C51" s="1">
        <v>1416.4132926742786</v>
      </c>
      <c r="D51" s="1">
        <v>0</v>
      </c>
      <c r="E51" s="1">
        <v>0</v>
      </c>
      <c r="F51" s="1">
        <v>0</v>
      </c>
      <c r="G51" s="9">
        <f>SUM(UT_FINANCIAL)</f>
        <v>2267.4618497636779</v>
      </c>
      <c r="L51" s="6"/>
      <c r="V51" s="9"/>
    </row>
    <row r="52" spans="1:22">
      <c r="A52" s="1" t="s">
        <v>73</v>
      </c>
      <c r="B52" s="6">
        <v>6964.9905806680072</v>
      </c>
      <c r="C52" s="1">
        <v>0</v>
      </c>
      <c r="D52" s="1">
        <v>0</v>
      </c>
      <c r="E52" s="1">
        <v>0</v>
      </c>
      <c r="F52" s="1">
        <v>0</v>
      </c>
      <c r="G52" s="9">
        <f>SUM(VT_FINANCIAL)</f>
        <v>6964.9905806680072</v>
      </c>
      <c r="L52" s="6"/>
      <c r="V52" s="9"/>
    </row>
    <row r="53" spans="1:22">
      <c r="A53" s="1" t="s">
        <v>74</v>
      </c>
      <c r="B53" s="6">
        <v>2311.4093045223235</v>
      </c>
      <c r="C53" s="1">
        <v>56903.733171067259</v>
      </c>
      <c r="D53" s="1">
        <v>0</v>
      </c>
      <c r="E53" s="1">
        <v>0</v>
      </c>
      <c r="F53" s="1">
        <v>0</v>
      </c>
      <c r="G53" s="9">
        <f>SUM(VA_FINANCIAL)</f>
        <v>59215.142475589586</v>
      </c>
      <c r="L53" s="6">
        <v>2800</v>
      </c>
      <c r="M53" s="1">
        <v>0</v>
      </c>
      <c r="O53" s="1">
        <v>70000</v>
      </c>
      <c r="P53" s="1">
        <v>0</v>
      </c>
      <c r="R53" s="1">
        <v>0</v>
      </c>
      <c r="S53" s="1">
        <v>0</v>
      </c>
      <c r="U53" s="1">
        <v>0</v>
      </c>
      <c r="V53" s="9">
        <v>0</v>
      </c>
    </row>
    <row r="54" spans="1:22">
      <c r="A54" s="1" t="s">
        <v>75</v>
      </c>
      <c r="B54" s="6">
        <v>7424.2814524173336</v>
      </c>
      <c r="C54" s="1">
        <v>0</v>
      </c>
      <c r="D54" s="1">
        <v>0</v>
      </c>
      <c r="E54" s="1">
        <v>0</v>
      </c>
      <c r="F54" s="1">
        <v>0</v>
      </c>
      <c r="G54" s="9">
        <f>SUM(WA_FINANCIAL)</f>
        <v>7424.2814524173336</v>
      </c>
      <c r="L54" s="6">
        <v>39000</v>
      </c>
      <c r="M54" s="1">
        <v>0</v>
      </c>
      <c r="O54" s="1">
        <v>0</v>
      </c>
      <c r="P54" s="1">
        <v>0</v>
      </c>
      <c r="R54" s="1">
        <v>0</v>
      </c>
      <c r="S54" s="1">
        <v>0</v>
      </c>
      <c r="U54" s="1">
        <v>0</v>
      </c>
      <c r="V54" s="9">
        <v>0</v>
      </c>
    </row>
    <row r="55" spans="1:22">
      <c r="A55" s="1" t="s">
        <v>76</v>
      </c>
      <c r="B55" s="6">
        <v>715.46202421591784</v>
      </c>
      <c r="C55" s="1">
        <v>0</v>
      </c>
      <c r="D55" s="1">
        <v>0</v>
      </c>
      <c r="E55" s="1">
        <v>0</v>
      </c>
      <c r="F55" s="1">
        <v>0</v>
      </c>
      <c r="G55" s="9">
        <f>SUM(WV_FINANCIAL)</f>
        <v>715.46202421591784</v>
      </c>
      <c r="L55" s="6"/>
      <c r="V55" s="9"/>
    </row>
    <row r="56" spans="1:22">
      <c r="A56" s="1" t="s">
        <v>77</v>
      </c>
      <c r="B56" s="6">
        <v>3624.5058959681887</v>
      </c>
      <c r="C56" s="1">
        <v>0</v>
      </c>
      <c r="D56" s="1">
        <v>0</v>
      </c>
      <c r="E56" s="1">
        <v>0</v>
      </c>
      <c r="F56" s="1">
        <v>0</v>
      </c>
      <c r="G56" s="9">
        <f>SUM(WI_FINANCIAL)</f>
        <v>3624.5058959681887</v>
      </c>
      <c r="L56" s="6"/>
      <c r="V56" s="9"/>
    </row>
    <row r="57" spans="1:22">
      <c r="A57" s="1" t="s">
        <v>78</v>
      </c>
      <c r="B57" s="6">
        <v>0</v>
      </c>
      <c r="C57" s="1">
        <v>12.4776157167276</v>
      </c>
      <c r="D57" s="1">
        <v>0</v>
      </c>
      <c r="E57" s="1">
        <v>0</v>
      </c>
      <c r="F57" s="1">
        <v>0</v>
      </c>
      <c r="G57" s="9">
        <f>SUM(WY_FINANCIAL)</f>
        <v>12.4776157167276</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1142532.7372618408</v>
      </c>
      <c r="C60" s="1">
        <f>SUM(ALLOCATED)</f>
        <v>731782.28871571959</v>
      </c>
      <c r="D60" s="1">
        <f>SUM(HEALTH)</f>
        <v>0</v>
      </c>
      <c r="E60" s="1">
        <f>SUM(UNALLOCATED)</f>
        <v>0</v>
      </c>
      <c r="F60" s="1">
        <f>SUM(LTC)</f>
        <v>0</v>
      </c>
      <c r="G60" s="9">
        <f>SUM(ALL_BLOCKS)</f>
        <v>1874315.025977561</v>
      </c>
      <c r="L60" s="6">
        <f>SUM(LIFE_CALLED)</f>
        <v>4602083</v>
      </c>
      <c r="M60" s="1">
        <f>SUM(LIFE_REFUNDED)</f>
        <v>3175000</v>
      </c>
      <c r="O60" s="1">
        <f>SUM(ALLOC_CALLED)</f>
        <v>277880</v>
      </c>
      <c r="P60" s="1">
        <f>SUM(ALLOC_REFUNDED)</f>
        <v>0</v>
      </c>
      <c r="R60" s="1">
        <f>SUM(HEALTH_CALLED)</f>
        <v>152528</v>
      </c>
      <c r="S60" s="1">
        <f>SUM(HEALTH_REFUNDED)</f>
        <v>125000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132</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43008.290737429925</v>
      </c>
      <c r="C6" s="1">
        <v>80950.694796066004</v>
      </c>
      <c r="D6" s="1">
        <v>0</v>
      </c>
      <c r="E6" s="1">
        <v>0</v>
      </c>
      <c r="F6" s="1">
        <v>0</v>
      </c>
      <c r="G6" s="9">
        <f>SUM(AL_FINANCIAL)</f>
        <v>123958.98553349593</v>
      </c>
      <c r="L6" s="6">
        <v>59000</v>
      </c>
      <c r="M6" s="1">
        <v>0</v>
      </c>
      <c r="O6" s="1">
        <v>51893</v>
      </c>
      <c r="P6" s="1">
        <v>0</v>
      </c>
      <c r="R6" s="1">
        <v>0</v>
      </c>
      <c r="S6" s="1">
        <v>0</v>
      </c>
      <c r="U6" s="1">
        <v>0</v>
      </c>
      <c r="V6" s="9">
        <v>0</v>
      </c>
    </row>
    <row r="7" spans="1:22">
      <c r="A7" s="1" t="s">
        <v>12</v>
      </c>
      <c r="B7" s="6">
        <v>0</v>
      </c>
      <c r="C7" s="1">
        <v>0</v>
      </c>
      <c r="D7" s="1">
        <v>0</v>
      </c>
      <c r="E7" s="1">
        <v>0</v>
      </c>
      <c r="F7" s="1">
        <v>0</v>
      </c>
      <c r="G7" s="9">
        <f>SUM(AK_FINANCIAL)</f>
        <v>0</v>
      </c>
      <c r="I7" s="12"/>
      <c r="J7" s="15"/>
      <c r="L7" s="6"/>
      <c r="V7" s="9"/>
    </row>
    <row r="8" spans="1:22">
      <c r="A8" s="1" t="s">
        <v>13</v>
      </c>
      <c r="B8" s="6">
        <v>6696.6701440759007</v>
      </c>
      <c r="C8" s="1">
        <v>16811.816136865473</v>
      </c>
      <c r="D8" s="1">
        <v>0</v>
      </c>
      <c r="E8" s="1">
        <v>0</v>
      </c>
      <c r="F8" s="1">
        <v>0</v>
      </c>
      <c r="G8" s="9">
        <f>SUM(AZ_FINANCIAL)</f>
        <v>23508.486280941375</v>
      </c>
      <c r="I8" s="13" t="s">
        <v>14</v>
      </c>
      <c r="J8" s="16"/>
      <c r="L8" s="6">
        <v>3325</v>
      </c>
      <c r="M8" s="1">
        <v>0</v>
      </c>
      <c r="O8" s="1">
        <v>5932</v>
      </c>
      <c r="P8" s="1">
        <v>0</v>
      </c>
      <c r="R8" s="1">
        <v>0</v>
      </c>
      <c r="S8" s="1">
        <v>0</v>
      </c>
      <c r="U8" s="1">
        <v>0</v>
      </c>
      <c r="V8" s="9">
        <v>0</v>
      </c>
    </row>
    <row r="9" spans="1:22">
      <c r="A9" s="1" t="s">
        <v>15</v>
      </c>
      <c r="B9" s="6">
        <v>381.80872133965261</v>
      </c>
      <c r="C9" s="1">
        <v>19467.497977192128</v>
      </c>
      <c r="D9" s="1">
        <v>0</v>
      </c>
      <c r="E9" s="1">
        <v>0</v>
      </c>
      <c r="F9" s="1">
        <v>0</v>
      </c>
      <c r="G9" s="9">
        <f>SUM(AR_FINANCIAL)</f>
        <v>19849.306698531782</v>
      </c>
      <c r="I9" s="13"/>
      <c r="J9" s="16"/>
      <c r="L9" s="6">
        <v>47114</v>
      </c>
      <c r="M9" s="1">
        <v>0</v>
      </c>
      <c r="O9" s="1">
        <v>0</v>
      </c>
      <c r="P9" s="1">
        <v>0</v>
      </c>
      <c r="R9" s="1">
        <v>0</v>
      </c>
      <c r="S9" s="1">
        <v>0</v>
      </c>
      <c r="U9" s="1">
        <v>0</v>
      </c>
      <c r="V9" s="9">
        <v>0</v>
      </c>
    </row>
    <row r="10" spans="1:22">
      <c r="A10" s="1" t="s">
        <v>16</v>
      </c>
      <c r="B10" s="6">
        <v>83436.425082498376</v>
      </c>
      <c r="C10" s="1">
        <v>38250.785900899529</v>
      </c>
      <c r="D10" s="1">
        <v>0</v>
      </c>
      <c r="E10" s="1">
        <v>0</v>
      </c>
      <c r="F10" s="1">
        <v>0</v>
      </c>
      <c r="G10" s="9">
        <f>SUM(CA_FINANCIAL)</f>
        <v>121687.2109833979</v>
      </c>
      <c r="I10" s="13" t="s">
        <v>17</v>
      </c>
      <c r="J10" s="16">
        <v>67641599.769650847</v>
      </c>
      <c r="L10" s="6">
        <v>125483</v>
      </c>
      <c r="M10" s="1">
        <v>0</v>
      </c>
      <c r="O10" s="1">
        <v>57507</v>
      </c>
      <c r="P10" s="1">
        <v>0</v>
      </c>
      <c r="R10" s="1">
        <v>0</v>
      </c>
      <c r="S10" s="1">
        <v>0</v>
      </c>
      <c r="U10" s="1">
        <v>0</v>
      </c>
      <c r="V10" s="9">
        <v>0</v>
      </c>
    </row>
    <row r="11" spans="1:22">
      <c r="A11" s="1" t="s">
        <v>18</v>
      </c>
      <c r="B11" s="6">
        <v>15502.532394991813</v>
      </c>
      <c r="C11" s="1">
        <v>14197.06032458649</v>
      </c>
      <c r="D11" s="1">
        <v>0</v>
      </c>
      <c r="E11" s="1">
        <v>0</v>
      </c>
      <c r="F11" s="1">
        <v>0</v>
      </c>
      <c r="G11" s="9">
        <f>SUM(CO_FINANCIAL)</f>
        <v>29699.592719578301</v>
      </c>
      <c r="I11" s="13"/>
      <c r="J11" s="16"/>
      <c r="L11" s="6">
        <v>25480</v>
      </c>
      <c r="M11" s="1">
        <v>0</v>
      </c>
      <c r="O11" s="1">
        <v>23520</v>
      </c>
      <c r="P11" s="1">
        <v>0</v>
      </c>
      <c r="R11" s="1">
        <v>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1741.4145412038654</v>
      </c>
      <c r="C13" s="1">
        <v>1420.5825025781294</v>
      </c>
      <c r="D13" s="1">
        <v>0</v>
      </c>
      <c r="E13" s="1">
        <v>0</v>
      </c>
      <c r="F13" s="1">
        <v>0</v>
      </c>
      <c r="G13" s="9">
        <f>SUM(DE_FINANCIAL)</f>
        <v>3161.9970437819948</v>
      </c>
      <c r="I13" s="13" t="s">
        <v>22</v>
      </c>
      <c r="J13" s="16">
        <v>382611.05000000005</v>
      </c>
      <c r="L13" s="6">
        <v>750</v>
      </c>
      <c r="M13" s="1">
        <v>0</v>
      </c>
      <c r="O13" s="1">
        <v>1750</v>
      </c>
      <c r="P13" s="1">
        <v>0</v>
      </c>
      <c r="R13" s="1">
        <v>0</v>
      </c>
      <c r="S13" s="1">
        <v>0</v>
      </c>
      <c r="U13" s="1">
        <v>0</v>
      </c>
      <c r="V13" s="9">
        <v>0</v>
      </c>
    </row>
    <row r="14" spans="1:22">
      <c r="A14" s="1" t="s">
        <v>23</v>
      </c>
      <c r="B14" s="6">
        <v>0</v>
      </c>
      <c r="C14" s="1">
        <v>0</v>
      </c>
      <c r="D14" s="1">
        <v>0</v>
      </c>
      <c r="E14" s="1">
        <v>0</v>
      </c>
      <c r="F14" s="1">
        <v>0</v>
      </c>
      <c r="G14" s="9">
        <f>SUM(DC_FINANCIAL)</f>
        <v>0</v>
      </c>
      <c r="I14" s="13" t="s">
        <v>24</v>
      </c>
      <c r="J14" s="16">
        <v>994264.99999999977</v>
      </c>
      <c r="L14" s="6"/>
      <c r="V14" s="9"/>
    </row>
    <row r="15" spans="1:22">
      <c r="A15" s="1" t="s">
        <v>25</v>
      </c>
      <c r="B15" s="6">
        <v>303989.62744072115</v>
      </c>
      <c r="C15" s="1">
        <v>440006.11634247651</v>
      </c>
      <c r="D15" s="1">
        <v>0</v>
      </c>
      <c r="E15" s="1">
        <v>0</v>
      </c>
      <c r="F15" s="1">
        <v>0</v>
      </c>
      <c r="G15" s="9">
        <f>SUM(FL_FINANCIAL)</f>
        <v>743995.7437831976</v>
      </c>
      <c r="I15" s="13" t="s">
        <v>26</v>
      </c>
      <c r="J15" s="16">
        <v>712586.20999999985</v>
      </c>
      <c r="L15" s="6">
        <v>275000</v>
      </c>
      <c r="M15" s="1">
        <v>0</v>
      </c>
      <c r="O15" s="1">
        <v>975000</v>
      </c>
      <c r="P15" s="1">
        <v>0</v>
      </c>
      <c r="R15" s="1">
        <v>0</v>
      </c>
      <c r="S15" s="1">
        <v>0</v>
      </c>
      <c r="U15" s="1">
        <v>0</v>
      </c>
      <c r="V15" s="9">
        <v>0</v>
      </c>
    </row>
    <row r="16" spans="1:22">
      <c r="A16" s="1" t="s">
        <v>27</v>
      </c>
      <c r="B16" s="6">
        <v>84456.602707979211</v>
      </c>
      <c r="C16" s="1">
        <v>1336680.5301448018</v>
      </c>
      <c r="D16" s="1">
        <v>0</v>
      </c>
      <c r="E16" s="1">
        <v>0</v>
      </c>
      <c r="F16" s="1">
        <v>0</v>
      </c>
      <c r="G16" s="9">
        <f>SUM(GA_FINANCIAL)</f>
        <v>1421137.1328527811</v>
      </c>
      <c r="I16" s="13" t="s">
        <v>28</v>
      </c>
      <c r="J16" s="16">
        <v>0</v>
      </c>
      <c r="L16" s="6">
        <v>112560</v>
      </c>
      <c r="M16" s="1">
        <v>0</v>
      </c>
      <c r="O16" s="1">
        <v>2087440</v>
      </c>
      <c r="P16" s="1">
        <v>92229.35</v>
      </c>
      <c r="R16" s="1">
        <v>0</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93099.494201263631</v>
      </c>
      <c r="C19" s="1">
        <v>10239.849632879204</v>
      </c>
      <c r="D19" s="1">
        <v>0</v>
      </c>
      <c r="E19" s="1">
        <v>0</v>
      </c>
      <c r="F19" s="1">
        <v>0</v>
      </c>
      <c r="G19" s="9">
        <f>SUM(IL_FINANCIAL)</f>
        <v>103339.34383414284</v>
      </c>
      <c r="I19" s="13" t="s">
        <v>33</v>
      </c>
      <c r="J19" s="16">
        <v>46001671.584207788</v>
      </c>
      <c r="L19" s="6">
        <v>167000</v>
      </c>
      <c r="M19" s="1">
        <v>0</v>
      </c>
      <c r="O19" s="1">
        <v>8000</v>
      </c>
      <c r="P19" s="1">
        <v>0</v>
      </c>
      <c r="R19" s="1">
        <v>0</v>
      </c>
      <c r="S19" s="1">
        <v>0</v>
      </c>
      <c r="U19" s="1">
        <v>0</v>
      </c>
      <c r="V19" s="9">
        <v>0</v>
      </c>
    </row>
    <row r="20" spans="1:22">
      <c r="A20" s="1" t="s">
        <v>34</v>
      </c>
      <c r="B20" s="6">
        <v>139.89755854319895</v>
      </c>
      <c r="C20" s="1">
        <v>31231.925416174803</v>
      </c>
      <c r="D20" s="1">
        <v>0</v>
      </c>
      <c r="E20" s="1">
        <v>0</v>
      </c>
      <c r="F20" s="1">
        <v>0</v>
      </c>
      <c r="G20" s="9">
        <f>SUM(IN_FINANCIAL)</f>
        <v>31371.822974718001</v>
      </c>
      <c r="I20" s="13" t="s">
        <v>35</v>
      </c>
      <c r="J20" s="16">
        <v>-131111.8145569294</v>
      </c>
      <c r="L20" s="6"/>
      <c r="V20" s="9"/>
    </row>
    <row r="21" spans="1:22">
      <c r="A21" s="1" t="s">
        <v>36</v>
      </c>
      <c r="B21" s="6">
        <v>253.07795276521381</v>
      </c>
      <c r="C21" s="1">
        <v>0</v>
      </c>
      <c r="D21" s="1">
        <v>0</v>
      </c>
      <c r="E21" s="1">
        <v>0</v>
      </c>
      <c r="F21" s="1">
        <v>0</v>
      </c>
      <c r="G21" s="9">
        <f>SUM(IA_FINANCIAL)</f>
        <v>253.07795276521381</v>
      </c>
      <c r="I21" s="13" t="s">
        <v>37</v>
      </c>
      <c r="J21" s="16"/>
      <c r="L21" s="6"/>
      <c r="V21" s="9"/>
    </row>
    <row r="22" spans="1:22">
      <c r="A22" s="1" t="s">
        <v>38</v>
      </c>
      <c r="B22" s="6">
        <v>2108.6193789494937</v>
      </c>
      <c r="C22" s="1">
        <v>4181.0874354103435</v>
      </c>
      <c r="D22" s="1">
        <v>0</v>
      </c>
      <c r="E22" s="1">
        <v>0</v>
      </c>
      <c r="F22" s="1">
        <v>0</v>
      </c>
      <c r="G22" s="9">
        <f>SUM(KS_FINANCIAL)</f>
        <v>6289.7068143598372</v>
      </c>
      <c r="I22" s="13" t="s">
        <v>39</v>
      </c>
      <c r="J22" s="16">
        <v>259235</v>
      </c>
      <c r="L22" s="6"/>
      <c r="V22" s="9"/>
    </row>
    <row r="23" spans="1:22">
      <c r="A23" s="1" t="s">
        <v>40</v>
      </c>
      <c r="B23" s="6">
        <v>40983.994685723519</v>
      </c>
      <c r="C23" s="1">
        <v>162669.92402872629</v>
      </c>
      <c r="D23" s="1">
        <v>0</v>
      </c>
      <c r="E23" s="1">
        <v>0</v>
      </c>
      <c r="F23" s="1">
        <v>0</v>
      </c>
      <c r="G23" s="9">
        <f>SUM(KY_FINANCIAL)</f>
        <v>203653.9187144498</v>
      </c>
      <c r="I23" s="13" t="s">
        <v>41</v>
      </c>
      <c r="J23" s="16"/>
      <c r="L23" s="6">
        <v>59999</v>
      </c>
      <c r="M23" s="1">
        <v>0</v>
      </c>
      <c r="O23" s="1">
        <v>280671</v>
      </c>
      <c r="P23" s="1">
        <v>50000</v>
      </c>
      <c r="R23" s="1">
        <v>0</v>
      </c>
      <c r="S23" s="1">
        <v>0</v>
      </c>
      <c r="U23" s="1">
        <v>0</v>
      </c>
      <c r="V23" s="9">
        <v>0</v>
      </c>
    </row>
    <row r="24" spans="1:22">
      <c r="A24" s="1" t="s">
        <v>42</v>
      </c>
      <c r="B24" s="6">
        <v>107658.06154435754</v>
      </c>
      <c r="C24" s="1">
        <v>37534.302992558958</v>
      </c>
      <c r="D24" s="1">
        <v>0</v>
      </c>
      <c r="E24" s="1">
        <v>0</v>
      </c>
      <c r="F24" s="1">
        <v>0</v>
      </c>
      <c r="G24" s="9">
        <f>SUM(LA_FINANCIAL)</f>
        <v>145192.36453691649</v>
      </c>
      <c r="I24" s="13" t="s">
        <v>43</v>
      </c>
      <c r="J24" s="16">
        <v>7843309.1354829157</v>
      </c>
      <c r="L24" s="6">
        <v>110873</v>
      </c>
      <c r="M24" s="1">
        <v>0</v>
      </c>
      <c r="O24" s="1">
        <v>21127</v>
      </c>
      <c r="P24" s="1">
        <v>0</v>
      </c>
      <c r="R24" s="1">
        <v>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26790.754836532</v>
      </c>
      <c r="C26" s="1">
        <v>61328.64965600858</v>
      </c>
      <c r="D26" s="1">
        <v>0</v>
      </c>
      <c r="E26" s="1">
        <v>0</v>
      </c>
      <c r="F26" s="1">
        <v>0</v>
      </c>
      <c r="G26" s="9">
        <f>SUM(MD_FINANCIAL)</f>
        <v>88119.404492540576</v>
      </c>
      <c r="I26" s="13" t="s">
        <v>46</v>
      </c>
      <c r="J26" s="16">
        <f>SUM(ADD_FINANCIAL)-SUM(LESS_FINANCIAL)</f>
        <v>15757958.124517061</v>
      </c>
      <c r="L26" s="6">
        <v>18300</v>
      </c>
      <c r="M26" s="1">
        <v>0</v>
      </c>
      <c r="O26" s="1">
        <v>53700</v>
      </c>
      <c r="P26" s="1">
        <v>0</v>
      </c>
      <c r="R26" s="1">
        <v>0</v>
      </c>
      <c r="S26" s="1">
        <v>0</v>
      </c>
      <c r="U26" s="1">
        <v>0</v>
      </c>
      <c r="V26" s="9">
        <v>0</v>
      </c>
    </row>
    <row r="27" spans="1:22">
      <c r="A27" s="1" t="s">
        <v>47</v>
      </c>
      <c r="B27" s="6">
        <v>0</v>
      </c>
      <c r="C27" s="1">
        <v>0</v>
      </c>
      <c r="D27" s="1">
        <v>0</v>
      </c>
      <c r="E27" s="1">
        <v>0</v>
      </c>
      <c r="F27" s="1">
        <v>0</v>
      </c>
      <c r="G27" s="9">
        <f>SUM(MA_FINANCIAL)</f>
        <v>0</v>
      </c>
      <c r="I27" s="13" t="s">
        <v>48</v>
      </c>
      <c r="J27" s="16">
        <f>SUM(ALL_BLOCKS)</f>
        <v>15757958.124517081</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3928.220907894668</v>
      </c>
      <c r="C30" s="1">
        <v>47668.740447080054</v>
      </c>
      <c r="D30" s="1">
        <v>0</v>
      </c>
      <c r="E30" s="1">
        <v>0</v>
      </c>
      <c r="F30" s="1">
        <v>0</v>
      </c>
      <c r="G30" s="9">
        <f>SUM(MS_FINANCIAL)</f>
        <v>51596.961354974723</v>
      </c>
      <c r="L30" s="6"/>
      <c r="V30" s="9"/>
    </row>
    <row r="31" spans="1:22">
      <c r="A31" s="1" t="s">
        <v>52</v>
      </c>
      <c r="B31" s="6">
        <v>3346.0858168075783</v>
      </c>
      <c r="C31" s="1">
        <v>20059.204683767752</v>
      </c>
      <c r="D31" s="1">
        <v>0</v>
      </c>
      <c r="E31" s="1">
        <v>0</v>
      </c>
      <c r="F31" s="1">
        <v>0</v>
      </c>
      <c r="G31" s="9">
        <f>SUM(MO_FINANCIAL)</f>
        <v>23405.290500575331</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1176.9330958043447</v>
      </c>
      <c r="C34" s="1">
        <v>0</v>
      </c>
      <c r="D34" s="1">
        <v>0</v>
      </c>
      <c r="E34" s="1">
        <v>0</v>
      </c>
      <c r="F34" s="1">
        <v>0</v>
      </c>
      <c r="G34" s="9">
        <f>SUM(NV_FINANCIAL)</f>
        <v>1176.9330958043447</v>
      </c>
      <c r="L34" s="6"/>
      <c r="V34" s="9"/>
    </row>
    <row r="35" spans="1:22">
      <c r="A35" s="1" t="s">
        <v>56</v>
      </c>
      <c r="B35" s="6">
        <v>0</v>
      </c>
      <c r="C35" s="1">
        <v>0</v>
      </c>
      <c r="D35" s="1">
        <v>0</v>
      </c>
      <c r="E35" s="1">
        <v>0</v>
      </c>
      <c r="F35" s="1">
        <v>0</v>
      </c>
      <c r="G35" s="9">
        <f>SUM(NH_FINANCIAL)</f>
        <v>0</v>
      </c>
      <c r="L35" s="6"/>
      <c r="V35" s="9"/>
    </row>
    <row r="36" spans="1:22">
      <c r="A36" s="1" t="s">
        <v>57</v>
      </c>
      <c r="B36" s="6">
        <v>8197.3465400421865</v>
      </c>
      <c r="C36" s="1">
        <v>53103.76735980963</v>
      </c>
      <c r="D36" s="1">
        <v>0</v>
      </c>
      <c r="E36" s="1">
        <v>0</v>
      </c>
      <c r="F36" s="1">
        <v>0</v>
      </c>
      <c r="G36" s="9">
        <f>SUM(NJ_FINANCIAL)</f>
        <v>61301.113899851814</v>
      </c>
      <c r="L36" s="6">
        <v>100000</v>
      </c>
      <c r="M36" s="1">
        <v>0</v>
      </c>
      <c r="O36" s="1">
        <v>0</v>
      </c>
      <c r="P36" s="1">
        <v>0</v>
      </c>
      <c r="R36" s="1">
        <v>0</v>
      </c>
      <c r="S36" s="1">
        <v>0</v>
      </c>
      <c r="U36" s="1">
        <v>0</v>
      </c>
      <c r="V36" s="9">
        <v>0</v>
      </c>
    </row>
    <row r="37" spans="1:22">
      <c r="A37" s="1" t="s">
        <v>58</v>
      </c>
      <c r="B37" s="6">
        <v>16879.78406160379</v>
      </c>
      <c r="C37" s="1">
        <v>0</v>
      </c>
      <c r="D37" s="1">
        <v>0</v>
      </c>
      <c r="E37" s="1">
        <v>0</v>
      </c>
      <c r="F37" s="1">
        <v>0</v>
      </c>
      <c r="G37" s="9">
        <f>SUM(NM_FINANCIAL)</f>
        <v>16879.78406160379</v>
      </c>
      <c r="L37" s="6"/>
      <c r="V37" s="9"/>
    </row>
    <row r="38" spans="1:22">
      <c r="A38" s="1" t="s">
        <v>59</v>
      </c>
      <c r="B38" s="6">
        <v>0</v>
      </c>
      <c r="C38" s="1">
        <v>0</v>
      </c>
      <c r="D38" s="1">
        <v>0</v>
      </c>
      <c r="E38" s="1">
        <v>0</v>
      </c>
      <c r="F38" s="1">
        <v>0</v>
      </c>
      <c r="G38" s="9">
        <f>SUM(NY_FINANCIAL)</f>
        <v>0</v>
      </c>
      <c r="L38" s="6"/>
      <c r="V38" s="9"/>
    </row>
    <row r="39" spans="1:22">
      <c r="A39" s="1" t="s">
        <v>60</v>
      </c>
      <c r="B39" s="6">
        <v>350834.23387268034</v>
      </c>
      <c r="C39" s="1">
        <v>2035493.0079735378</v>
      </c>
      <c r="D39" s="1">
        <v>225</v>
      </c>
      <c r="E39" s="1">
        <v>0</v>
      </c>
      <c r="F39" s="1">
        <v>0</v>
      </c>
      <c r="G39" s="9">
        <f>SUM(NC_FINANCIAL)</f>
        <v>2386552.2418462182</v>
      </c>
      <c r="L39" s="6">
        <v>450000</v>
      </c>
      <c r="M39" s="1">
        <v>60000</v>
      </c>
      <c r="O39" s="1">
        <v>2550000</v>
      </c>
      <c r="P39" s="1">
        <v>340000</v>
      </c>
      <c r="R39" s="1">
        <v>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51276.712705508893</v>
      </c>
      <c r="C41" s="1">
        <v>256316.74198780878</v>
      </c>
      <c r="D41" s="1">
        <v>0</v>
      </c>
      <c r="E41" s="1">
        <v>0</v>
      </c>
      <c r="F41" s="1">
        <v>0</v>
      </c>
      <c r="G41" s="9">
        <f>SUM(OH_FINANCIAL)</f>
        <v>307593.45469331765</v>
      </c>
      <c r="L41" s="6">
        <v>70000</v>
      </c>
      <c r="M41" s="1">
        <v>0</v>
      </c>
      <c r="O41" s="1">
        <v>370000</v>
      </c>
      <c r="P41" s="1">
        <v>0</v>
      </c>
      <c r="R41" s="1">
        <v>0</v>
      </c>
      <c r="S41" s="1">
        <v>0</v>
      </c>
      <c r="U41" s="1">
        <v>0</v>
      </c>
      <c r="V41" s="9">
        <v>0</v>
      </c>
    </row>
    <row r="42" spans="1:22">
      <c r="A42" s="1" t="s">
        <v>63</v>
      </c>
      <c r="B42" s="6">
        <v>110515.25347375113</v>
      </c>
      <c r="C42" s="1">
        <v>33741.462806039082</v>
      </c>
      <c r="D42" s="1">
        <v>0</v>
      </c>
      <c r="E42" s="1">
        <v>0</v>
      </c>
      <c r="F42" s="1">
        <v>0</v>
      </c>
      <c r="G42" s="9">
        <f>SUM(OK_FINANCIAL)</f>
        <v>144256.71627979021</v>
      </c>
      <c r="L42" s="6">
        <v>52900</v>
      </c>
      <c r="M42" s="1">
        <v>0</v>
      </c>
      <c r="O42" s="1">
        <v>177100</v>
      </c>
      <c r="P42" s="1">
        <v>0</v>
      </c>
      <c r="R42" s="1">
        <v>0</v>
      </c>
      <c r="S42" s="1">
        <v>0</v>
      </c>
      <c r="U42" s="1">
        <v>0</v>
      </c>
      <c r="V42" s="9">
        <v>0</v>
      </c>
    </row>
    <row r="43" spans="1:22">
      <c r="A43" s="1" t="s">
        <v>64</v>
      </c>
      <c r="B43" s="6">
        <v>6561.4308444343123</v>
      </c>
      <c r="C43" s="1">
        <v>14024.859131698193</v>
      </c>
      <c r="D43" s="1">
        <v>0</v>
      </c>
      <c r="E43" s="1">
        <v>0</v>
      </c>
      <c r="F43" s="1">
        <v>0</v>
      </c>
      <c r="G43" s="9">
        <f>SUM(OR_FINANCIAL)</f>
        <v>20586.289976132506</v>
      </c>
      <c r="L43" s="6"/>
      <c r="V43" s="9"/>
    </row>
    <row r="44" spans="1:22">
      <c r="A44" s="1" t="s">
        <v>65</v>
      </c>
      <c r="B44" s="6">
        <v>8600.8940236214621</v>
      </c>
      <c r="C44" s="1">
        <v>25770.649321174616</v>
      </c>
      <c r="D44" s="1">
        <v>0</v>
      </c>
      <c r="E44" s="1">
        <v>0</v>
      </c>
      <c r="F44" s="1">
        <v>0</v>
      </c>
      <c r="G44" s="9">
        <f>SUM(PA_FINANCIAL)</f>
        <v>34371.543344796082</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1591180.4815546824</v>
      </c>
      <c r="C47" s="1">
        <v>4327098.8056921735</v>
      </c>
      <c r="D47" s="1">
        <v>0</v>
      </c>
      <c r="E47" s="1">
        <v>0</v>
      </c>
      <c r="F47" s="1">
        <v>0</v>
      </c>
      <c r="G47" s="9">
        <f>SUM(SC_FINANCIAL)</f>
        <v>5918279.2872468559</v>
      </c>
      <c r="L47" s="6">
        <v>2518615</v>
      </c>
      <c r="M47" s="1">
        <v>0</v>
      </c>
      <c r="O47" s="1">
        <v>6531385</v>
      </c>
      <c r="P47" s="1">
        <v>0</v>
      </c>
      <c r="R47" s="1">
        <v>0</v>
      </c>
      <c r="S47" s="1">
        <v>0</v>
      </c>
      <c r="U47" s="1">
        <v>0</v>
      </c>
      <c r="V47" s="9">
        <v>0</v>
      </c>
    </row>
    <row r="48" spans="1:22">
      <c r="A48" s="1" t="s">
        <v>69</v>
      </c>
      <c r="B48" s="6">
        <v>49.658604058524176</v>
      </c>
      <c r="C48" s="1">
        <v>0</v>
      </c>
      <c r="D48" s="1">
        <v>0</v>
      </c>
      <c r="E48" s="1">
        <v>0</v>
      </c>
      <c r="F48" s="1">
        <v>0</v>
      </c>
      <c r="G48" s="9">
        <f>SUM(SD_FINANCIAL)</f>
        <v>49.658604058524176</v>
      </c>
      <c r="L48" s="6"/>
      <c r="V48" s="9"/>
    </row>
    <row r="49" spans="1:22">
      <c r="A49" s="1" t="s">
        <v>70</v>
      </c>
      <c r="B49" s="6">
        <v>18919.799439200928</v>
      </c>
      <c r="C49" s="1">
        <v>1484239.547416246</v>
      </c>
      <c r="D49" s="1">
        <v>0</v>
      </c>
      <c r="E49" s="1">
        <v>0</v>
      </c>
      <c r="F49" s="1">
        <v>0</v>
      </c>
      <c r="G49" s="9">
        <f>SUM(TN_FINANCIAL)</f>
        <v>1503159.3468554469</v>
      </c>
      <c r="L49" s="6">
        <v>50000</v>
      </c>
      <c r="M49" s="1">
        <v>0</v>
      </c>
      <c r="O49" s="1">
        <v>2450000</v>
      </c>
      <c r="P49" s="1">
        <v>0</v>
      </c>
      <c r="R49" s="1">
        <v>0</v>
      </c>
      <c r="S49" s="1">
        <v>0</v>
      </c>
      <c r="U49" s="1">
        <v>0</v>
      </c>
      <c r="V49" s="9">
        <v>0</v>
      </c>
    </row>
    <row r="50" spans="1:22">
      <c r="A50" s="1" t="s">
        <v>71</v>
      </c>
      <c r="B50" s="6">
        <v>220338.840798044</v>
      </c>
      <c r="C50" s="1">
        <v>391138.75240714214</v>
      </c>
      <c r="D50" s="1">
        <v>15146.34</v>
      </c>
      <c r="E50" s="1">
        <v>0</v>
      </c>
      <c r="F50" s="1">
        <v>0</v>
      </c>
      <c r="G50" s="9">
        <f>SUM(TX_FINANCIAL)</f>
        <v>626623.93320518604</v>
      </c>
      <c r="L50" s="6">
        <v>523717</v>
      </c>
      <c r="M50" s="1">
        <v>139012</v>
      </c>
      <c r="O50" s="1">
        <v>407272</v>
      </c>
      <c r="P50" s="1">
        <v>108114</v>
      </c>
      <c r="R50" s="1">
        <v>0</v>
      </c>
      <c r="S50" s="1">
        <v>0</v>
      </c>
      <c r="U50" s="1">
        <v>0</v>
      </c>
      <c r="V50" s="9">
        <v>0</v>
      </c>
    </row>
    <row r="51" spans="1:22">
      <c r="A51" s="1" t="s">
        <v>72</v>
      </c>
      <c r="B51" s="6">
        <v>0</v>
      </c>
      <c r="C51" s="1">
        <v>52137.631814468194</v>
      </c>
      <c r="D51" s="1">
        <v>0</v>
      </c>
      <c r="E51" s="1">
        <v>0</v>
      </c>
      <c r="F51" s="1">
        <v>0</v>
      </c>
      <c r="G51" s="9">
        <f>SUM(UT_FINANCIAL)</f>
        <v>52137.631814468194</v>
      </c>
      <c r="L51" s="6">
        <v>0</v>
      </c>
      <c r="M51" s="1">
        <v>0</v>
      </c>
      <c r="O51" s="1">
        <v>47000</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313306.12760234886</v>
      </c>
      <c r="C53" s="1">
        <v>1002164.885255693</v>
      </c>
      <c r="D53" s="1">
        <v>762.5</v>
      </c>
      <c r="E53" s="1">
        <v>0</v>
      </c>
      <c r="F53" s="1">
        <v>0</v>
      </c>
      <c r="G53" s="9">
        <f>SUM(VA_FINANCIAL)</f>
        <v>1316233.5128580418</v>
      </c>
      <c r="L53" s="6">
        <v>368136</v>
      </c>
      <c r="M53" s="1">
        <v>18000</v>
      </c>
      <c r="O53" s="1">
        <v>1104909</v>
      </c>
      <c r="P53" s="1">
        <v>51387</v>
      </c>
      <c r="R53" s="1">
        <v>0</v>
      </c>
      <c r="S53" s="1">
        <v>0</v>
      </c>
      <c r="U53" s="1">
        <v>0</v>
      </c>
      <c r="V53" s="9">
        <v>0</v>
      </c>
    </row>
    <row r="54" spans="1:22">
      <c r="A54" s="1" t="s">
        <v>75</v>
      </c>
      <c r="B54" s="6">
        <v>57405.019176084359</v>
      </c>
      <c r="C54" s="1">
        <v>61.577341307127163</v>
      </c>
      <c r="D54" s="1">
        <v>0</v>
      </c>
      <c r="E54" s="1">
        <v>0</v>
      </c>
      <c r="F54" s="1">
        <v>0</v>
      </c>
      <c r="G54" s="9">
        <f>SUM(WA_FINANCIAL)</f>
        <v>57466.596517391488</v>
      </c>
      <c r="L54" s="6"/>
      <c r="V54" s="9"/>
    </row>
    <row r="55" spans="1:22">
      <c r="A55" s="1" t="s">
        <v>76</v>
      </c>
      <c r="B55" s="6">
        <v>27919.251701609261</v>
      </c>
      <c r="C55" s="1">
        <v>135462.05039854109</v>
      </c>
      <c r="D55" s="1">
        <v>0</v>
      </c>
      <c r="E55" s="1">
        <v>0</v>
      </c>
      <c r="F55" s="1">
        <v>0</v>
      </c>
      <c r="G55" s="9">
        <f>SUM(WV_FINANCIAL)</f>
        <v>163381.30210015035</v>
      </c>
      <c r="L55" s="6">
        <v>132436</v>
      </c>
      <c r="M55" s="1">
        <v>139679</v>
      </c>
      <c r="O55" s="1">
        <v>642564</v>
      </c>
      <c r="P55" s="1">
        <v>683850</v>
      </c>
      <c r="R55" s="1">
        <v>0</v>
      </c>
      <c r="S55" s="1">
        <v>0</v>
      </c>
      <c r="U55" s="1">
        <v>0</v>
      </c>
      <c r="V55" s="9">
        <v>0</v>
      </c>
    </row>
    <row r="56" spans="1:22">
      <c r="A56" s="1" t="s">
        <v>77</v>
      </c>
      <c r="B56" s="6">
        <v>215.26495886147637</v>
      </c>
      <c r="C56" s="1">
        <v>7473.1660879587407</v>
      </c>
      <c r="D56" s="1">
        <v>0</v>
      </c>
      <c r="E56" s="1">
        <v>0</v>
      </c>
      <c r="F56" s="1">
        <v>0</v>
      </c>
      <c r="G56" s="9">
        <f>SUM(WI_FINANCIAL)</f>
        <v>7688.4310468202175</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3600898.6111054136</v>
      </c>
      <c r="C60" s="1">
        <f>SUM(ALLOCATED)</f>
        <v>12140925.673411671</v>
      </c>
      <c r="D60" s="1">
        <f>SUM(HEALTH)</f>
        <v>16133.84</v>
      </c>
      <c r="E60" s="1">
        <f>SUM(UNALLOCATED)</f>
        <v>0</v>
      </c>
      <c r="F60" s="1">
        <f>SUM(LTC)</f>
        <v>0</v>
      </c>
      <c r="G60" s="9">
        <f>SUM(ALL_BLOCKS)</f>
        <v>15757958.124517081</v>
      </c>
      <c r="L60" s="6">
        <f>SUM(LIFE_CALLED)</f>
        <v>5270688</v>
      </c>
      <c r="M60" s="1">
        <f>SUM(LIFE_REFUNDED)</f>
        <v>356691</v>
      </c>
      <c r="O60" s="1">
        <f>SUM(ALLOC_CALLED)</f>
        <v>17846770</v>
      </c>
      <c r="P60" s="1">
        <f>SUM(ALLOC_REFUNDED)</f>
        <v>1325580.3500000001</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133</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147139267</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5573245</v>
      </c>
      <c r="L13" s="6"/>
      <c r="V13" s="9"/>
    </row>
    <row r="14" spans="1:22">
      <c r="A14" s="1" t="s">
        <v>23</v>
      </c>
      <c r="B14" s="6">
        <v>0</v>
      </c>
      <c r="C14" s="1">
        <v>0</v>
      </c>
      <c r="D14" s="1">
        <v>0</v>
      </c>
      <c r="E14" s="1">
        <v>0</v>
      </c>
      <c r="F14" s="1">
        <v>0</v>
      </c>
      <c r="G14" s="9">
        <f>SUM(DC_FINANCIAL)</f>
        <v>0</v>
      </c>
      <c r="I14" s="13" t="s">
        <v>24</v>
      </c>
      <c r="J14" s="16">
        <v>25248618</v>
      </c>
      <c r="L14" s="6"/>
      <c r="V14" s="9"/>
    </row>
    <row r="15" spans="1:22">
      <c r="A15" s="1" t="s">
        <v>25</v>
      </c>
      <c r="B15" s="6">
        <v>0</v>
      </c>
      <c r="C15" s="1">
        <v>0</v>
      </c>
      <c r="D15" s="1">
        <v>0</v>
      </c>
      <c r="E15" s="1">
        <v>0</v>
      </c>
      <c r="F15" s="1">
        <v>0</v>
      </c>
      <c r="G15" s="9">
        <f>SUM(FL_FINANCIAL)</f>
        <v>0</v>
      </c>
      <c r="I15" s="13" t="s">
        <v>26</v>
      </c>
      <c r="J15" s="16">
        <v>22158.870000000003</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37078074.870000005</v>
      </c>
      <c r="D17" s="1">
        <v>0</v>
      </c>
      <c r="E17" s="1">
        <v>0</v>
      </c>
      <c r="F17" s="1">
        <v>0</v>
      </c>
      <c r="G17" s="9">
        <f>SUM(HI_FINANCIAL)</f>
        <v>37078074.870000005</v>
      </c>
      <c r="I17" s="13"/>
      <c r="J17" s="16"/>
      <c r="L17" s="6">
        <v>27611280</v>
      </c>
      <c r="M17" s="1">
        <v>20999761</v>
      </c>
      <c r="O17" s="1">
        <v>22525117</v>
      </c>
      <c r="P17" s="1">
        <v>11243274</v>
      </c>
      <c r="R17" s="1">
        <v>11732231</v>
      </c>
      <c r="S17" s="1">
        <v>11500000</v>
      </c>
      <c r="U17" s="1">
        <v>0</v>
      </c>
      <c r="V17" s="9">
        <v>0</v>
      </c>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120716297</v>
      </c>
      <c r="L19" s="6"/>
      <c r="V19" s="9"/>
    </row>
    <row r="20" spans="1:22">
      <c r="A20" s="1" t="s">
        <v>34</v>
      </c>
      <c r="B20" s="6">
        <v>0</v>
      </c>
      <c r="C20" s="1">
        <v>0</v>
      </c>
      <c r="D20" s="1">
        <v>0</v>
      </c>
      <c r="E20" s="1">
        <v>0</v>
      </c>
      <c r="F20" s="1">
        <v>0</v>
      </c>
      <c r="G20" s="9">
        <f>SUM(IN_FINANCIAL)</f>
        <v>0</v>
      </c>
      <c r="I20" s="13" t="s">
        <v>35</v>
      </c>
      <c r="J20" s="16">
        <v>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10468441</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9720476</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37078074.870000005</v>
      </c>
      <c r="L26" s="6"/>
      <c r="V26" s="9"/>
    </row>
    <row r="27" spans="1:22">
      <c r="A27" s="1" t="s">
        <v>47</v>
      </c>
      <c r="B27" s="6">
        <v>0</v>
      </c>
      <c r="C27" s="1">
        <v>0</v>
      </c>
      <c r="D27" s="1">
        <v>0</v>
      </c>
      <c r="E27" s="1">
        <v>0</v>
      </c>
      <c r="F27" s="1">
        <v>0</v>
      </c>
      <c r="G27" s="9">
        <f>SUM(MA_FINANCIAL)</f>
        <v>0</v>
      </c>
      <c r="I27" s="13" t="s">
        <v>48</v>
      </c>
      <c r="J27" s="16">
        <f>SUM(ALL_BLOCKS)</f>
        <v>37078074.870000005</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37078074.870000005</v>
      </c>
      <c r="D60" s="1">
        <f>SUM(HEALTH)</f>
        <v>0</v>
      </c>
      <c r="E60" s="1">
        <f>SUM(UNALLOCATED)</f>
        <v>0</v>
      </c>
      <c r="F60" s="1">
        <f>SUM(LTC)</f>
        <v>0</v>
      </c>
      <c r="G60" s="9">
        <f>SUM(ALL_BLOCKS)</f>
        <v>37078074.870000005</v>
      </c>
      <c r="L60" s="6">
        <f>SUM(LIFE_CALLED)</f>
        <v>27611280</v>
      </c>
      <c r="M60" s="1">
        <f>SUM(LIFE_REFUNDED)</f>
        <v>20999761</v>
      </c>
      <c r="O60" s="1">
        <f>SUM(ALLOC_CALLED)</f>
        <v>22525117</v>
      </c>
      <c r="P60" s="1">
        <f>SUM(ALLOC_REFUNDED)</f>
        <v>11243274</v>
      </c>
      <c r="R60" s="1">
        <f>SUM(HEALTH_CALLED)</f>
        <v>11732231</v>
      </c>
      <c r="S60" s="1">
        <f>SUM(HEALTH_REFUNDED)</f>
        <v>11500000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134</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-207096.39595988253</v>
      </c>
      <c r="C6" s="1">
        <v>-6513.0314943219564</v>
      </c>
      <c r="D6" s="1">
        <v>0</v>
      </c>
      <c r="E6" s="1">
        <v>0</v>
      </c>
      <c r="F6" s="1">
        <v>0</v>
      </c>
      <c r="G6" s="9">
        <f>SUM(AL_FINANCIAL)</f>
        <v>-213609.42745420447</v>
      </c>
      <c r="L6" s="6">
        <v>1900000</v>
      </c>
      <c r="M6" s="1">
        <v>0</v>
      </c>
      <c r="O6" s="1">
        <v>69317</v>
      </c>
      <c r="P6" s="1">
        <v>0</v>
      </c>
      <c r="R6" s="1">
        <v>0</v>
      </c>
      <c r="S6" s="1">
        <v>0</v>
      </c>
      <c r="U6" s="1">
        <v>0</v>
      </c>
      <c r="V6" s="9">
        <v>0</v>
      </c>
    </row>
    <row r="7" spans="1:22">
      <c r="A7" s="1" t="s">
        <v>12</v>
      </c>
      <c r="B7" s="6">
        <v>56606.703095125442</v>
      </c>
      <c r="C7" s="1">
        <v>16955.019246526877</v>
      </c>
      <c r="D7" s="1">
        <v>0</v>
      </c>
      <c r="E7" s="1">
        <v>0</v>
      </c>
      <c r="F7" s="1">
        <v>0</v>
      </c>
      <c r="G7" s="9">
        <f>SUM(AK_FINANCIAL)</f>
        <v>73561.722341652319</v>
      </c>
      <c r="I7" s="12"/>
      <c r="J7" s="15"/>
      <c r="L7" s="6">
        <v>283000</v>
      </c>
      <c r="M7" s="1">
        <v>333000</v>
      </c>
      <c r="O7" s="1">
        <v>94000</v>
      </c>
      <c r="P7" s="1">
        <v>125000</v>
      </c>
      <c r="R7" s="1">
        <v>0</v>
      </c>
      <c r="S7" s="1">
        <v>0</v>
      </c>
      <c r="U7" s="1">
        <v>0</v>
      </c>
      <c r="V7" s="9">
        <v>0</v>
      </c>
    </row>
    <row r="8" spans="1:22">
      <c r="A8" s="1" t="s">
        <v>13</v>
      </c>
      <c r="B8" s="6">
        <v>-269457.22210473241</v>
      </c>
      <c r="C8" s="1">
        <v>1156.7443028827547</v>
      </c>
      <c r="D8" s="1">
        <v>0</v>
      </c>
      <c r="E8" s="1">
        <v>0</v>
      </c>
      <c r="F8" s="1">
        <v>0</v>
      </c>
      <c r="G8" s="9">
        <f>SUM(AZ_FINANCIAL)</f>
        <v>-268300.47780184966</v>
      </c>
      <c r="I8" s="13" t="s">
        <v>14</v>
      </c>
      <c r="J8" s="16"/>
      <c r="L8" s="6">
        <v>953650</v>
      </c>
      <c r="M8" s="1">
        <v>0</v>
      </c>
      <c r="O8" s="1">
        <v>120413</v>
      </c>
      <c r="P8" s="1">
        <v>0</v>
      </c>
      <c r="R8" s="1">
        <v>0</v>
      </c>
      <c r="S8" s="1">
        <v>0</v>
      </c>
      <c r="U8" s="1">
        <v>0</v>
      </c>
      <c r="V8" s="9">
        <v>0</v>
      </c>
    </row>
    <row r="9" spans="1:22">
      <c r="A9" s="1" t="s">
        <v>15</v>
      </c>
      <c r="B9" s="6">
        <v>-44750.02193274349</v>
      </c>
      <c r="C9" s="1">
        <v>3891.0906536078546</v>
      </c>
      <c r="D9" s="1">
        <v>0</v>
      </c>
      <c r="E9" s="1">
        <v>0</v>
      </c>
      <c r="F9" s="1">
        <v>0</v>
      </c>
      <c r="G9" s="9">
        <f>SUM(AR_FINANCIAL)</f>
        <v>-40858.931279135635</v>
      </c>
      <c r="I9" s="13"/>
      <c r="J9" s="16"/>
      <c r="L9" s="6">
        <v>1090241</v>
      </c>
      <c r="M9" s="1">
        <v>0</v>
      </c>
      <c r="O9" s="1">
        <v>0</v>
      </c>
      <c r="P9" s="1">
        <v>0</v>
      </c>
      <c r="R9" s="1">
        <v>0</v>
      </c>
      <c r="S9" s="1">
        <v>0</v>
      </c>
      <c r="U9" s="1">
        <v>0</v>
      </c>
      <c r="V9" s="9">
        <v>0</v>
      </c>
    </row>
    <row r="10" spans="1:22">
      <c r="A10" s="1" t="s">
        <v>16</v>
      </c>
      <c r="B10" s="6">
        <v>-281654.47244563699</v>
      </c>
      <c r="C10" s="1">
        <v>41048.502682899823</v>
      </c>
      <c r="D10" s="1">
        <v>0</v>
      </c>
      <c r="E10" s="1">
        <v>0</v>
      </c>
      <c r="F10" s="1">
        <v>0</v>
      </c>
      <c r="G10" s="9">
        <f>SUM(CA_FINANCIAL)</f>
        <v>-240605.96976273716</v>
      </c>
      <c r="I10" s="13" t="s">
        <v>17</v>
      </c>
      <c r="J10" s="16">
        <v>765438159.46497142</v>
      </c>
      <c r="L10" s="6">
        <v>18173100</v>
      </c>
      <c r="M10" s="1">
        <v>24700000</v>
      </c>
      <c r="O10" s="1">
        <v>573100</v>
      </c>
      <c r="P10" s="1">
        <v>1000000</v>
      </c>
      <c r="R10" s="1">
        <v>0</v>
      </c>
      <c r="S10" s="1">
        <v>0</v>
      </c>
      <c r="U10" s="1">
        <v>0</v>
      </c>
      <c r="V10" s="9">
        <v>0</v>
      </c>
    </row>
    <row r="11" spans="1:22">
      <c r="A11" s="1" t="s">
        <v>18</v>
      </c>
      <c r="B11" s="6">
        <v>-113960.62124390993</v>
      </c>
      <c r="C11" s="1">
        <v>9451.3857717551873</v>
      </c>
      <c r="D11" s="1">
        <v>0</v>
      </c>
      <c r="E11" s="1">
        <v>0</v>
      </c>
      <c r="F11" s="1">
        <v>0</v>
      </c>
      <c r="G11" s="9">
        <f>SUM(CO_FINANCIAL)</f>
        <v>-104509.23547215475</v>
      </c>
      <c r="I11" s="13"/>
      <c r="J11" s="16"/>
      <c r="L11" s="6">
        <v>2150102</v>
      </c>
      <c r="M11" s="1">
        <v>3128840</v>
      </c>
      <c r="O11" s="1">
        <v>149714</v>
      </c>
      <c r="P11" s="1">
        <v>70000</v>
      </c>
      <c r="R11" s="1">
        <v>0</v>
      </c>
      <c r="S11" s="1">
        <v>21787</v>
      </c>
      <c r="U11" s="1">
        <v>0</v>
      </c>
      <c r="V11" s="9">
        <v>0</v>
      </c>
    </row>
    <row r="12" spans="1:22">
      <c r="A12" s="1" t="s">
        <v>19</v>
      </c>
      <c r="B12" s="6">
        <v>-51657.72129287885</v>
      </c>
      <c r="C12" s="1">
        <v>1373.4589875558813</v>
      </c>
      <c r="D12" s="1">
        <v>0</v>
      </c>
      <c r="E12" s="1">
        <v>0</v>
      </c>
      <c r="F12" s="1">
        <v>0</v>
      </c>
      <c r="G12" s="9">
        <f>SUM(CT_FINANCIAL)</f>
        <v>-50284.262305322969</v>
      </c>
      <c r="I12" s="13" t="s">
        <v>20</v>
      </c>
      <c r="J12" s="16"/>
      <c r="L12" s="6">
        <v>785000</v>
      </c>
      <c r="M12" s="1">
        <v>731234</v>
      </c>
      <c r="O12" s="1">
        <v>0</v>
      </c>
      <c r="P12" s="1">
        <v>0</v>
      </c>
      <c r="R12" s="1">
        <v>0</v>
      </c>
      <c r="S12" s="1">
        <v>0</v>
      </c>
      <c r="U12" s="1">
        <v>0</v>
      </c>
      <c r="V12" s="9">
        <v>0</v>
      </c>
    </row>
    <row r="13" spans="1:22">
      <c r="A13" s="1" t="s">
        <v>21</v>
      </c>
      <c r="B13" s="6">
        <v>-95907.257312026835</v>
      </c>
      <c r="C13" s="1">
        <v>-1180.9703788356646</v>
      </c>
      <c r="D13" s="1">
        <v>0</v>
      </c>
      <c r="E13" s="1">
        <v>0</v>
      </c>
      <c r="F13" s="1">
        <v>0</v>
      </c>
      <c r="G13" s="9">
        <f>SUM(DE_FINANCIAL)</f>
        <v>-97088.227690862506</v>
      </c>
      <c r="I13" s="13" t="s">
        <v>22</v>
      </c>
      <c r="J13" s="16">
        <v>0</v>
      </c>
      <c r="L13" s="6">
        <v>87000</v>
      </c>
      <c r="M13" s="1">
        <v>0</v>
      </c>
      <c r="O13" s="1">
        <v>3000</v>
      </c>
      <c r="P13" s="1">
        <v>0</v>
      </c>
      <c r="R13" s="1">
        <v>0</v>
      </c>
      <c r="S13" s="1">
        <v>0</v>
      </c>
      <c r="U13" s="1">
        <v>0</v>
      </c>
      <c r="V13" s="9">
        <v>0</v>
      </c>
    </row>
    <row r="14" spans="1:22">
      <c r="A14" s="1" t="s">
        <v>23</v>
      </c>
      <c r="B14" s="6">
        <v>34200.718097084566</v>
      </c>
      <c r="C14" s="1">
        <v>20857.572853482248</v>
      </c>
      <c r="D14" s="1">
        <v>0</v>
      </c>
      <c r="E14" s="1">
        <v>0</v>
      </c>
      <c r="F14" s="1">
        <v>0</v>
      </c>
      <c r="G14" s="9">
        <f>SUM(DC_FINANCIAL)</f>
        <v>55058.290950566814</v>
      </c>
      <c r="I14" s="13" t="s">
        <v>24</v>
      </c>
      <c r="J14" s="16">
        <v>5116161</v>
      </c>
      <c r="L14" s="6">
        <v>100000</v>
      </c>
      <c r="M14" s="1">
        <v>113572</v>
      </c>
      <c r="O14" s="1">
        <v>5000</v>
      </c>
      <c r="P14" s="1">
        <v>10656</v>
      </c>
      <c r="R14" s="1">
        <v>0</v>
      </c>
      <c r="S14" s="1">
        <v>0</v>
      </c>
      <c r="U14" s="1">
        <v>0</v>
      </c>
      <c r="V14" s="9">
        <v>0</v>
      </c>
    </row>
    <row r="15" spans="1:22">
      <c r="A15" s="1" t="s">
        <v>25</v>
      </c>
      <c r="B15" s="6">
        <v>-996870.64953083545</v>
      </c>
      <c r="C15" s="1">
        <v>-20958.257856983459</v>
      </c>
      <c r="D15" s="1">
        <v>0</v>
      </c>
      <c r="E15" s="1">
        <v>0</v>
      </c>
      <c r="F15" s="1">
        <v>0</v>
      </c>
      <c r="G15" s="9">
        <f>SUM(FL_FINANCIAL)</f>
        <v>-1017828.9073878189</v>
      </c>
      <c r="I15" s="13" t="s">
        <v>26</v>
      </c>
      <c r="J15" s="16">
        <v>7545974.3247330897</v>
      </c>
      <c r="L15" s="6">
        <v>6100000</v>
      </c>
      <c r="M15" s="1">
        <v>0</v>
      </c>
      <c r="O15" s="1">
        <v>500000</v>
      </c>
      <c r="P15" s="1">
        <v>0</v>
      </c>
      <c r="R15" s="1">
        <v>0</v>
      </c>
      <c r="S15" s="1">
        <v>0</v>
      </c>
      <c r="U15" s="1">
        <v>0</v>
      </c>
      <c r="V15" s="9">
        <v>0</v>
      </c>
    </row>
    <row r="16" spans="1:22">
      <c r="A16" s="1" t="s">
        <v>27</v>
      </c>
      <c r="B16" s="6">
        <v>-304470.86750744749</v>
      </c>
      <c r="C16" s="1">
        <v>1696.6286811760801</v>
      </c>
      <c r="D16" s="1">
        <v>0</v>
      </c>
      <c r="E16" s="1">
        <v>0</v>
      </c>
      <c r="F16" s="1">
        <v>0</v>
      </c>
      <c r="G16" s="9">
        <f>SUM(GA_FINANCIAL)</f>
        <v>-302774.23882627138</v>
      </c>
      <c r="I16" s="13" t="s">
        <v>28</v>
      </c>
      <c r="J16" s="16">
        <v>0</v>
      </c>
      <c r="L16" s="6">
        <v>1806365</v>
      </c>
      <c r="M16" s="1">
        <v>0</v>
      </c>
      <c r="O16" s="1">
        <v>93635</v>
      </c>
      <c r="P16" s="1">
        <v>4595.29</v>
      </c>
      <c r="R16" s="1">
        <v>0</v>
      </c>
      <c r="S16" s="1">
        <v>0</v>
      </c>
      <c r="U16" s="1">
        <v>0</v>
      </c>
      <c r="V16" s="9">
        <v>0</v>
      </c>
    </row>
    <row r="17" spans="1:22">
      <c r="A17" s="1" t="s">
        <v>29</v>
      </c>
      <c r="B17" s="6">
        <v>-62469.647166843002</v>
      </c>
      <c r="C17" s="1">
        <v>-7127.6707305558448</v>
      </c>
      <c r="D17" s="1">
        <v>0</v>
      </c>
      <c r="E17" s="1">
        <v>0</v>
      </c>
      <c r="F17" s="1">
        <v>0</v>
      </c>
      <c r="G17" s="9">
        <f>SUM(HI_FINANCIAL)</f>
        <v>-69597.31789739884</v>
      </c>
      <c r="I17" s="13"/>
      <c r="J17" s="16"/>
      <c r="L17" s="6">
        <v>366380</v>
      </c>
      <c r="M17" s="1">
        <v>0</v>
      </c>
      <c r="O17" s="1">
        <v>14880</v>
      </c>
      <c r="P17" s="1">
        <v>0</v>
      </c>
      <c r="R17" s="1">
        <v>30</v>
      </c>
      <c r="S17" s="1">
        <v>0</v>
      </c>
      <c r="U17" s="1">
        <v>0</v>
      </c>
      <c r="V17" s="9">
        <v>0</v>
      </c>
    </row>
    <row r="18" spans="1:22">
      <c r="A18" s="1" t="s">
        <v>30</v>
      </c>
      <c r="B18" s="6">
        <v>-314201.5718496358</v>
      </c>
      <c r="C18" s="1">
        <v>-2670.343774445384</v>
      </c>
      <c r="D18" s="1">
        <v>0</v>
      </c>
      <c r="E18" s="1">
        <v>0</v>
      </c>
      <c r="F18" s="1">
        <v>0</v>
      </c>
      <c r="G18" s="9">
        <f>SUM(ID_FINANCIAL)</f>
        <v>-316871.91562408116</v>
      </c>
      <c r="I18" s="13" t="s">
        <v>31</v>
      </c>
      <c r="J18" s="16"/>
      <c r="L18" s="6">
        <v>2549400</v>
      </c>
      <c r="M18" s="1">
        <v>1180454</v>
      </c>
      <c r="O18" s="1">
        <v>200600</v>
      </c>
      <c r="P18" s="1">
        <v>0</v>
      </c>
      <c r="R18" s="1">
        <v>0</v>
      </c>
      <c r="S18" s="1">
        <v>0</v>
      </c>
      <c r="U18" s="1">
        <v>0</v>
      </c>
      <c r="V18" s="9">
        <v>0</v>
      </c>
    </row>
    <row r="19" spans="1:22">
      <c r="A19" s="1" t="s">
        <v>32</v>
      </c>
      <c r="B19" s="6">
        <v>-398993.10911556799</v>
      </c>
      <c r="C19" s="1">
        <v>-7499.6868572412059</v>
      </c>
      <c r="D19" s="1">
        <v>0</v>
      </c>
      <c r="E19" s="1">
        <v>0</v>
      </c>
      <c r="F19" s="1">
        <v>0</v>
      </c>
      <c r="G19" s="9">
        <f>SUM(IL_FINANCIAL)</f>
        <v>-406492.7959728092</v>
      </c>
      <c r="I19" s="13" t="s">
        <v>33</v>
      </c>
      <c r="J19" s="16">
        <v>714278169.00000012</v>
      </c>
      <c r="L19" s="6">
        <v>5500000</v>
      </c>
      <c r="M19" s="1">
        <v>6070000</v>
      </c>
      <c r="O19" s="1">
        <v>500000</v>
      </c>
      <c r="P19" s="1">
        <v>1635000</v>
      </c>
      <c r="R19" s="1">
        <v>0</v>
      </c>
      <c r="S19" s="1">
        <v>0</v>
      </c>
      <c r="U19" s="1">
        <v>0</v>
      </c>
      <c r="V19" s="9">
        <v>0</v>
      </c>
    </row>
    <row r="20" spans="1:22">
      <c r="A20" s="1" t="s">
        <v>34</v>
      </c>
      <c r="B20" s="6">
        <v>-459742.23171269335</v>
      </c>
      <c r="C20" s="1">
        <v>81350.585759641486</v>
      </c>
      <c r="D20" s="1">
        <v>0</v>
      </c>
      <c r="E20" s="1">
        <v>0</v>
      </c>
      <c r="F20" s="1">
        <v>0</v>
      </c>
      <c r="G20" s="9">
        <f>SUM(IN_FINANCIAL)</f>
        <v>-378391.64595305186</v>
      </c>
      <c r="I20" s="13" t="s">
        <v>35</v>
      </c>
      <c r="J20" s="16">
        <v>-357884520.69994879</v>
      </c>
      <c r="L20" s="6">
        <v>1098547</v>
      </c>
      <c r="M20" s="1">
        <v>0</v>
      </c>
      <c r="O20" s="1">
        <v>299899</v>
      </c>
      <c r="P20" s="1">
        <v>0</v>
      </c>
      <c r="R20" s="1">
        <v>0</v>
      </c>
      <c r="S20" s="1">
        <v>0</v>
      </c>
      <c r="U20" s="1">
        <v>0</v>
      </c>
      <c r="V20" s="9">
        <v>0</v>
      </c>
    </row>
    <row r="21" spans="1:22">
      <c r="A21" s="1" t="s">
        <v>36</v>
      </c>
      <c r="B21" s="6">
        <v>-10355.523389932234</v>
      </c>
      <c r="C21" s="1">
        <v>12473.081780121487</v>
      </c>
      <c r="D21" s="1">
        <v>0</v>
      </c>
      <c r="E21" s="1">
        <v>0</v>
      </c>
      <c r="F21" s="1">
        <v>0</v>
      </c>
      <c r="G21" s="9">
        <f>SUM(IA_FINANCIAL)</f>
        <v>2117.5583901892533</v>
      </c>
      <c r="I21" s="13" t="s">
        <v>37</v>
      </c>
      <c r="J21" s="16"/>
      <c r="L21" s="6">
        <v>1000000</v>
      </c>
      <c r="M21" s="1">
        <v>0</v>
      </c>
      <c r="O21" s="1">
        <v>0</v>
      </c>
      <c r="P21" s="1">
        <v>0</v>
      </c>
      <c r="R21" s="1">
        <v>0</v>
      </c>
      <c r="S21" s="1">
        <v>0</v>
      </c>
      <c r="U21" s="1">
        <v>0</v>
      </c>
      <c r="V21" s="9">
        <v>0</v>
      </c>
    </row>
    <row r="22" spans="1:22">
      <c r="A22" s="1" t="s">
        <v>38</v>
      </c>
      <c r="B22" s="6">
        <v>-187839.32022754755</v>
      </c>
      <c r="C22" s="1">
        <v>8024.695749464212</v>
      </c>
      <c r="D22" s="1">
        <v>0</v>
      </c>
      <c r="E22" s="1">
        <v>0</v>
      </c>
      <c r="F22" s="1">
        <v>0</v>
      </c>
      <c r="G22" s="9">
        <f>SUM(KS_FINANCIAL)</f>
        <v>-179814.62447808334</v>
      </c>
      <c r="I22" s="13" t="s">
        <v>39</v>
      </c>
      <c r="J22" s="16">
        <v>233590142.16492066</v>
      </c>
      <c r="L22" s="6"/>
      <c r="V22" s="9"/>
    </row>
    <row r="23" spans="1:22">
      <c r="A23" s="1" t="s">
        <v>40</v>
      </c>
      <c r="B23" s="6">
        <v>-1036563.2918700427</v>
      </c>
      <c r="C23" s="1">
        <v>-188026.08388958359</v>
      </c>
      <c r="D23" s="1">
        <v>0</v>
      </c>
      <c r="E23" s="1">
        <v>0</v>
      </c>
      <c r="F23" s="1">
        <v>0</v>
      </c>
      <c r="G23" s="9">
        <f>SUM(KY_FINANCIAL)</f>
        <v>-1224589.3757596263</v>
      </c>
      <c r="I23" s="13" t="s">
        <v>41</v>
      </c>
      <c r="J23" s="16"/>
      <c r="L23" s="6">
        <v>10331657</v>
      </c>
      <c r="M23" s="1">
        <v>10251563</v>
      </c>
      <c r="O23" s="1">
        <v>2835989</v>
      </c>
      <c r="P23" s="1">
        <v>2840382</v>
      </c>
      <c r="R23" s="1">
        <v>99323</v>
      </c>
      <c r="S23" s="1">
        <v>98105</v>
      </c>
      <c r="U23" s="1">
        <v>0</v>
      </c>
      <c r="V23" s="9">
        <v>0</v>
      </c>
    </row>
    <row r="24" spans="1:22">
      <c r="A24" s="1" t="s">
        <v>42</v>
      </c>
      <c r="B24" s="6">
        <v>-193823.58191817836</v>
      </c>
      <c r="C24" s="1">
        <v>-1215.5452336535891</v>
      </c>
      <c r="D24" s="1">
        <v>0</v>
      </c>
      <c r="E24" s="1">
        <v>0</v>
      </c>
      <c r="F24" s="1">
        <v>0</v>
      </c>
      <c r="G24" s="9">
        <f>SUM(LA_FINANCIAL)</f>
        <v>-195039.12715183196</v>
      </c>
      <c r="I24" s="13" t="s">
        <v>43</v>
      </c>
      <c r="J24" s="16">
        <v>200617794</v>
      </c>
      <c r="L24" s="6">
        <v>1368000</v>
      </c>
      <c r="M24" s="1">
        <v>0</v>
      </c>
      <c r="O24" s="1">
        <v>57000</v>
      </c>
      <c r="P24" s="1">
        <v>0</v>
      </c>
      <c r="R24" s="1">
        <v>0</v>
      </c>
      <c r="S24" s="1">
        <v>0</v>
      </c>
      <c r="U24" s="1">
        <v>0</v>
      </c>
      <c r="V24" s="9">
        <v>0</v>
      </c>
    </row>
    <row r="25" spans="1:22">
      <c r="A25" s="1" t="s">
        <v>44</v>
      </c>
      <c r="B25" s="6">
        <v>-33865.727432224085</v>
      </c>
      <c r="C25" s="1">
        <v>488.46561012767779</v>
      </c>
      <c r="D25" s="1">
        <v>0</v>
      </c>
      <c r="E25" s="1">
        <v>0</v>
      </c>
      <c r="F25" s="1">
        <v>0</v>
      </c>
      <c r="G25" s="9">
        <f>SUM(ME_FINANCIAL)</f>
        <v>-33377.261822096407</v>
      </c>
      <c r="I25" s="13"/>
      <c r="J25" s="16"/>
      <c r="L25" s="6">
        <v>791200</v>
      </c>
      <c r="M25" s="1">
        <v>0</v>
      </c>
      <c r="O25" s="1">
        <v>800</v>
      </c>
      <c r="P25" s="1">
        <v>0</v>
      </c>
      <c r="R25" s="1">
        <v>0</v>
      </c>
      <c r="S25" s="1">
        <v>0</v>
      </c>
      <c r="U25" s="1">
        <v>0</v>
      </c>
      <c r="V25" s="9">
        <v>0</v>
      </c>
    </row>
    <row r="26" spans="1:22">
      <c r="A26" s="1" t="s">
        <v>45</v>
      </c>
      <c r="B26" s="6">
        <v>-185615.13351368532</v>
      </c>
      <c r="C26" s="1">
        <v>-3771.3360271783167</v>
      </c>
      <c r="D26" s="1">
        <v>0</v>
      </c>
      <c r="E26" s="1">
        <v>0</v>
      </c>
      <c r="F26" s="1">
        <v>0</v>
      </c>
      <c r="G26" s="9">
        <f>SUM(MD_FINANCIAL)</f>
        <v>-189386.46954086365</v>
      </c>
      <c r="I26" s="13" t="s">
        <v>46</v>
      </c>
      <c r="J26" s="16">
        <f>SUM(ADD_FINANCIAL)-SUM(LESS_FINANCIAL)</f>
        <v>-12501289.675267458</v>
      </c>
      <c r="L26" s="6">
        <v>148500</v>
      </c>
      <c r="M26" s="1">
        <v>0</v>
      </c>
      <c r="O26" s="1">
        <v>2326500</v>
      </c>
      <c r="P26" s="1">
        <v>0</v>
      </c>
      <c r="R26" s="1">
        <v>0</v>
      </c>
      <c r="S26" s="1">
        <v>0</v>
      </c>
      <c r="U26" s="1">
        <v>0</v>
      </c>
      <c r="V26" s="9">
        <v>0</v>
      </c>
    </row>
    <row r="27" spans="1:22">
      <c r="A27" s="1" t="s">
        <v>47</v>
      </c>
      <c r="B27" s="6">
        <v>-141844.3640095219</v>
      </c>
      <c r="C27" s="1">
        <v>498.11574614090205</v>
      </c>
      <c r="D27" s="1">
        <v>0</v>
      </c>
      <c r="E27" s="1">
        <v>0</v>
      </c>
      <c r="F27" s="1">
        <v>0</v>
      </c>
      <c r="G27" s="9">
        <f>SUM(MA_FINANCIAL)</f>
        <v>-141346.24826338101</v>
      </c>
      <c r="I27" s="13" t="s">
        <v>48</v>
      </c>
      <c r="J27" s="16">
        <f>SUM(ALL_BLOCKS)</f>
        <v>-12501289.675266903</v>
      </c>
      <c r="L27" s="6">
        <v>1670000</v>
      </c>
      <c r="M27" s="1">
        <v>2125000</v>
      </c>
      <c r="O27" s="1">
        <v>106000</v>
      </c>
      <c r="P27" s="1">
        <v>200000</v>
      </c>
      <c r="R27" s="1">
        <v>0</v>
      </c>
      <c r="S27" s="1">
        <v>0</v>
      </c>
      <c r="U27" s="1">
        <v>0</v>
      </c>
      <c r="V27" s="9">
        <v>0</v>
      </c>
    </row>
    <row r="28" spans="1:22">
      <c r="A28" s="1" t="s">
        <v>49</v>
      </c>
      <c r="B28" s="6">
        <v>-481741.15976397879</v>
      </c>
      <c r="C28" s="1">
        <v>13873.268784365966</v>
      </c>
      <c r="D28" s="1">
        <v>0</v>
      </c>
      <c r="E28" s="1">
        <v>0</v>
      </c>
      <c r="F28" s="1">
        <v>0</v>
      </c>
      <c r="G28" s="9">
        <f>SUM(MI_FINANCIAL)</f>
        <v>-467867.89097961283</v>
      </c>
      <c r="I28" s="14"/>
      <c r="J28" s="17"/>
      <c r="L28" s="6">
        <v>5200000</v>
      </c>
      <c r="M28" s="1">
        <v>6695134</v>
      </c>
      <c r="O28" s="1">
        <v>750000</v>
      </c>
      <c r="P28" s="1">
        <v>0</v>
      </c>
      <c r="R28" s="1">
        <v>0</v>
      </c>
      <c r="S28" s="1">
        <v>0</v>
      </c>
      <c r="U28" s="1">
        <v>0</v>
      </c>
      <c r="V28" s="9">
        <v>0</v>
      </c>
    </row>
    <row r="29" spans="1:22">
      <c r="A29" s="1" t="s">
        <v>50</v>
      </c>
      <c r="B29" s="6">
        <v>-90129.178333875258</v>
      </c>
      <c r="C29" s="1">
        <v>-9130.1389559307427</v>
      </c>
      <c r="D29" s="1">
        <v>0</v>
      </c>
      <c r="E29" s="1">
        <v>0</v>
      </c>
      <c r="F29" s="1">
        <v>0</v>
      </c>
      <c r="G29" s="9">
        <f>SUM(MN_FINANCIAL)</f>
        <v>-99259.317289806</v>
      </c>
      <c r="L29" s="6">
        <v>752000</v>
      </c>
      <c r="M29" s="1">
        <v>0</v>
      </c>
      <c r="O29" s="1">
        <v>48000</v>
      </c>
      <c r="P29" s="1">
        <v>0</v>
      </c>
      <c r="R29" s="1">
        <v>0</v>
      </c>
      <c r="S29" s="1">
        <v>0</v>
      </c>
      <c r="U29" s="1">
        <v>0</v>
      </c>
      <c r="V29" s="9">
        <v>0</v>
      </c>
    </row>
    <row r="30" spans="1:22">
      <c r="A30" s="1" t="s">
        <v>51</v>
      </c>
      <c r="B30" s="6">
        <v>17918.798505570507</v>
      </c>
      <c r="C30" s="1">
        <v>5664.645193513963</v>
      </c>
      <c r="D30" s="1">
        <v>0</v>
      </c>
      <c r="E30" s="1">
        <v>0</v>
      </c>
      <c r="F30" s="1">
        <v>0</v>
      </c>
      <c r="G30" s="9">
        <f>SUM(MS_FINANCIAL)</f>
        <v>23583.44369908447</v>
      </c>
      <c r="L30" s="6"/>
      <c r="V30" s="9"/>
    </row>
    <row r="31" spans="1:22">
      <c r="A31" s="1" t="s">
        <v>52</v>
      </c>
      <c r="B31" s="6">
        <v>-324971.63720611483</v>
      </c>
      <c r="C31" s="1">
        <v>-17325.868423723383</v>
      </c>
      <c r="D31" s="1">
        <v>0</v>
      </c>
      <c r="E31" s="1">
        <v>0</v>
      </c>
      <c r="F31" s="1">
        <v>0</v>
      </c>
      <c r="G31" s="9">
        <f>SUM(MO_FINANCIAL)</f>
        <v>-342297.50562983821</v>
      </c>
      <c r="L31" s="6">
        <v>3236920</v>
      </c>
      <c r="M31" s="1">
        <v>0</v>
      </c>
      <c r="O31" s="1">
        <v>263260</v>
      </c>
      <c r="P31" s="1">
        <v>0</v>
      </c>
      <c r="R31" s="1">
        <v>0</v>
      </c>
      <c r="S31" s="1">
        <v>0</v>
      </c>
      <c r="U31" s="1">
        <v>0</v>
      </c>
      <c r="V31" s="9">
        <v>0</v>
      </c>
    </row>
    <row r="32" spans="1:22">
      <c r="A32" s="1" t="s">
        <v>53</v>
      </c>
      <c r="B32" s="6">
        <v>-183416.1281502326</v>
      </c>
      <c r="C32" s="1">
        <v>7309.435001052625</v>
      </c>
      <c r="D32" s="1">
        <v>0</v>
      </c>
      <c r="E32" s="1">
        <v>0</v>
      </c>
      <c r="F32" s="1">
        <v>0</v>
      </c>
      <c r="G32" s="9">
        <f>SUM(MT_FINANCIAL)</f>
        <v>-176106.69314917998</v>
      </c>
      <c r="L32" s="6">
        <v>1931899</v>
      </c>
      <c r="M32" s="1">
        <v>0</v>
      </c>
      <c r="O32" s="1">
        <v>167986</v>
      </c>
      <c r="P32" s="1">
        <v>0</v>
      </c>
      <c r="R32" s="1">
        <v>0</v>
      </c>
      <c r="S32" s="1">
        <v>0</v>
      </c>
      <c r="U32" s="1">
        <v>0</v>
      </c>
      <c r="V32" s="9">
        <v>0</v>
      </c>
    </row>
    <row r="33" spans="1:22">
      <c r="A33" s="1" t="s">
        <v>54</v>
      </c>
      <c r="B33" s="6">
        <v>-46234.028032442089</v>
      </c>
      <c r="C33" s="1">
        <v>22703.312743762843</v>
      </c>
      <c r="D33" s="1">
        <v>0</v>
      </c>
      <c r="E33" s="1">
        <v>0</v>
      </c>
      <c r="F33" s="1">
        <v>0</v>
      </c>
      <c r="G33" s="9">
        <f>SUM(NE_FINANCIAL)</f>
        <v>-23530.715288679246</v>
      </c>
      <c r="L33" s="6">
        <v>983250</v>
      </c>
      <c r="M33" s="1">
        <v>0</v>
      </c>
      <c r="O33" s="1">
        <v>51557</v>
      </c>
      <c r="P33" s="1">
        <v>0</v>
      </c>
      <c r="R33" s="1">
        <v>0</v>
      </c>
      <c r="S33" s="1">
        <v>0</v>
      </c>
      <c r="U33" s="1">
        <v>0</v>
      </c>
      <c r="V33" s="9">
        <v>0</v>
      </c>
    </row>
    <row r="34" spans="1:22">
      <c r="A34" s="1" t="s">
        <v>55</v>
      </c>
      <c r="B34" s="6">
        <v>-64324.451040999265</v>
      </c>
      <c r="C34" s="1">
        <v>4369.1022918878443</v>
      </c>
      <c r="D34" s="1">
        <v>0</v>
      </c>
      <c r="E34" s="1">
        <v>0</v>
      </c>
      <c r="F34" s="1">
        <v>0</v>
      </c>
      <c r="G34" s="9">
        <f>SUM(NV_FINANCIAL)</f>
        <v>-59955.348749111421</v>
      </c>
      <c r="L34" s="6">
        <v>874200</v>
      </c>
      <c r="M34" s="1">
        <v>0</v>
      </c>
      <c r="O34" s="1">
        <v>28400</v>
      </c>
      <c r="P34" s="1">
        <v>0</v>
      </c>
      <c r="R34" s="1">
        <v>0</v>
      </c>
      <c r="S34" s="1">
        <v>0</v>
      </c>
      <c r="U34" s="1">
        <v>0</v>
      </c>
      <c r="V34" s="9">
        <v>0</v>
      </c>
    </row>
    <row r="35" spans="1:22">
      <c r="A35" s="1" t="s">
        <v>56</v>
      </c>
      <c r="B35" s="6">
        <v>5783.7780156658264</v>
      </c>
      <c r="C35" s="1">
        <v>-761.43566569951781</v>
      </c>
      <c r="D35" s="1">
        <v>0</v>
      </c>
      <c r="E35" s="1">
        <v>0</v>
      </c>
      <c r="F35" s="1">
        <v>0</v>
      </c>
      <c r="G35" s="9">
        <f>SUM(NH_FINANCIAL)</f>
        <v>5022.3423499663086</v>
      </c>
      <c r="L35" s="6">
        <v>200000</v>
      </c>
      <c r="M35" s="1">
        <v>0</v>
      </c>
      <c r="O35" s="1">
        <v>5000</v>
      </c>
      <c r="P35" s="1">
        <v>0</v>
      </c>
      <c r="R35" s="1">
        <v>0</v>
      </c>
      <c r="S35" s="1">
        <v>0</v>
      </c>
      <c r="U35" s="1">
        <v>0</v>
      </c>
      <c r="V35" s="9">
        <v>0</v>
      </c>
    </row>
    <row r="36" spans="1:22">
      <c r="A36" s="1" t="s">
        <v>57</v>
      </c>
      <c r="B36" s="6">
        <v>-90157.853803112172</v>
      </c>
      <c r="C36" s="1">
        <v>589.87264885606965</v>
      </c>
      <c r="D36" s="1">
        <v>0</v>
      </c>
      <c r="E36" s="1">
        <v>0</v>
      </c>
      <c r="F36" s="1">
        <v>0</v>
      </c>
      <c r="G36" s="9">
        <f>SUM(NJ_FINANCIAL)</f>
        <v>-89567.981154256107</v>
      </c>
      <c r="L36" s="6">
        <v>500000</v>
      </c>
      <c r="M36" s="1">
        <v>500000</v>
      </c>
      <c r="O36" s="1">
        <v>0</v>
      </c>
      <c r="P36" s="1">
        <v>0</v>
      </c>
      <c r="R36" s="1">
        <v>0</v>
      </c>
      <c r="S36" s="1">
        <v>0</v>
      </c>
      <c r="U36" s="1">
        <v>0</v>
      </c>
      <c r="V36" s="9">
        <v>0</v>
      </c>
    </row>
    <row r="37" spans="1:22">
      <c r="A37" s="1" t="s">
        <v>58</v>
      </c>
      <c r="B37" s="6">
        <v>-116638.41123380954</v>
      </c>
      <c r="C37" s="1">
        <v>-16085.727131669846</v>
      </c>
      <c r="D37" s="1">
        <v>0</v>
      </c>
      <c r="E37" s="1">
        <v>0</v>
      </c>
      <c r="F37" s="1">
        <v>0</v>
      </c>
      <c r="G37" s="9">
        <f>SUM(NM_FINANCIAL)</f>
        <v>-132724.13836547939</v>
      </c>
      <c r="L37" s="6"/>
      <c r="V37" s="9"/>
    </row>
    <row r="38" spans="1:22">
      <c r="A38" s="1" t="s">
        <v>59</v>
      </c>
      <c r="B38" s="6">
        <v>62422</v>
      </c>
      <c r="C38" s="1">
        <v>0</v>
      </c>
      <c r="D38" s="1">
        <v>0</v>
      </c>
      <c r="E38" s="1">
        <v>0</v>
      </c>
      <c r="F38" s="1">
        <v>0</v>
      </c>
      <c r="G38" s="9">
        <f>SUM(NY_FINANCIAL)</f>
        <v>62422</v>
      </c>
      <c r="L38" s="6"/>
      <c r="V38" s="9"/>
    </row>
    <row r="39" spans="1:22">
      <c r="A39" s="1" t="s">
        <v>60</v>
      </c>
      <c r="B39" s="6">
        <v>-652005.81365525071</v>
      </c>
      <c r="C39" s="1">
        <v>-28286.74026495422</v>
      </c>
      <c r="D39" s="1">
        <v>0</v>
      </c>
      <c r="E39" s="1">
        <v>0</v>
      </c>
      <c r="F39" s="1">
        <v>0</v>
      </c>
      <c r="G39" s="9">
        <f>SUM(NC_FINANCIAL)</f>
        <v>-680292.55392020498</v>
      </c>
      <c r="L39" s="6">
        <v>3800000</v>
      </c>
      <c r="M39" s="1">
        <v>5462500</v>
      </c>
      <c r="O39" s="1">
        <v>200000</v>
      </c>
      <c r="P39" s="1">
        <v>287500</v>
      </c>
      <c r="R39" s="1">
        <v>0</v>
      </c>
      <c r="S39" s="1">
        <v>0</v>
      </c>
      <c r="U39" s="1">
        <v>0</v>
      </c>
      <c r="V39" s="9">
        <v>0</v>
      </c>
    </row>
    <row r="40" spans="1:22">
      <c r="A40" s="1" t="s">
        <v>61</v>
      </c>
      <c r="B40" s="6">
        <v>-228562.94307544595</v>
      </c>
      <c r="C40" s="1">
        <v>-683.43780092513771</v>
      </c>
      <c r="D40" s="1">
        <v>0</v>
      </c>
      <c r="E40" s="1">
        <v>0</v>
      </c>
      <c r="F40" s="1">
        <v>0</v>
      </c>
      <c r="G40" s="9">
        <f>SUM(ND_FINANCIAL)</f>
        <v>-229246.38087637108</v>
      </c>
      <c r="L40" s="6">
        <v>1365200</v>
      </c>
      <c r="M40" s="1">
        <v>0</v>
      </c>
      <c r="O40" s="1">
        <v>268100</v>
      </c>
      <c r="P40" s="1">
        <v>0</v>
      </c>
      <c r="R40" s="1">
        <v>0</v>
      </c>
      <c r="S40" s="1">
        <v>0</v>
      </c>
      <c r="U40" s="1">
        <v>0</v>
      </c>
      <c r="V40" s="9">
        <v>0</v>
      </c>
    </row>
    <row r="41" spans="1:22">
      <c r="A41" s="1" t="s">
        <v>62</v>
      </c>
      <c r="B41" s="6">
        <v>-728285.99016516469</v>
      </c>
      <c r="C41" s="1">
        <v>8773.4078769197222</v>
      </c>
      <c r="D41" s="1">
        <v>0</v>
      </c>
      <c r="E41" s="1">
        <v>0</v>
      </c>
      <c r="F41" s="1">
        <v>0</v>
      </c>
      <c r="G41" s="9">
        <f>SUM(OH_FINANCIAL)</f>
        <v>-719512.58228824497</v>
      </c>
      <c r="L41" s="6">
        <v>4940000</v>
      </c>
      <c r="M41" s="1">
        <v>0</v>
      </c>
      <c r="O41" s="1">
        <v>760000</v>
      </c>
      <c r="P41" s="1">
        <v>0</v>
      </c>
      <c r="R41" s="1">
        <v>0</v>
      </c>
      <c r="S41" s="1">
        <v>0</v>
      </c>
      <c r="U41" s="1">
        <v>0</v>
      </c>
      <c r="V41" s="9">
        <v>0</v>
      </c>
    </row>
    <row r="42" spans="1:22">
      <c r="A42" s="1" t="s">
        <v>63</v>
      </c>
      <c r="B42" s="6">
        <v>-96067.261007062858</v>
      </c>
      <c r="C42" s="1">
        <v>5687.3950484368106</v>
      </c>
      <c r="D42" s="1">
        <v>0</v>
      </c>
      <c r="E42" s="1">
        <v>0</v>
      </c>
      <c r="F42" s="1">
        <v>0</v>
      </c>
      <c r="G42" s="9">
        <f>SUM(OK_FINANCIAL)</f>
        <v>-90379.865958626047</v>
      </c>
      <c r="L42" s="6">
        <v>841750</v>
      </c>
      <c r="M42" s="1">
        <v>987350</v>
      </c>
      <c r="O42" s="1">
        <v>83230</v>
      </c>
      <c r="P42" s="1">
        <v>97650</v>
      </c>
      <c r="R42" s="1">
        <v>0</v>
      </c>
      <c r="S42" s="1">
        <v>0</v>
      </c>
      <c r="U42" s="1">
        <v>0</v>
      </c>
      <c r="V42" s="9">
        <v>0</v>
      </c>
    </row>
    <row r="43" spans="1:22">
      <c r="A43" s="1" t="s">
        <v>64</v>
      </c>
      <c r="B43" s="6">
        <v>-303052.18365320005</v>
      </c>
      <c r="C43" s="1">
        <v>8780.3098564501124</v>
      </c>
      <c r="D43" s="1">
        <v>0</v>
      </c>
      <c r="E43" s="1">
        <v>0</v>
      </c>
      <c r="F43" s="1">
        <v>0</v>
      </c>
      <c r="G43" s="9">
        <f>SUM(OR_FINANCIAL)</f>
        <v>-294271.87379674992</v>
      </c>
      <c r="L43" s="6">
        <v>2658420</v>
      </c>
      <c r="M43" s="1">
        <v>0</v>
      </c>
      <c r="O43" s="1">
        <v>51801</v>
      </c>
      <c r="P43" s="1">
        <v>0</v>
      </c>
      <c r="R43" s="1">
        <v>0</v>
      </c>
      <c r="S43" s="1">
        <v>0</v>
      </c>
      <c r="U43" s="1">
        <v>0</v>
      </c>
      <c r="V43" s="9">
        <v>0</v>
      </c>
    </row>
    <row r="44" spans="1:22">
      <c r="A44" s="1" t="s">
        <v>65</v>
      </c>
      <c r="B44" s="6">
        <v>-347245.88233376853</v>
      </c>
      <c r="C44" s="1">
        <v>-15168.078016897838</v>
      </c>
      <c r="D44" s="1">
        <v>0</v>
      </c>
      <c r="E44" s="1">
        <v>0</v>
      </c>
      <c r="F44" s="1">
        <v>0</v>
      </c>
      <c r="G44" s="9">
        <f>SUM(PA_FINANCIAL)</f>
        <v>-362413.96035066637</v>
      </c>
      <c r="L44" s="6">
        <v>3500000</v>
      </c>
      <c r="M44" s="1">
        <v>0</v>
      </c>
      <c r="O44" s="1">
        <v>0</v>
      </c>
      <c r="P44" s="1">
        <v>0</v>
      </c>
      <c r="R44" s="1">
        <v>0</v>
      </c>
      <c r="S44" s="1">
        <v>0</v>
      </c>
      <c r="U44" s="1">
        <v>0</v>
      </c>
      <c r="V44" s="9">
        <v>0</v>
      </c>
    </row>
    <row r="45" spans="1:22">
      <c r="A45" s="1" t="s">
        <v>66</v>
      </c>
      <c r="B45" s="6">
        <v>0</v>
      </c>
      <c r="C45" s="1">
        <v>0</v>
      </c>
      <c r="D45" s="1">
        <v>0</v>
      </c>
      <c r="E45" s="1">
        <v>0</v>
      </c>
      <c r="F45" s="1">
        <v>0</v>
      </c>
      <c r="G45" s="9">
        <f>SUM(PR_FINANCIAL)</f>
        <v>0</v>
      </c>
      <c r="L45" s="6"/>
      <c r="V45" s="9"/>
    </row>
    <row r="46" spans="1:22">
      <c r="A46" s="1" t="s">
        <v>67</v>
      </c>
      <c r="B46" s="6">
        <v>-14568.94694204806</v>
      </c>
      <c r="C46" s="1">
        <v>29.091216381508275</v>
      </c>
      <c r="D46" s="1">
        <v>0</v>
      </c>
      <c r="E46" s="1">
        <v>0</v>
      </c>
      <c r="F46" s="1">
        <v>0</v>
      </c>
      <c r="G46" s="9">
        <f>SUM(RI_FINANCIAL)</f>
        <v>-14539.855725666552</v>
      </c>
      <c r="L46" s="6">
        <v>115320</v>
      </c>
      <c r="M46" s="1">
        <v>0</v>
      </c>
      <c r="O46" s="1">
        <v>8680</v>
      </c>
      <c r="P46" s="1">
        <v>0</v>
      </c>
      <c r="R46" s="1">
        <v>0</v>
      </c>
      <c r="S46" s="1">
        <v>0</v>
      </c>
      <c r="U46" s="1">
        <v>0</v>
      </c>
      <c r="V46" s="9">
        <v>0</v>
      </c>
    </row>
    <row r="47" spans="1:22">
      <c r="A47" s="1" t="s">
        <v>68</v>
      </c>
      <c r="B47" s="6">
        <v>-106038.31795691652</v>
      </c>
      <c r="C47" s="1">
        <v>12605.419355802122</v>
      </c>
      <c r="D47" s="1">
        <v>0</v>
      </c>
      <c r="E47" s="1">
        <v>0</v>
      </c>
      <c r="F47" s="1">
        <v>0</v>
      </c>
      <c r="G47" s="9">
        <f>SUM(SC_FINANCIAL)</f>
        <v>-93432.898601114401</v>
      </c>
      <c r="L47" s="6">
        <v>900000</v>
      </c>
      <c r="M47" s="1">
        <v>0</v>
      </c>
      <c r="O47" s="1">
        <v>100000</v>
      </c>
      <c r="P47" s="1">
        <v>0</v>
      </c>
      <c r="R47" s="1">
        <v>0</v>
      </c>
      <c r="S47" s="1">
        <v>0</v>
      </c>
      <c r="U47" s="1">
        <v>0</v>
      </c>
      <c r="V47" s="9">
        <v>0</v>
      </c>
    </row>
    <row r="48" spans="1:22">
      <c r="A48" s="1" t="s">
        <v>69</v>
      </c>
      <c r="B48" s="6">
        <v>-169667.88829636946</v>
      </c>
      <c r="C48" s="1">
        <v>8916.6965879873023</v>
      </c>
      <c r="D48" s="1">
        <v>0</v>
      </c>
      <c r="E48" s="1">
        <v>0</v>
      </c>
      <c r="F48" s="1">
        <v>0</v>
      </c>
      <c r="G48" s="9">
        <f>SUM(SD_FINANCIAL)</f>
        <v>-160751.19170838216</v>
      </c>
      <c r="L48" s="6">
        <v>1995000</v>
      </c>
      <c r="M48" s="1">
        <v>400000</v>
      </c>
      <c r="O48" s="1">
        <v>289000</v>
      </c>
      <c r="P48" s="1">
        <v>0</v>
      </c>
      <c r="R48" s="1">
        <v>0</v>
      </c>
      <c r="S48" s="1">
        <v>0</v>
      </c>
      <c r="U48" s="1">
        <v>0</v>
      </c>
      <c r="V48" s="9">
        <v>0</v>
      </c>
    </row>
    <row r="49" spans="1:22">
      <c r="A49" s="1" t="s">
        <v>70</v>
      </c>
      <c r="B49" s="6">
        <v>-293325.26457501296</v>
      </c>
      <c r="C49" s="1">
        <v>-29796.613791040203</v>
      </c>
      <c r="D49" s="1">
        <v>0</v>
      </c>
      <c r="E49" s="1">
        <v>0</v>
      </c>
      <c r="F49" s="1">
        <v>0</v>
      </c>
      <c r="G49" s="9">
        <f>SUM(TN_FINANCIAL)</f>
        <v>-323121.87836605316</v>
      </c>
      <c r="L49" s="6">
        <v>4640000</v>
      </c>
      <c r="M49" s="1">
        <v>0</v>
      </c>
      <c r="O49" s="1">
        <v>610000</v>
      </c>
      <c r="P49" s="1">
        <v>0</v>
      </c>
      <c r="R49" s="1">
        <v>0</v>
      </c>
      <c r="S49" s="1">
        <v>0</v>
      </c>
      <c r="U49" s="1">
        <v>0</v>
      </c>
      <c r="V49" s="9">
        <v>0</v>
      </c>
    </row>
    <row r="50" spans="1:22">
      <c r="A50" s="1" t="s">
        <v>71</v>
      </c>
      <c r="B50" s="6">
        <v>-1245550.5806587078</v>
      </c>
      <c r="C50" s="1">
        <v>54179.409100298304</v>
      </c>
      <c r="D50" s="1">
        <v>0</v>
      </c>
      <c r="E50" s="1">
        <v>0</v>
      </c>
      <c r="F50" s="1">
        <v>0</v>
      </c>
      <c r="G50" s="9">
        <f>SUM(TX_FINANCIAL)</f>
        <v>-1191371.1715584095</v>
      </c>
      <c r="L50" s="6">
        <v>11695474</v>
      </c>
      <c r="M50" s="1">
        <v>15038085.418199999</v>
      </c>
      <c r="O50" s="1">
        <v>369492</v>
      </c>
      <c r="P50" s="1">
        <v>470126.74119999999</v>
      </c>
      <c r="R50" s="1">
        <v>3471</v>
      </c>
      <c r="S50" s="1">
        <v>4589.8405999999995</v>
      </c>
      <c r="U50" s="1">
        <v>0</v>
      </c>
      <c r="V50" s="9">
        <v>0</v>
      </c>
    </row>
    <row r="51" spans="1:22">
      <c r="A51" s="1" t="s">
        <v>72</v>
      </c>
      <c r="B51" s="6">
        <v>-282973.81025946094</v>
      </c>
      <c r="C51" s="1">
        <v>1836.4414601246972</v>
      </c>
      <c r="D51" s="1">
        <v>0</v>
      </c>
      <c r="E51" s="1">
        <v>0</v>
      </c>
      <c r="F51" s="1">
        <v>0</v>
      </c>
      <c r="G51" s="9">
        <f>SUM(UT_FINANCIAL)</f>
        <v>-281137.36879933625</v>
      </c>
      <c r="L51" s="6">
        <v>1305629</v>
      </c>
      <c r="M51" s="1">
        <v>1917485</v>
      </c>
      <c r="O51" s="1">
        <v>49370</v>
      </c>
      <c r="P51" s="1">
        <v>72515</v>
      </c>
      <c r="R51" s="1">
        <v>0</v>
      </c>
      <c r="S51" s="1">
        <v>0</v>
      </c>
      <c r="U51" s="1">
        <v>0</v>
      </c>
      <c r="V51" s="9">
        <v>0</v>
      </c>
    </row>
    <row r="52" spans="1:22">
      <c r="A52" s="1" t="s">
        <v>73</v>
      </c>
      <c r="B52" s="6">
        <v>92489.585907939065</v>
      </c>
      <c r="C52" s="1">
        <v>2928.0316096422603</v>
      </c>
      <c r="D52" s="1">
        <v>0</v>
      </c>
      <c r="E52" s="1">
        <v>0</v>
      </c>
      <c r="F52" s="1">
        <v>0</v>
      </c>
      <c r="G52" s="9">
        <f>SUM(VT_FINANCIAL)</f>
        <v>95417.617517581326</v>
      </c>
      <c r="L52" s="6">
        <v>67000</v>
      </c>
      <c r="M52" s="1">
        <v>0</v>
      </c>
      <c r="O52" s="1">
        <v>3000</v>
      </c>
      <c r="P52" s="1">
        <v>0</v>
      </c>
      <c r="R52" s="1">
        <v>0</v>
      </c>
      <c r="S52" s="1">
        <v>0</v>
      </c>
      <c r="U52" s="1">
        <v>0</v>
      </c>
      <c r="V52" s="9">
        <v>0</v>
      </c>
    </row>
    <row r="53" spans="1:22">
      <c r="A53" s="1" t="s">
        <v>74</v>
      </c>
      <c r="B53" s="6">
        <v>-393138.44037015084</v>
      </c>
      <c r="C53" s="1">
        <v>-78227.805050697643</v>
      </c>
      <c r="D53" s="1">
        <v>0</v>
      </c>
      <c r="E53" s="1">
        <v>0</v>
      </c>
      <c r="F53" s="1">
        <v>0</v>
      </c>
      <c r="G53" s="9">
        <f>SUM(VA_FINANCIAL)</f>
        <v>-471366.24542084849</v>
      </c>
      <c r="L53" s="6">
        <v>2275289</v>
      </c>
      <c r="M53" s="1">
        <v>2486497</v>
      </c>
      <c r="O53" s="1">
        <v>225549</v>
      </c>
      <c r="P53" s="1">
        <v>26203</v>
      </c>
      <c r="R53" s="1">
        <v>38720</v>
      </c>
      <c r="S53" s="1">
        <v>37000</v>
      </c>
      <c r="U53" s="1">
        <v>0</v>
      </c>
      <c r="V53" s="9">
        <v>0</v>
      </c>
    </row>
    <row r="54" spans="1:22">
      <c r="A54" s="1" t="s">
        <v>75</v>
      </c>
      <c r="B54" s="6">
        <v>-661140.03586302139</v>
      </c>
      <c r="C54" s="1">
        <v>23751.959375209932</v>
      </c>
      <c r="D54" s="1">
        <v>0</v>
      </c>
      <c r="E54" s="1">
        <v>0</v>
      </c>
      <c r="F54" s="1">
        <v>0</v>
      </c>
      <c r="G54" s="9">
        <f>SUM(WA_FINANCIAL)</f>
        <v>-637388.07648781152</v>
      </c>
      <c r="L54" s="6">
        <v>8284000</v>
      </c>
      <c r="M54" s="1">
        <v>8100000</v>
      </c>
      <c r="O54" s="1">
        <v>385000</v>
      </c>
      <c r="P54" s="1">
        <v>0</v>
      </c>
      <c r="R54" s="1">
        <v>0</v>
      </c>
      <c r="S54" s="1">
        <v>0</v>
      </c>
      <c r="U54" s="1">
        <v>0</v>
      </c>
      <c r="V54" s="9">
        <v>0</v>
      </c>
    </row>
    <row r="55" spans="1:22">
      <c r="A55" s="1" t="s">
        <v>76</v>
      </c>
      <c r="B55" s="6">
        <v>-166976.67762263305</v>
      </c>
      <c r="C55" s="1">
        <v>5488.4104744430515</v>
      </c>
      <c r="D55" s="1">
        <v>0</v>
      </c>
      <c r="E55" s="1">
        <v>0</v>
      </c>
      <c r="F55" s="1">
        <v>0</v>
      </c>
      <c r="G55" s="9">
        <f>SUM(WV_FINANCIAL)</f>
        <v>-161488.26714819</v>
      </c>
      <c r="L55" s="6">
        <v>1941321</v>
      </c>
      <c r="M55" s="1">
        <v>2453052</v>
      </c>
      <c r="O55" s="1">
        <v>293679</v>
      </c>
      <c r="P55" s="1">
        <v>342842</v>
      </c>
      <c r="R55" s="1">
        <v>0</v>
      </c>
      <c r="S55" s="1">
        <v>26</v>
      </c>
      <c r="U55" s="1">
        <v>0</v>
      </c>
      <c r="V55" s="9">
        <v>0</v>
      </c>
    </row>
    <row r="56" spans="1:22">
      <c r="A56" s="1" t="s">
        <v>77</v>
      </c>
      <c r="B56" s="6">
        <v>-214135.48902724078</v>
      </c>
      <c r="C56" s="1">
        <v>-2508.1168325306571</v>
      </c>
      <c r="D56" s="1">
        <v>0</v>
      </c>
      <c r="E56" s="1">
        <v>0</v>
      </c>
      <c r="F56" s="1">
        <v>0</v>
      </c>
      <c r="G56" s="9">
        <f>SUM(WI_FINANCIAL)</f>
        <v>-216643.60585977143</v>
      </c>
      <c r="L56" s="6"/>
      <c r="V56" s="9"/>
    </row>
    <row r="57" spans="1:22">
      <c r="A57" s="1" t="s">
        <v>78</v>
      </c>
      <c r="B57" s="6">
        <v>-19653.392962780898</v>
      </c>
      <c r="C57" s="1">
        <v>-9385.4296371706732</v>
      </c>
      <c r="D57" s="1">
        <v>0</v>
      </c>
      <c r="E57" s="1">
        <v>0</v>
      </c>
      <c r="F57" s="1">
        <v>0</v>
      </c>
      <c r="G57" s="9">
        <f>SUM(WY_FINANCIAL)</f>
        <v>-29038.822599951571</v>
      </c>
      <c r="L57" s="6">
        <v>182226</v>
      </c>
      <c r="M57" s="1">
        <v>282636</v>
      </c>
      <c r="O57" s="1">
        <v>67454</v>
      </c>
      <c r="P57" s="1">
        <v>104537</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-12441718.913903382</v>
      </c>
      <c r="C60" s="1">
        <f>SUM(ALLOCATED)</f>
        <v>-59570.761363521255</v>
      </c>
      <c r="D60" s="1">
        <f>SUM(HEALTH)</f>
        <v>0</v>
      </c>
      <c r="E60" s="1">
        <f>SUM(UNALLOCATED)</f>
        <v>0</v>
      </c>
      <c r="F60" s="1">
        <f>SUM(LTC)</f>
        <v>0</v>
      </c>
      <c r="G60" s="9">
        <f>SUM(ALL_BLOCKS)</f>
        <v>-12501289.675266903</v>
      </c>
      <c r="L60" s="6">
        <f>SUM(LIFE_CALLED)</f>
        <v>122437040</v>
      </c>
      <c r="M60" s="1">
        <f>SUM(LIFE_REFUNDED)</f>
        <v>92956402.418200001</v>
      </c>
      <c r="O60" s="1">
        <f>SUM(ALLOC_CALLED)</f>
        <v>13028405</v>
      </c>
      <c r="P60" s="1">
        <f>SUM(ALLOC_REFUNDED)</f>
        <v>7287007.0312000001</v>
      </c>
      <c r="R60" s="1">
        <f>SUM(HEALTH_CALLED)</f>
        <v>141544</v>
      </c>
      <c r="S60" s="1">
        <f>SUM(HEALTH_REFUNDED)</f>
        <v>161507.8406</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135</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46062952</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48632182</v>
      </c>
      <c r="L13" s="6"/>
      <c r="V13" s="9"/>
    </row>
    <row r="14" spans="1:22">
      <c r="A14" s="1" t="s">
        <v>23</v>
      </c>
      <c r="B14" s="6">
        <v>0</v>
      </c>
      <c r="C14" s="1">
        <v>0</v>
      </c>
      <c r="D14" s="1">
        <v>0</v>
      </c>
      <c r="E14" s="1">
        <v>0</v>
      </c>
      <c r="F14" s="1">
        <v>0</v>
      </c>
      <c r="G14" s="9">
        <f>SUM(DC_FINANCIAL)</f>
        <v>0</v>
      </c>
      <c r="I14" s="13" t="s">
        <v>24</v>
      </c>
      <c r="J14" s="16">
        <v>6829875</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9776890</v>
      </c>
      <c r="E19" s="1">
        <v>0</v>
      </c>
      <c r="F19" s="1">
        <v>0</v>
      </c>
      <c r="G19" s="9">
        <f>SUM(IL_FINANCIAL)</f>
        <v>9776890</v>
      </c>
      <c r="I19" s="13" t="s">
        <v>33</v>
      </c>
      <c r="J19" s="16">
        <v>0</v>
      </c>
      <c r="L19" s="6">
        <v>0</v>
      </c>
      <c r="M19" s="1">
        <v>0</v>
      </c>
      <c r="O19" s="1">
        <v>0</v>
      </c>
      <c r="P19" s="1">
        <v>0</v>
      </c>
      <c r="R19" s="1">
        <v>40000000</v>
      </c>
      <c r="S19" s="1">
        <v>0</v>
      </c>
      <c r="U19" s="1">
        <v>0</v>
      </c>
      <c r="V19" s="9">
        <v>0</v>
      </c>
    </row>
    <row r="20" spans="1:22">
      <c r="A20" s="1" t="s">
        <v>34</v>
      </c>
      <c r="B20" s="6">
        <v>0</v>
      </c>
      <c r="C20" s="1">
        <v>0</v>
      </c>
      <c r="D20" s="1">
        <v>0</v>
      </c>
      <c r="E20" s="1">
        <v>0</v>
      </c>
      <c r="F20" s="1">
        <v>0</v>
      </c>
      <c r="G20" s="9">
        <f>SUM(IN_FINANCIAL)</f>
        <v>0</v>
      </c>
      <c r="I20" s="13" t="s">
        <v>35</v>
      </c>
      <c r="J20" s="16">
        <v>46062952</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45685167</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9776890</v>
      </c>
      <c r="L26" s="6"/>
      <c r="V26" s="9"/>
    </row>
    <row r="27" spans="1:22">
      <c r="A27" s="1" t="s">
        <v>47</v>
      </c>
      <c r="B27" s="6">
        <v>0</v>
      </c>
      <c r="C27" s="1">
        <v>0</v>
      </c>
      <c r="D27" s="1">
        <v>0</v>
      </c>
      <c r="E27" s="1">
        <v>0</v>
      </c>
      <c r="F27" s="1">
        <v>0</v>
      </c>
      <c r="G27" s="9">
        <f>SUM(MA_FINANCIAL)</f>
        <v>0</v>
      </c>
      <c r="I27" s="13" t="s">
        <v>48</v>
      </c>
      <c r="J27" s="16">
        <f>SUM(ALL_BLOCKS)</f>
        <v>9776890</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9776890</v>
      </c>
      <c r="E60" s="1">
        <f>SUM(UNALLOCATED)</f>
        <v>0</v>
      </c>
      <c r="F60" s="1">
        <f>SUM(LTC)</f>
        <v>0</v>
      </c>
      <c r="G60" s="9">
        <f>SUM(ALL_BLOCKS)</f>
        <v>9776890</v>
      </c>
      <c r="L60" s="6">
        <f>SUM(LIFE_CALLED)</f>
        <v>0</v>
      </c>
      <c r="M60" s="1">
        <f>SUM(LIFE_REFUNDED)</f>
        <v>0</v>
      </c>
      <c r="O60" s="1">
        <f>SUM(ALLOC_CALLED)</f>
        <v>0</v>
      </c>
      <c r="P60" s="1">
        <f>SUM(ALLOC_REFUNDED)</f>
        <v>0</v>
      </c>
      <c r="R60" s="1">
        <f>SUM(HEALTH_CALLED)</f>
        <v>40000000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136</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856.71483357993566</v>
      </c>
      <c r="E6" s="1">
        <v>0</v>
      </c>
      <c r="F6" s="1">
        <v>0</v>
      </c>
      <c r="G6" s="9">
        <f>SUM(AL_FINANCIAL)</f>
        <v>856.71483357993566</v>
      </c>
      <c r="L6" s="6"/>
      <c r="V6" s="9"/>
    </row>
    <row r="7" spans="1:22">
      <c r="A7" s="1" t="s">
        <v>12</v>
      </c>
      <c r="B7" s="6">
        <v>0</v>
      </c>
      <c r="C7" s="1">
        <v>0</v>
      </c>
      <c r="D7" s="1">
        <v>20.860000000000014</v>
      </c>
      <c r="E7" s="1">
        <v>0</v>
      </c>
      <c r="F7" s="1">
        <v>0</v>
      </c>
      <c r="G7" s="9">
        <f>SUM(AK_FINANCIAL)</f>
        <v>20.860000000000014</v>
      </c>
      <c r="I7" s="12"/>
      <c r="J7" s="15"/>
      <c r="L7" s="6"/>
      <c r="V7" s="9"/>
    </row>
    <row r="8" spans="1:22">
      <c r="A8" s="1" t="s">
        <v>13</v>
      </c>
      <c r="B8" s="6">
        <v>0</v>
      </c>
      <c r="C8" s="1">
        <v>0</v>
      </c>
      <c r="D8" s="1">
        <v>88311.61309055821</v>
      </c>
      <c r="E8" s="1">
        <v>0</v>
      </c>
      <c r="F8" s="1">
        <v>0</v>
      </c>
      <c r="G8" s="9">
        <f>SUM(AZ_FINANCIAL)</f>
        <v>88311.61309055821</v>
      </c>
      <c r="I8" s="13" t="s">
        <v>14</v>
      </c>
      <c r="J8" s="16"/>
      <c r="L8" s="6"/>
      <c r="V8" s="9"/>
    </row>
    <row r="9" spans="1:22">
      <c r="A9" s="1" t="s">
        <v>15</v>
      </c>
      <c r="B9" s="6">
        <v>0</v>
      </c>
      <c r="C9" s="1">
        <v>0</v>
      </c>
      <c r="D9" s="1">
        <v>413.68608711907655</v>
      </c>
      <c r="E9" s="1">
        <v>0</v>
      </c>
      <c r="F9" s="1">
        <v>0</v>
      </c>
      <c r="G9" s="9">
        <f>SUM(AR_FINANCIAL)</f>
        <v>413.68608711907655</v>
      </c>
      <c r="I9" s="13"/>
      <c r="J9" s="16"/>
      <c r="L9" s="6"/>
      <c r="V9" s="9"/>
    </row>
    <row r="10" spans="1:22">
      <c r="A10" s="1" t="s">
        <v>16</v>
      </c>
      <c r="B10" s="6">
        <v>0</v>
      </c>
      <c r="C10" s="1">
        <v>0</v>
      </c>
      <c r="D10" s="1">
        <v>6982.6016947443131</v>
      </c>
      <c r="E10" s="1">
        <v>0</v>
      </c>
      <c r="F10" s="1">
        <v>0</v>
      </c>
      <c r="G10" s="9">
        <f>SUM(CA_FINANCIAL)</f>
        <v>6982.6016947443131</v>
      </c>
      <c r="I10" s="13" t="s">
        <v>17</v>
      </c>
      <c r="J10" s="16">
        <v>2633693.4740727684</v>
      </c>
      <c r="L10" s="6">
        <v>0</v>
      </c>
      <c r="M10" s="1">
        <v>0</v>
      </c>
      <c r="O10" s="1">
        <v>0</v>
      </c>
      <c r="P10" s="1">
        <v>0</v>
      </c>
      <c r="R10" s="1">
        <v>150000</v>
      </c>
      <c r="S10" s="1">
        <v>0</v>
      </c>
      <c r="U10" s="1">
        <v>0</v>
      </c>
      <c r="V10" s="9">
        <v>0</v>
      </c>
    </row>
    <row r="11" spans="1:22">
      <c r="A11" s="1" t="s">
        <v>18</v>
      </c>
      <c r="B11" s="6">
        <v>0</v>
      </c>
      <c r="C11" s="1">
        <v>0</v>
      </c>
      <c r="D11" s="1">
        <v>8637.2477088680025</v>
      </c>
      <c r="E11" s="1">
        <v>0</v>
      </c>
      <c r="F11" s="1">
        <v>0</v>
      </c>
      <c r="G11" s="9">
        <f>SUM(CO_FINANCIAL)</f>
        <v>8637.2477088680025</v>
      </c>
      <c r="I11" s="13"/>
      <c r="J11" s="16"/>
      <c r="L11" s="6">
        <v>0</v>
      </c>
      <c r="M11" s="1">
        <v>0</v>
      </c>
      <c r="O11" s="1">
        <v>0</v>
      </c>
      <c r="P11" s="1">
        <v>0</v>
      </c>
      <c r="R11" s="1">
        <v>84325</v>
      </c>
      <c r="S11" s="1">
        <v>0</v>
      </c>
      <c r="U11" s="1">
        <v>0</v>
      </c>
      <c r="V11" s="9">
        <v>0</v>
      </c>
    </row>
    <row r="12" spans="1:22">
      <c r="A12" s="1" t="s">
        <v>19</v>
      </c>
      <c r="B12" s="6">
        <v>0</v>
      </c>
      <c r="C12" s="1">
        <v>0</v>
      </c>
      <c r="D12" s="1">
        <v>28719.732587284438</v>
      </c>
      <c r="E12" s="1">
        <v>0</v>
      </c>
      <c r="F12" s="1">
        <v>0</v>
      </c>
      <c r="G12" s="9">
        <f>SUM(CT_FINANCIAL)</f>
        <v>28719.732587284438</v>
      </c>
      <c r="I12" s="13" t="s">
        <v>20</v>
      </c>
      <c r="J12" s="16"/>
      <c r="L12" s="6"/>
      <c r="V12" s="9"/>
    </row>
    <row r="13" spans="1:22">
      <c r="A13" s="1" t="s">
        <v>21</v>
      </c>
      <c r="B13" s="6">
        <v>0</v>
      </c>
      <c r="C13" s="1">
        <v>0</v>
      </c>
      <c r="D13" s="1">
        <v>-0.22000000000116415</v>
      </c>
      <c r="E13" s="1">
        <v>0</v>
      </c>
      <c r="F13" s="1">
        <v>0</v>
      </c>
      <c r="G13" s="9">
        <f>SUM(DE_FINANCIAL)</f>
        <v>-0.22000000000116415</v>
      </c>
      <c r="I13" s="13" t="s">
        <v>22</v>
      </c>
      <c r="J13" s="16">
        <v>2633693.4740727684</v>
      </c>
      <c r="L13" s="6"/>
      <c r="V13" s="9"/>
    </row>
    <row r="14" spans="1:22">
      <c r="A14" s="1" t="s">
        <v>23</v>
      </c>
      <c r="B14" s="6">
        <v>0</v>
      </c>
      <c r="C14" s="1">
        <v>0</v>
      </c>
      <c r="D14" s="1">
        <v>45.511601004182239</v>
      </c>
      <c r="E14" s="1">
        <v>0</v>
      </c>
      <c r="F14" s="1">
        <v>0</v>
      </c>
      <c r="G14" s="9">
        <f>SUM(DC_FINANCIAL)</f>
        <v>45.511601004182239</v>
      </c>
      <c r="I14" s="13" t="s">
        <v>24</v>
      </c>
      <c r="J14" s="16">
        <v>1250118.9409999999</v>
      </c>
      <c r="L14" s="6"/>
      <c r="V14" s="9"/>
    </row>
    <row r="15" spans="1:22">
      <c r="A15" s="1" t="s">
        <v>25</v>
      </c>
      <c r="B15" s="6">
        <v>0</v>
      </c>
      <c r="C15" s="1">
        <v>0</v>
      </c>
      <c r="D15" s="1">
        <v>20424.381565688789</v>
      </c>
      <c r="E15" s="1">
        <v>0</v>
      </c>
      <c r="F15" s="1">
        <v>0</v>
      </c>
      <c r="G15" s="9">
        <f>SUM(FL_FINANCIAL)</f>
        <v>20424.381565688789</v>
      </c>
      <c r="I15" s="13" t="s">
        <v>26</v>
      </c>
      <c r="J15" s="16">
        <v>809341.54661038483</v>
      </c>
      <c r="L15" s="6"/>
      <c r="V15" s="9"/>
    </row>
    <row r="16" spans="1:22">
      <c r="A16" s="1" t="s">
        <v>27</v>
      </c>
      <c r="B16" s="6">
        <v>0</v>
      </c>
      <c r="C16" s="1">
        <v>0</v>
      </c>
      <c r="D16" s="1">
        <v>42946.74624899507</v>
      </c>
      <c r="E16" s="1">
        <v>0</v>
      </c>
      <c r="F16" s="1">
        <v>0</v>
      </c>
      <c r="G16" s="9">
        <f>SUM(GA_FINANCIAL)</f>
        <v>42946.74624899507</v>
      </c>
      <c r="I16" s="13" t="s">
        <v>28</v>
      </c>
      <c r="J16" s="16">
        <v>0</v>
      </c>
      <c r="L16" s="6"/>
      <c r="V16" s="9"/>
    </row>
    <row r="17" spans="1:22">
      <c r="A17" s="1" t="s">
        <v>29</v>
      </c>
      <c r="B17" s="6">
        <v>0</v>
      </c>
      <c r="C17" s="1">
        <v>0</v>
      </c>
      <c r="D17" s="1">
        <v>6477.8515839003958</v>
      </c>
      <c r="E17" s="1">
        <v>0</v>
      </c>
      <c r="F17" s="1">
        <v>0</v>
      </c>
      <c r="G17" s="9">
        <f>SUM(HI_FINANCIAL)</f>
        <v>6477.8515839003958</v>
      </c>
      <c r="I17" s="13"/>
      <c r="J17" s="16"/>
      <c r="L17" s="6"/>
      <c r="V17" s="9"/>
    </row>
    <row r="18" spans="1:22">
      <c r="A18" s="1" t="s">
        <v>30</v>
      </c>
      <c r="B18" s="6">
        <v>0</v>
      </c>
      <c r="C18" s="1">
        <v>0</v>
      </c>
      <c r="D18" s="1">
        <v>-69145.544477746706</v>
      </c>
      <c r="E18" s="1">
        <v>0</v>
      </c>
      <c r="F18" s="1">
        <v>0</v>
      </c>
      <c r="G18" s="9">
        <f>SUM(ID_FINANCIAL)</f>
        <v>-69145.544477746706</v>
      </c>
      <c r="I18" s="13" t="s">
        <v>31</v>
      </c>
      <c r="J18" s="16"/>
      <c r="L18" s="6"/>
      <c r="V18" s="9"/>
    </row>
    <row r="19" spans="1:22">
      <c r="A19" s="1" t="s">
        <v>32</v>
      </c>
      <c r="B19" s="6">
        <v>0</v>
      </c>
      <c r="C19" s="1">
        <v>0</v>
      </c>
      <c r="D19" s="1">
        <v>3568.5423792631191</v>
      </c>
      <c r="E19" s="1">
        <v>0</v>
      </c>
      <c r="F19" s="1">
        <v>0</v>
      </c>
      <c r="G19" s="9">
        <f>SUM(IL_FINANCIAL)</f>
        <v>3568.5423792631191</v>
      </c>
      <c r="I19" s="13" t="s">
        <v>33</v>
      </c>
      <c r="J19" s="16">
        <v>0</v>
      </c>
      <c r="L19" s="6"/>
      <c r="V19" s="9"/>
    </row>
    <row r="20" spans="1:22">
      <c r="A20" s="1" t="s">
        <v>34</v>
      </c>
      <c r="B20" s="6">
        <v>0</v>
      </c>
      <c r="C20" s="1">
        <v>0</v>
      </c>
      <c r="D20" s="1">
        <v>1465.035867672681</v>
      </c>
      <c r="E20" s="1">
        <v>0</v>
      </c>
      <c r="F20" s="1">
        <v>0</v>
      </c>
      <c r="G20" s="9">
        <f>SUM(IN_FINANCIAL)</f>
        <v>1465.035867672681</v>
      </c>
      <c r="I20" s="13" t="s">
        <v>35</v>
      </c>
      <c r="J20" s="16">
        <v>2633693.4740727684</v>
      </c>
      <c r="L20" s="6"/>
      <c r="V20" s="9"/>
    </row>
    <row r="21" spans="1:22">
      <c r="A21" s="1" t="s">
        <v>36</v>
      </c>
      <c r="B21" s="6">
        <v>0</v>
      </c>
      <c r="C21" s="1">
        <v>0</v>
      </c>
      <c r="D21" s="1">
        <v>39.110017103784458</v>
      </c>
      <c r="E21" s="1">
        <v>0</v>
      </c>
      <c r="F21" s="1">
        <v>0</v>
      </c>
      <c r="G21" s="9">
        <f>SUM(IA_FINANCIAL)</f>
        <v>39.110017103784458</v>
      </c>
      <c r="I21" s="13" t="s">
        <v>37</v>
      </c>
      <c r="J21" s="16"/>
      <c r="L21" s="6"/>
      <c r="V21" s="9"/>
    </row>
    <row r="22" spans="1:22">
      <c r="A22" s="1" t="s">
        <v>38</v>
      </c>
      <c r="B22" s="6">
        <v>0</v>
      </c>
      <c r="C22" s="1">
        <v>0</v>
      </c>
      <c r="D22" s="1">
        <v>3950.6337616327946</v>
      </c>
      <c r="E22" s="1">
        <v>0</v>
      </c>
      <c r="F22" s="1">
        <v>0</v>
      </c>
      <c r="G22" s="9">
        <f>SUM(KS_FINANCIAL)</f>
        <v>3950.6337616327946</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7994.3628219039965</v>
      </c>
      <c r="E24" s="1">
        <v>0</v>
      </c>
      <c r="F24" s="1">
        <v>0</v>
      </c>
      <c r="G24" s="9">
        <f>SUM(LA_FINANCIAL)</f>
        <v>7994.3628219039965</v>
      </c>
      <c r="I24" s="13" t="s">
        <v>43</v>
      </c>
      <c r="J24" s="16">
        <v>4282186.4452284491</v>
      </c>
      <c r="L24" s="6"/>
      <c r="V24" s="9"/>
    </row>
    <row r="25" spans="1:22">
      <c r="A25" s="1" t="s">
        <v>44</v>
      </c>
      <c r="B25" s="6">
        <v>0</v>
      </c>
      <c r="C25" s="1">
        <v>0</v>
      </c>
      <c r="D25" s="1">
        <v>1.0544520542907776</v>
      </c>
      <c r="E25" s="1">
        <v>0</v>
      </c>
      <c r="F25" s="1">
        <v>0</v>
      </c>
      <c r="G25" s="9">
        <f>SUM(ME_FINANCIAL)</f>
        <v>1.0544520542907776</v>
      </c>
      <c r="I25" s="13"/>
      <c r="J25" s="16"/>
      <c r="L25" s="6"/>
      <c r="V25" s="9"/>
    </row>
    <row r="26" spans="1:22">
      <c r="A26" s="1" t="s">
        <v>45</v>
      </c>
      <c r="B26" s="6">
        <v>0</v>
      </c>
      <c r="C26" s="1">
        <v>0</v>
      </c>
      <c r="D26" s="1">
        <v>1785.7890830002325</v>
      </c>
      <c r="E26" s="1">
        <v>0</v>
      </c>
      <c r="F26" s="1">
        <v>0</v>
      </c>
      <c r="G26" s="9">
        <f>SUM(MD_FINANCIAL)</f>
        <v>1785.7890830002325</v>
      </c>
      <c r="I26" s="13" t="s">
        <v>46</v>
      </c>
      <c r="J26" s="16">
        <f>SUM(ADD_FINANCIAL)-SUM(LESS_FINANCIAL)</f>
        <v>410967.51645470411</v>
      </c>
      <c r="L26" s="6"/>
      <c r="V26" s="9"/>
    </row>
    <row r="27" spans="1:22">
      <c r="A27" s="1" t="s">
        <v>47</v>
      </c>
      <c r="B27" s="6">
        <v>0</v>
      </c>
      <c r="C27" s="1">
        <v>0</v>
      </c>
      <c r="D27" s="1">
        <v>27997.620158274367</v>
      </c>
      <c r="E27" s="1">
        <v>0</v>
      </c>
      <c r="F27" s="1">
        <v>0</v>
      </c>
      <c r="G27" s="9">
        <f>SUM(MA_FINANCIAL)</f>
        <v>27997.620158274367</v>
      </c>
      <c r="I27" s="13" t="s">
        <v>48</v>
      </c>
      <c r="J27" s="16">
        <f>SUM(ALL_BLOCKS)</f>
        <v>410967.5164547048</v>
      </c>
      <c r="L27" s="6"/>
      <c r="V27" s="9"/>
    </row>
    <row r="28" spans="1:22">
      <c r="A28" s="1" t="s">
        <v>49</v>
      </c>
      <c r="B28" s="6">
        <v>0</v>
      </c>
      <c r="C28" s="1">
        <v>0</v>
      </c>
      <c r="D28" s="1">
        <v>7253.9965041472751</v>
      </c>
      <c r="E28" s="1">
        <v>0</v>
      </c>
      <c r="F28" s="1">
        <v>0</v>
      </c>
      <c r="G28" s="9">
        <f>SUM(MI_FINANCIAL)</f>
        <v>7253.9965041472751</v>
      </c>
      <c r="I28" s="14"/>
      <c r="J28" s="17"/>
      <c r="L28" s="6"/>
      <c r="V28" s="9"/>
    </row>
    <row r="29" spans="1:22">
      <c r="A29" s="1" t="s">
        <v>50</v>
      </c>
      <c r="B29" s="6">
        <v>0</v>
      </c>
      <c r="C29" s="1">
        <v>0</v>
      </c>
      <c r="D29" s="1">
        <v>203.14225160933984</v>
      </c>
      <c r="E29" s="1">
        <v>0</v>
      </c>
      <c r="F29" s="1">
        <v>0</v>
      </c>
      <c r="G29" s="9">
        <f>SUM(MN_FINANCIAL)</f>
        <v>203.14225160933984</v>
      </c>
      <c r="L29" s="6"/>
      <c r="V29" s="9"/>
    </row>
    <row r="30" spans="1:22">
      <c r="A30" s="1" t="s">
        <v>51</v>
      </c>
      <c r="B30" s="6">
        <v>0</v>
      </c>
      <c r="C30" s="1">
        <v>0</v>
      </c>
      <c r="D30" s="1">
        <v>9480.009755476698</v>
      </c>
      <c r="E30" s="1">
        <v>0</v>
      </c>
      <c r="F30" s="1">
        <v>0</v>
      </c>
      <c r="G30" s="9">
        <f>SUM(MS_FINANCIAL)</f>
        <v>9480.009755476698</v>
      </c>
      <c r="L30" s="6"/>
      <c r="V30" s="9"/>
    </row>
    <row r="31" spans="1:22">
      <c r="A31" s="1" t="s">
        <v>52</v>
      </c>
      <c r="B31" s="6">
        <v>0</v>
      </c>
      <c r="C31" s="1">
        <v>0</v>
      </c>
      <c r="D31" s="1">
        <v>8641.6924702854958</v>
      </c>
      <c r="E31" s="1">
        <v>0</v>
      </c>
      <c r="F31" s="1">
        <v>0</v>
      </c>
      <c r="G31" s="9">
        <f>SUM(MO_FINANCIAL)</f>
        <v>8641.6924702854958</v>
      </c>
      <c r="L31" s="6"/>
      <c r="V31" s="9"/>
    </row>
    <row r="32" spans="1:22">
      <c r="A32" s="1" t="s">
        <v>53</v>
      </c>
      <c r="B32" s="6">
        <v>0</v>
      </c>
      <c r="C32" s="1">
        <v>0</v>
      </c>
      <c r="D32" s="1">
        <v>23630.333346471998</v>
      </c>
      <c r="E32" s="1">
        <v>0</v>
      </c>
      <c r="F32" s="1">
        <v>0</v>
      </c>
      <c r="G32" s="9">
        <f>SUM(MT_FINANCIAL)</f>
        <v>23630.333346471998</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468.56105302173</v>
      </c>
      <c r="E34" s="1">
        <v>0</v>
      </c>
      <c r="F34" s="1">
        <v>0</v>
      </c>
      <c r="G34" s="9">
        <f>SUM(NV_FINANCIAL)</f>
        <v>468.56105302173</v>
      </c>
      <c r="L34" s="6"/>
      <c r="V34" s="9"/>
    </row>
    <row r="35" spans="1:22">
      <c r="A35" s="1" t="s">
        <v>56</v>
      </c>
      <c r="B35" s="6">
        <v>0</v>
      </c>
      <c r="C35" s="1">
        <v>0</v>
      </c>
      <c r="D35" s="1">
        <v>40132.869999999995</v>
      </c>
      <c r="E35" s="1">
        <v>0</v>
      </c>
      <c r="F35" s="1">
        <v>0</v>
      </c>
      <c r="G35" s="9">
        <f>SUM(NH_FINANCIAL)</f>
        <v>40132.869999999995</v>
      </c>
      <c r="L35" s="6"/>
      <c r="V35" s="9"/>
    </row>
    <row r="36" spans="1:22">
      <c r="A36" s="1" t="s">
        <v>57</v>
      </c>
      <c r="B36" s="6">
        <v>0</v>
      </c>
      <c r="C36" s="1">
        <v>0</v>
      </c>
      <c r="D36" s="1">
        <v>769.08855270943059</v>
      </c>
      <c r="E36" s="1">
        <v>0</v>
      </c>
      <c r="F36" s="1">
        <v>0</v>
      </c>
      <c r="G36" s="9">
        <f>SUM(NJ_FINANCIAL)</f>
        <v>769.08855270943059</v>
      </c>
      <c r="L36" s="6"/>
      <c r="V36" s="9"/>
    </row>
    <row r="37" spans="1:22">
      <c r="A37" s="1" t="s">
        <v>58</v>
      </c>
      <c r="B37" s="6">
        <v>0</v>
      </c>
      <c r="C37" s="1">
        <v>0</v>
      </c>
      <c r="D37" s="1">
        <v>5175.3278253209501</v>
      </c>
      <c r="E37" s="1">
        <v>0</v>
      </c>
      <c r="F37" s="1">
        <v>0</v>
      </c>
      <c r="G37" s="9">
        <f>SUM(NM_FINANCIAL)</f>
        <v>5175.3278253209501</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-0.5</v>
      </c>
      <c r="E40" s="1">
        <v>0</v>
      </c>
      <c r="F40" s="1">
        <v>0</v>
      </c>
      <c r="G40" s="9">
        <f>SUM(ND_FINANCIAL)</f>
        <v>-0.5</v>
      </c>
      <c r="L40" s="6"/>
      <c r="V40" s="9"/>
    </row>
    <row r="41" spans="1:22">
      <c r="A41" s="1" t="s">
        <v>62</v>
      </c>
      <c r="B41" s="6">
        <v>0</v>
      </c>
      <c r="C41" s="1">
        <v>0</v>
      </c>
      <c r="D41" s="1">
        <v>1007.5539719394683</v>
      </c>
      <c r="E41" s="1">
        <v>0</v>
      </c>
      <c r="F41" s="1">
        <v>0</v>
      </c>
      <c r="G41" s="9">
        <f>SUM(OH_FINANCIAL)</f>
        <v>1007.5539719394683</v>
      </c>
      <c r="L41" s="6"/>
      <c r="V41" s="9"/>
    </row>
    <row r="42" spans="1:22">
      <c r="A42" s="1" t="s">
        <v>63</v>
      </c>
      <c r="B42" s="6">
        <v>0</v>
      </c>
      <c r="C42" s="1">
        <v>0</v>
      </c>
      <c r="D42" s="1">
        <v>279.79762361031317</v>
      </c>
      <c r="E42" s="1">
        <v>0</v>
      </c>
      <c r="F42" s="1">
        <v>0</v>
      </c>
      <c r="G42" s="9">
        <f>SUM(OK_FINANCIAL)</f>
        <v>279.79762361031317</v>
      </c>
      <c r="L42" s="6"/>
      <c r="V42" s="9"/>
    </row>
    <row r="43" spans="1:22">
      <c r="A43" s="1" t="s">
        <v>64</v>
      </c>
      <c r="B43" s="6">
        <v>0</v>
      </c>
      <c r="C43" s="1">
        <v>0</v>
      </c>
      <c r="D43" s="1">
        <v>10056.980478759</v>
      </c>
      <c r="E43" s="1">
        <v>0</v>
      </c>
      <c r="F43" s="1">
        <v>0</v>
      </c>
      <c r="G43" s="9">
        <f>SUM(OR_FINANCIAL)</f>
        <v>10056.980478759</v>
      </c>
      <c r="L43" s="6"/>
      <c r="V43" s="9"/>
    </row>
    <row r="44" spans="1:22">
      <c r="A44" s="1" t="s">
        <v>65</v>
      </c>
      <c r="B44" s="6">
        <v>0</v>
      </c>
      <c r="C44" s="1">
        <v>0</v>
      </c>
      <c r="D44" s="1">
        <v>1374.563721814935</v>
      </c>
      <c r="E44" s="1">
        <v>0</v>
      </c>
      <c r="F44" s="1">
        <v>0</v>
      </c>
      <c r="G44" s="9">
        <f>SUM(PA_FINANCIAL)</f>
        <v>1374.563721814935</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120.64315062352807</v>
      </c>
      <c r="E46" s="1">
        <v>0</v>
      </c>
      <c r="F46" s="1">
        <v>0</v>
      </c>
      <c r="G46" s="9">
        <f>SUM(RI_FINANCIAL)</f>
        <v>120.64315062352807</v>
      </c>
      <c r="L46" s="6"/>
      <c r="V46" s="9"/>
    </row>
    <row r="47" spans="1:22">
      <c r="A47" s="1" t="s">
        <v>68</v>
      </c>
      <c r="B47" s="6">
        <v>0</v>
      </c>
      <c r="C47" s="1">
        <v>0</v>
      </c>
      <c r="D47" s="1">
        <v>7206.4948457720066</v>
      </c>
      <c r="E47" s="1">
        <v>0</v>
      </c>
      <c r="F47" s="1">
        <v>0</v>
      </c>
      <c r="G47" s="9">
        <f>SUM(SC_FINANCIAL)</f>
        <v>7206.4948457720066</v>
      </c>
      <c r="L47" s="6"/>
      <c r="V47" s="9"/>
    </row>
    <row r="48" spans="1:22">
      <c r="A48" s="1" t="s">
        <v>69</v>
      </c>
      <c r="B48" s="6">
        <v>0</v>
      </c>
      <c r="C48" s="1">
        <v>0</v>
      </c>
      <c r="D48" s="1">
        <v>13.241909239717643</v>
      </c>
      <c r="E48" s="1">
        <v>0</v>
      </c>
      <c r="F48" s="1">
        <v>0</v>
      </c>
      <c r="G48" s="9">
        <f>SUM(SD_FINANCIAL)</f>
        <v>13.241909239717643</v>
      </c>
      <c r="L48" s="6"/>
      <c r="V48" s="9"/>
    </row>
    <row r="49" spans="1:22">
      <c r="A49" s="1" t="s">
        <v>70</v>
      </c>
      <c r="B49" s="6">
        <v>0</v>
      </c>
      <c r="C49" s="1">
        <v>0</v>
      </c>
      <c r="D49" s="1">
        <v>1866.134117391508</v>
      </c>
      <c r="E49" s="1">
        <v>0</v>
      </c>
      <c r="F49" s="1">
        <v>0</v>
      </c>
      <c r="G49" s="9">
        <f>SUM(TN_FINANCIAL)</f>
        <v>1866.134117391508</v>
      </c>
      <c r="L49" s="6"/>
      <c r="V49" s="9"/>
    </row>
    <row r="50" spans="1:22">
      <c r="A50" s="1" t="s">
        <v>71</v>
      </c>
      <c r="B50" s="6">
        <v>0</v>
      </c>
      <c r="C50" s="1">
        <v>0</v>
      </c>
      <c r="D50" s="1">
        <v>-44795.091520482092</v>
      </c>
      <c r="E50" s="1">
        <v>0</v>
      </c>
      <c r="F50" s="1">
        <v>0</v>
      </c>
      <c r="G50" s="9">
        <f>SUM(TX_FINANCIAL)</f>
        <v>-44795.091520482092</v>
      </c>
      <c r="L50" s="6">
        <v>0</v>
      </c>
      <c r="M50" s="1">
        <v>0</v>
      </c>
      <c r="O50" s="1">
        <v>0</v>
      </c>
      <c r="P50" s="1">
        <v>0</v>
      </c>
      <c r="R50" s="1">
        <v>250000</v>
      </c>
      <c r="S50" s="1">
        <v>0</v>
      </c>
      <c r="U50" s="1">
        <v>0</v>
      </c>
      <c r="V50" s="9">
        <v>0</v>
      </c>
    </row>
    <row r="51" spans="1:22">
      <c r="A51" s="1" t="s">
        <v>72</v>
      </c>
      <c r="B51" s="6">
        <v>0</v>
      </c>
      <c r="C51" s="1">
        <v>0</v>
      </c>
      <c r="D51" s="1">
        <v>2139.1719344912381</v>
      </c>
      <c r="E51" s="1">
        <v>0</v>
      </c>
      <c r="F51" s="1">
        <v>0</v>
      </c>
      <c r="G51" s="9">
        <f>SUM(UT_FINANCIAL)</f>
        <v>2139.1719344912381</v>
      </c>
      <c r="L51" s="6"/>
      <c r="V51" s="9"/>
    </row>
    <row r="52" spans="1:22">
      <c r="A52" s="1" t="s">
        <v>73</v>
      </c>
      <c r="B52" s="6">
        <v>0</v>
      </c>
      <c r="C52" s="1">
        <v>0</v>
      </c>
      <c r="D52" s="1">
        <v>5.2790667782424521</v>
      </c>
      <c r="E52" s="1">
        <v>0</v>
      </c>
      <c r="F52" s="1">
        <v>0</v>
      </c>
      <c r="G52" s="9">
        <f>SUM(VT_FINANCIAL)</f>
        <v>5.2790667782424521</v>
      </c>
      <c r="L52" s="6"/>
      <c r="V52" s="9"/>
    </row>
    <row r="53" spans="1:22">
      <c r="A53" s="1" t="s">
        <v>74</v>
      </c>
      <c r="B53" s="6">
        <v>0</v>
      </c>
      <c r="C53" s="1">
        <v>0</v>
      </c>
      <c r="D53" s="1">
        <v>21458.533058939793</v>
      </c>
      <c r="E53" s="1">
        <v>0</v>
      </c>
      <c r="F53" s="1">
        <v>0</v>
      </c>
      <c r="G53" s="9">
        <f>SUM(VA_FINANCIAL)</f>
        <v>21458.533058939793</v>
      </c>
      <c r="L53" s="6"/>
      <c r="V53" s="9"/>
    </row>
    <row r="54" spans="1:22">
      <c r="A54" s="1" t="s">
        <v>75</v>
      </c>
      <c r="B54" s="6">
        <v>0</v>
      </c>
      <c r="C54" s="1">
        <v>0</v>
      </c>
      <c r="D54" s="1">
        <v>2195.7136992921878</v>
      </c>
      <c r="E54" s="1">
        <v>0</v>
      </c>
      <c r="F54" s="1">
        <v>0</v>
      </c>
      <c r="G54" s="9">
        <f>SUM(WA_FINANCIAL)</f>
        <v>2195.7136992921878</v>
      </c>
      <c r="L54" s="6"/>
      <c r="V54" s="9"/>
    </row>
    <row r="55" spans="1:22">
      <c r="A55" s="1" t="s">
        <v>76</v>
      </c>
      <c r="B55" s="6">
        <v>0</v>
      </c>
      <c r="C55" s="1">
        <v>0</v>
      </c>
      <c r="D55" s="1">
        <v>3323.1834244310448</v>
      </c>
      <c r="E55" s="1">
        <v>0</v>
      </c>
      <c r="F55" s="1">
        <v>0</v>
      </c>
      <c r="G55" s="9">
        <f>SUM(WV_FINANCIAL)</f>
        <v>3323.1834244310448</v>
      </c>
      <c r="L55" s="6">
        <v>0</v>
      </c>
      <c r="M55" s="1">
        <v>0</v>
      </c>
      <c r="O55" s="1">
        <v>0</v>
      </c>
      <c r="P55" s="1">
        <v>0</v>
      </c>
      <c r="R55" s="1">
        <v>100000</v>
      </c>
      <c r="S55" s="1">
        <v>0</v>
      </c>
      <c r="U55" s="1">
        <v>0</v>
      </c>
      <c r="V55" s="9">
        <v>0</v>
      </c>
    </row>
    <row r="56" spans="1:22">
      <c r="A56" s="1" t="s">
        <v>77</v>
      </c>
      <c r="B56" s="6">
        <v>0</v>
      </c>
      <c r="C56" s="1">
        <v>0</v>
      </c>
      <c r="D56" s="1">
        <v>126604.58872038173</v>
      </c>
      <c r="E56" s="1">
        <v>0</v>
      </c>
      <c r="F56" s="1">
        <v>0</v>
      </c>
      <c r="G56" s="9">
        <f>SUM(WI_FINANCIAL)</f>
        <v>126604.58872038173</v>
      </c>
      <c r="L56" s="6"/>
      <c r="V56" s="9"/>
    </row>
    <row r="57" spans="1:22">
      <c r="A57" s="1" t="s">
        <v>78</v>
      </c>
      <c r="B57" s="6">
        <v>0</v>
      </c>
      <c r="C57" s="1">
        <v>0</v>
      </c>
      <c r="D57" s="1">
        <v>862.87542777831914</v>
      </c>
      <c r="E57" s="1">
        <v>0</v>
      </c>
      <c r="F57" s="1">
        <v>0</v>
      </c>
      <c r="G57" s="9">
        <f>SUM(WY_FINANCIAL)</f>
        <v>862.87542777831914</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410967.5164547048</v>
      </c>
      <c r="E60" s="1">
        <f>SUM(UNALLOCATED)</f>
        <v>0</v>
      </c>
      <c r="F60" s="1">
        <f>SUM(LTC)</f>
        <v>0</v>
      </c>
      <c r="G60" s="9">
        <f>SUM(ALL_BLOCKS)</f>
        <v>410967.5164547048</v>
      </c>
      <c r="L60" s="6">
        <f>SUM(LIFE_CALLED)</f>
        <v>0</v>
      </c>
      <c r="M60" s="1">
        <f>SUM(LIFE_REFUNDED)</f>
        <v>0</v>
      </c>
      <c r="O60" s="1">
        <f>SUM(ALLOC_CALLED)</f>
        <v>0</v>
      </c>
      <c r="P60" s="1">
        <f>SUM(ALLOC_REFUNDED)</f>
        <v>0</v>
      </c>
      <c r="R60" s="1">
        <f>SUM(HEALTH_CALLED)</f>
        <v>584325</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137</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22320.669846307381</v>
      </c>
      <c r="C6" s="1">
        <v>0</v>
      </c>
      <c r="D6" s="1">
        <v>217704.57377243484</v>
      </c>
      <c r="E6" s="1">
        <v>0</v>
      </c>
      <c r="F6" s="1">
        <v>0</v>
      </c>
      <c r="G6" s="9">
        <f>SUM(AL_FINANCIAL)</f>
        <v>240025.24361874221</v>
      </c>
      <c r="L6" s="6"/>
      <c r="V6" s="9"/>
    </row>
    <row r="7" spans="1:22">
      <c r="A7" s="1" t="s">
        <v>12</v>
      </c>
      <c r="B7" s="6">
        <v>0</v>
      </c>
      <c r="C7" s="1">
        <v>0</v>
      </c>
      <c r="D7" s="1">
        <v>0</v>
      </c>
      <c r="E7" s="1">
        <v>0</v>
      </c>
      <c r="F7" s="1">
        <v>0</v>
      </c>
      <c r="G7" s="9">
        <f>SUM(AK_FINANCIAL)</f>
        <v>0</v>
      </c>
      <c r="I7" s="12"/>
      <c r="J7" s="15"/>
      <c r="L7" s="6"/>
      <c r="V7" s="9"/>
    </row>
    <row r="8" spans="1:22">
      <c r="A8" s="1" t="s">
        <v>13</v>
      </c>
      <c r="B8" s="6">
        <v>12567.097573388273</v>
      </c>
      <c r="C8" s="1">
        <v>0</v>
      </c>
      <c r="D8" s="1">
        <v>1014027.6887744775</v>
      </c>
      <c r="E8" s="1">
        <v>0</v>
      </c>
      <c r="F8" s="1">
        <v>0</v>
      </c>
      <c r="G8" s="9">
        <f>SUM(AZ_FINANCIAL)</f>
        <v>1026594.7863478657</v>
      </c>
      <c r="I8" s="13" t="s">
        <v>14</v>
      </c>
      <c r="J8" s="16"/>
      <c r="L8" s="6"/>
      <c r="V8" s="9"/>
    </row>
    <row r="9" spans="1:22">
      <c r="A9" s="1" t="s">
        <v>15</v>
      </c>
      <c r="B9" s="6">
        <v>-143.03313246705875</v>
      </c>
      <c r="C9" s="1">
        <v>0</v>
      </c>
      <c r="D9" s="1">
        <v>-26346.682979514764</v>
      </c>
      <c r="E9" s="1">
        <v>0</v>
      </c>
      <c r="F9" s="1">
        <v>0</v>
      </c>
      <c r="G9" s="9">
        <f>SUM(AR_FINANCIAL)</f>
        <v>-26489.716111981823</v>
      </c>
      <c r="I9" s="13"/>
      <c r="J9" s="16"/>
      <c r="L9" s="6">
        <v>21578</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47709013</v>
      </c>
      <c r="L10" s="6"/>
      <c r="V10" s="9"/>
    </row>
    <row r="11" spans="1:22">
      <c r="A11" s="1" t="s">
        <v>18</v>
      </c>
      <c r="B11" s="6">
        <v>4119.4193997316297</v>
      </c>
      <c r="C11" s="1">
        <v>0</v>
      </c>
      <c r="D11" s="1">
        <v>279701.88884496875</v>
      </c>
      <c r="E11" s="1">
        <v>0</v>
      </c>
      <c r="F11" s="1">
        <v>0</v>
      </c>
      <c r="G11" s="9">
        <f>SUM(CO_FINANCIAL)</f>
        <v>283821.30824470037</v>
      </c>
      <c r="I11" s="13"/>
      <c r="J11" s="16"/>
      <c r="L11" s="6">
        <v>0</v>
      </c>
      <c r="M11" s="1">
        <v>0</v>
      </c>
      <c r="O11" s="1">
        <v>0</v>
      </c>
      <c r="P11" s="1">
        <v>0</v>
      </c>
      <c r="R11" s="1">
        <v>35214</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1464.0805662072471</v>
      </c>
      <c r="C13" s="1">
        <v>0</v>
      </c>
      <c r="D13" s="1">
        <v>435.22606357642508</v>
      </c>
      <c r="E13" s="1">
        <v>0</v>
      </c>
      <c r="F13" s="1">
        <v>0</v>
      </c>
      <c r="G13" s="9">
        <f>SUM(DE_FINANCIAL)</f>
        <v>1899.3066297836722</v>
      </c>
      <c r="I13" s="13" t="s">
        <v>22</v>
      </c>
      <c r="J13" s="16">
        <v>50051789.055000283</v>
      </c>
      <c r="L13" s="6"/>
      <c r="V13" s="9"/>
    </row>
    <row r="14" spans="1:22">
      <c r="A14" s="1" t="s">
        <v>23</v>
      </c>
      <c r="B14" s="6">
        <v>-1264.692247708482</v>
      </c>
      <c r="C14" s="1">
        <v>0</v>
      </c>
      <c r="D14" s="1">
        <v>-1120</v>
      </c>
      <c r="E14" s="1">
        <v>0</v>
      </c>
      <c r="F14" s="1">
        <v>0</v>
      </c>
      <c r="G14" s="9">
        <f>SUM(DC_FINANCIAL)</f>
        <v>-2384.6922477084818</v>
      </c>
      <c r="I14" s="13" t="s">
        <v>24</v>
      </c>
      <c r="J14" s="16">
        <v>3937934.6699999995</v>
      </c>
      <c r="L14" s="6"/>
      <c r="V14" s="9"/>
    </row>
    <row r="15" spans="1:22">
      <c r="A15" s="1" t="s">
        <v>25</v>
      </c>
      <c r="B15" s="6">
        <v>177271.4005695766</v>
      </c>
      <c r="C15" s="1">
        <v>0</v>
      </c>
      <c r="D15" s="1">
        <v>10101877.081529375</v>
      </c>
      <c r="E15" s="1">
        <v>0</v>
      </c>
      <c r="F15" s="1">
        <v>0</v>
      </c>
      <c r="G15" s="9">
        <f>SUM(FL_FINANCIAL)</f>
        <v>10279148.482098952</v>
      </c>
      <c r="I15" s="13" t="s">
        <v>26</v>
      </c>
      <c r="J15" s="16">
        <v>8265826.4793214826</v>
      </c>
      <c r="L15" s="6">
        <v>0</v>
      </c>
      <c r="M15" s="1">
        <v>0</v>
      </c>
      <c r="O15" s="1">
        <v>0</v>
      </c>
      <c r="P15" s="1">
        <v>0</v>
      </c>
      <c r="R15" s="1">
        <v>8566684</v>
      </c>
      <c r="S15" s="1">
        <v>0</v>
      </c>
      <c r="U15" s="1">
        <v>0</v>
      </c>
      <c r="V15" s="9">
        <v>0</v>
      </c>
    </row>
    <row r="16" spans="1:22">
      <c r="A16" s="1" t="s">
        <v>27</v>
      </c>
      <c r="B16" s="6">
        <v>54364.749675144754</v>
      </c>
      <c r="C16" s="1">
        <v>0</v>
      </c>
      <c r="D16" s="1">
        <v>10880279.339149283</v>
      </c>
      <c r="E16" s="1">
        <v>0</v>
      </c>
      <c r="F16" s="1">
        <v>0</v>
      </c>
      <c r="G16" s="9">
        <f>SUM(GA_FINANCIAL)</f>
        <v>10934644.088824429</v>
      </c>
      <c r="I16" s="13" t="s">
        <v>28</v>
      </c>
      <c r="J16" s="16">
        <v>10353100.277250005</v>
      </c>
      <c r="L16" s="6">
        <v>0</v>
      </c>
      <c r="M16" s="1">
        <v>0</v>
      </c>
      <c r="O16" s="1">
        <v>0</v>
      </c>
      <c r="P16" s="1">
        <v>0</v>
      </c>
      <c r="R16" s="1">
        <v>9437552</v>
      </c>
      <c r="S16" s="1">
        <v>0</v>
      </c>
      <c r="U16" s="1">
        <v>0</v>
      </c>
      <c r="V16" s="9">
        <v>0</v>
      </c>
    </row>
    <row r="17" spans="1:22">
      <c r="A17" s="1" t="s">
        <v>29</v>
      </c>
      <c r="B17" s="6">
        <v>32429.623075453339</v>
      </c>
      <c r="C17" s="1">
        <v>0</v>
      </c>
      <c r="D17" s="1">
        <v>25149.653458223882</v>
      </c>
      <c r="E17" s="1">
        <v>0</v>
      </c>
      <c r="F17" s="1">
        <v>0</v>
      </c>
      <c r="G17" s="9">
        <f>SUM(HI_FINANCIAL)</f>
        <v>57579.276533677221</v>
      </c>
      <c r="I17" s="13"/>
      <c r="J17" s="16"/>
      <c r="L17" s="6"/>
      <c r="V17" s="9"/>
    </row>
    <row r="18" spans="1:22">
      <c r="A18" s="1" t="s">
        <v>30</v>
      </c>
      <c r="B18" s="6">
        <v>0</v>
      </c>
      <c r="C18" s="1">
        <v>0</v>
      </c>
      <c r="D18" s="1">
        <v>-11458.521746261629</v>
      </c>
      <c r="E18" s="1">
        <v>0</v>
      </c>
      <c r="F18" s="1">
        <v>0</v>
      </c>
      <c r="G18" s="9">
        <f>SUM(ID_FINANCIAL)</f>
        <v>-11458.521746261629</v>
      </c>
      <c r="I18" s="13" t="s">
        <v>31</v>
      </c>
      <c r="J18" s="16"/>
      <c r="L18" s="6">
        <v>0</v>
      </c>
      <c r="M18" s="1">
        <v>0</v>
      </c>
      <c r="O18" s="1">
        <v>0</v>
      </c>
      <c r="P18" s="1">
        <v>0</v>
      </c>
      <c r="R18" s="1">
        <v>129500</v>
      </c>
      <c r="S18" s="1">
        <v>0</v>
      </c>
      <c r="U18" s="1">
        <v>0</v>
      </c>
      <c r="V18" s="9">
        <v>0</v>
      </c>
    </row>
    <row r="19" spans="1:22">
      <c r="A19" s="1" t="s">
        <v>32</v>
      </c>
      <c r="B19" s="6">
        <v>42241.095162089972</v>
      </c>
      <c r="C19" s="1">
        <v>0</v>
      </c>
      <c r="D19" s="1">
        <v>2366753.9851677641</v>
      </c>
      <c r="E19" s="1">
        <v>0</v>
      </c>
      <c r="F19" s="1">
        <v>0</v>
      </c>
      <c r="G19" s="9">
        <f>SUM(IL_FINANCIAL)</f>
        <v>2408995.080329854</v>
      </c>
      <c r="I19" s="13" t="s">
        <v>33</v>
      </c>
      <c r="J19" s="16">
        <v>0</v>
      </c>
      <c r="L19" s="6">
        <v>200000</v>
      </c>
      <c r="M19" s="1">
        <v>0</v>
      </c>
      <c r="O19" s="1">
        <v>0</v>
      </c>
      <c r="P19" s="1">
        <v>0</v>
      </c>
      <c r="R19" s="1">
        <v>3100000</v>
      </c>
      <c r="S19" s="1">
        <v>1100000</v>
      </c>
      <c r="U19" s="1">
        <v>0</v>
      </c>
      <c r="V19" s="9">
        <v>0</v>
      </c>
    </row>
    <row r="20" spans="1:22">
      <c r="A20" s="1" t="s">
        <v>34</v>
      </c>
      <c r="B20" s="6">
        <v>24438.003351553678</v>
      </c>
      <c r="C20" s="1">
        <v>0</v>
      </c>
      <c r="D20" s="1">
        <v>-8387.4167171369882</v>
      </c>
      <c r="E20" s="1">
        <v>0</v>
      </c>
      <c r="F20" s="1">
        <v>0</v>
      </c>
      <c r="G20" s="9">
        <f>SUM(IN_FINANCIAL)</f>
        <v>16050.58663441669</v>
      </c>
      <c r="I20" s="13" t="s">
        <v>35</v>
      </c>
      <c r="J20" s="16">
        <v>43815428.568790302</v>
      </c>
      <c r="L20" s="6"/>
      <c r="V20" s="9"/>
    </row>
    <row r="21" spans="1:22">
      <c r="A21" s="1" t="s">
        <v>36</v>
      </c>
      <c r="B21" s="6">
        <v>0</v>
      </c>
      <c r="C21" s="1">
        <v>0</v>
      </c>
      <c r="D21" s="1">
        <v>12423.229999999981</v>
      </c>
      <c r="E21" s="1">
        <v>0</v>
      </c>
      <c r="F21" s="1">
        <v>0</v>
      </c>
      <c r="G21" s="9">
        <f>SUM(IA_FINANCIAL)</f>
        <v>12423.229999999981</v>
      </c>
      <c r="I21" s="13" t="s">
        <v>37</v>
      </c>
      <c r="J21" s="16"/>
      <c r="L21" s="6"/>
      <c r="V21" s="9"/>
    </row>
    <row r="22" spans="1:22">
      <c r="A22" s="1" t="s">
        <v>38</v>
      </c>
      <c r="B22" s="6">
        <v>-4044.171609022585</v>
      </c>
      <c r="C22" s="1">
        <v>0</v>
      </c>
      <c r="D22" s="1">
        <v>585317.8235544957</v>
      </c>
      <c r="E22" s="1">
        <v>0</v>
      </c>
      <c r="F22" s="1">
        <v>0</v>
      </c>
      <c r="G22" s="9">
        <f>SUM(KS_FINANCIAL)</f>
        <v>581273.65194547316</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52927.098667756523</v>
      </c>
      <c r="C24" s="1">
        <v>0</v>
      </c>
      <c r="D24" s="1">
        <v>209314.20386060191</v>
      </c>
      <c r="E24" s="1">
        <v>0</v>
      </c>
      <c r="F24" s="1">
        <v>0</v>
      </c>
      <c r="G24" s="9">
        <f>SUM(LA_FINANCIAL)</f>
        <v>262241.30252835841</v>
      </c>
      <c r="I24" s="13" t="s">
        <v>43</v>
      </c>
      <c r="J24" s="16">
        <v>38349555.526664995</v>
      </c>
      <c r="L24" s="6">
        <v>11383</v>
      </c>
      <c r="M24" s="1">
        <v>0</v>
      </c>
      <c r="O24" s="1">
        <v>529</v>
      </c>
      <c r="P24" s="1">
        <v>0</v>
      </c>
      <c r="R24" s="1">
        <v>235088</v>
      </c>
      <c r="S24" s="1">
        <v>0</v>
      </c>
      <c r="U24" s="1">
        <v>0</v>
      </c>
      <c r="V24" s="9">
        <v>0</v>
      </c>
    </row>
    <row r="25" spans="1:22">
      <c r="A25" s="1" t="s">
        <v>44</v>
      </c>
      <c r="B25" s="6">
        <v>0</v>
      </c>
      <c r="C25" s="1">
        <v>0</v>
      </c>
      <c r="D25" s="1">
        <v>-857</v>
      </c>
      <c r="E25" s="1">
        <v>0</v>
      </c>
      <c r="F25" s="1">
        <v>0</v>
      </c>
      <c r="G25" s="9">
        <f>SUM(ME_FINANCIAL)</f>
        <v>-857</v>
      </c>
      <c r="I25" s="13"/>
      <c r="J25" s="16"/>
      <c r="L25" s="6"/>
      <c r="V25" s="9"/>
    </row>
    <row r="26" spans="1:22">
      <c r="A26" s="1" t="s">
        <v>45</v>
      </c>
      <c r="B26" s="6">
        <v>3875.0170463791201</v>
      </c>
      <c r="C26" s="1">
        <v>0</v>
      </c>
      <c r="D26" s="1">
        <v>847837.87504937337</v>
      </c>
      <c r="E26" s="1">
        <v>0</v>
      </c>
      <c r="F26" s="1">
        <v>0</v>
      </c>
      <c r="G26" s="9">
        <f>SUM(MD_FINANCIAL)</f>
        <v>851712.89209575253</v>
      </c>
      <c r="I26" s="13" t="s">
        <v>46</v>
      </c>
      <c r="J26" s="16">
        <f>SUM(ADD_FINANCIAL)-SUM(LESS_FINANCIAL)</f>
        <v>38152679.386116475</v>
      </c>
      <c r="L26" s="6"/>
      <c r="V26" s="9"/>
    </row>
    <row r="27" spans="1:22">
      <c r="A27" s="1" t="s">
        <v>47</v>
      </c>
      <c r="B27" s="6">
        <v>0</v>
      </c>
      <c r="C27" s="1">
        <v>0</v>
      </c>
      <c r="D27" s="1">
        <v>0</v>
      </c>
      <c r="E27" s="1">
        <v>0</v>
      </c>
      <c r="F27" s="1">
        <v>0</v>
      </c>
      <c r="G27" s="9">
        <f>SUM(MA_FINANCIAL)</f>
        <v>0</v>
      </c>
      <c r="I27" s="13" t="s">
        <v>48</v>
      </c>
      <c r="J27" s="16">
        <f>SUM(ALL_BLOCKS)</f>
        <v>38152679.386116467</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14913.145007141962</v>
      </c>
      <c r="C30" s="1">
        <v>0</v>
      </c>
      <c r="D30" s="1">
        <v>1155303.8779372268</v>
      </c>
      <c r="E30" s="1">
        <v>0</v>
      </c>
      <c r="F30" s="1">
        <v>0</v>
      </c>
      <c r="G30" s="9">
        <f>SUM(MS_FINANCIAL)</f>
        <v>1170217.0229443687</v>
      </c>
      <c r="L30" s="6"/>
      <c r="V30" s="9"/>
    </row>
    <row r="31" spans="1:22">
      <c r="A31" s="1" t="s">
        <v>52</v>
      </c>
      <c r="B31" s="6">
        <v>8915.5853660836947</v>
      </c>
      <c r="C31" s="1">
        <v>0</v>
      </c>
      <c r="D31" s="1">
        <v>1880863.8974418717</v>
      </c>
      <c r="E31" s="1">
        <v>0</v>
      </c>
      <c r="F31" s="1">
        <v>0</v>
      </c>
      <c r="G31" s="9">
        <f>SUM(MO_FINANCIAL)</f>
        <v>1889779.4828079555</v>
      </c>
      <c r="L31" s="6">
        <v>0</v>
      </c>
      <c r="M31" s="1">
        <v>0</v>
      </c>
      <c r="O31" s="1">
        <v>0</v>
      </c>
      <c r="P31" s="1">
        <v>0</v>
      </c>
      <c r="R31" s="1">
        <v>1202674</v>
      </c>
      <c r="S31" s="1">
        <v>0</v>
      </c>
      <c r="U31" s="1">
        <v>0</v>
      </c>
      <c r="V31" s="9">
        <v>0</v>
      </c>
    </row>
    <row r="32" spans="1:22">
      <c r="A32" s="1" t="s">
        <v>53</v>
      </c>
      <c r="B32" s="6">
        <v>1409.558703402673</v>
      </c>
      <c r="C32" s="1">
        <v>0</v>
      </c>
      <c r="D32" s="1">
        <v>216724.99172818405</v>
      </c>
      <c r="E32" s="1">
        <v>0</v>
      </c>
      <c r="F32" s="1">
        <v>0</v>
      </c>
      <c r="G32" s="9">
        <f>SUM(MT_FINANCIAL)</f>
        <v>218134.55043158671</v>
      </c>
      <c r="L32" s="6"/>
      <c r="V32" s="9"/>
    </row>
    <row r="33" spans="1:22">
      <c r="A33" s="1" t="s">
        <v>54</v>
      </c>
      <c r="B33" s="6">
        <v>0</v>
      </c>
      <c r="C33" s="1">
        <v>0</v>
      </c>
      <c r="D33" s="1">
        <v>0</v>
      </c>
      <c r="E33" s="1">
        <v>0</v>
      </c>
      <c r="F33" s="1">
        <v>0</v>
      </c>
      <c r="G33" s="9">
        <f>SUM(NE_FINANCIAL)</f>
        <v>0</v>
      </c>
      <c r="L33" s="6"/>
      <c r="V33" s="9"/>
    </row>
    <row r="34" spans="1:22">
      <c r="A34" s="1" t="s">
        <v>55</v>
      </c>
      <c r="B34" s="6">
        <v>58380.354587574933</v>
      </c>
      <c r="C34" s="1">
        <v>0</v>
      </c>
      <c r="D34" s="1">
        <v>4164.7267060073791</v>
      </c>
      <c r="E34" s="1">
        <v>0</v>
      </c>
      <c r="F34" s="1">
        <v>0</v>
      </c>
      <c r="G34" s="9">
        <f>SUM(NV_FINANCIAL)</f>
        <v>62545.081293582312</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-614.8474292922906</v>
      </c>
      <c r="C37" s="1">
        <v>0</v>
      </c>
      <c r="D37" s="1">
        <v>400883.39295069117</v>
      </c>
      <c r="E37" s="1">
        <v>0</v>
      </c>
      <c r="F37" s="1">
        <v>0</v>
      </c>
      <c r="G37" s="9">
        <f>SUM(NM_FINANCIAL)</f>
        <v>400268.54552139889</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2492968.3589512291</v>
      </c>
      <c r="E40" s="1">
        <v>0</v>
      </c>
      <c r="F40" s="1">
        <v>0</v>
      </c>
      <c r="G40" s="9">
        <f>SUM(ND_FINANCIAL)</f>
        <v>2492968.3589512291</v>
      </c>
      <c r="L40" s="6">
        <v>0</v>
      </c>
      <c r="M40" s="1">
        <v>0</v>
      </c>
      <c r="O40" s="1">
        <v>0</v>
      </c>
      <c r="P40" s="1">
        <v>0</v>
      </c>
      <c r="R40" s="1">
        <v>1700000</v>
      </c>
      <c r="S40" s="1">
        <v>0</v>
      </c>
      <c r="U40" s="1">
        <v>0</v>
      </c>
      <c r="V40" s="9">
        <v>0</v>
      </c>
    </row>
    <row r="41" spans="1:22">
      <c r="A41" s="1" t="s">
        <v>62</v>
      </c>
      <c r="B41" s="6">
        <v>81912.969370441366</v>
      </c>
      <c r="C41" s="1">
        <v>0</v>
      </c>
      <c r="D41" s="1">
        <v>483880.64666104317</v>
      </c>
      <c r="E41" s="1">
        <v>0</v>
      </c>
      <c r="F41" s="1">
        <v>0</v>
      </c>
      <c r="G41" s="9">
        <f>SUM(OH_FINANCIAL)</f>
        <v>565793.61603148456</v>
      </c>
      <c r="L41" s="6">
        <v>0</v>
      </c>
      <c r="M41" s="1">
        <v>0</v>
      </c>
      <c r="O41" s="1">
        <v>0</v>
      </c>
      <c r="P41" s="1">
        <v>0</v>
      </c>
      <c r="R41" s="1">
        <v>400000</v>
      </c>
      <c r="S41" s="1">
        <v>0</v>
      </c>
      <c r="U41" s="1">
        <v>0</v>
      </c>
      <c r="V41" s="9">
        <v>0</v>
      </c>
    </row>
    <row r="42" spans="1:22">
      <c r="A42" s="1" t="s">
        <v>63</v>
      </c>
      <c r="B42" s="6">
        <v>4653.5534415806987</v>
      </c>
      <c r="C42" s="1">
        <v>0</v>
      </c>
      <c r="D42" s="1">
        <v>198889.82109391328</v>
      </c>
      <c r="E42" s="1">
        <v>0</v>
      </c>
      <c r="F42" s="1">
        <v>0</v>
      </c>
      <c r="G42" s="9">
        <f>SUM(OK_FINANCIAL)</f>
        <v>203543.37453549399</v>
      </c>
      <c r="L42" s="6">
        <v>75000</v>
      </c>
      <c r="M42" s="1">
        <v>0</v>
      </c>
      <c r="O42" s="1">
        <v>0</v>
      </c>
      <c r="P42" s="1">
        <v>0</v>
      </c>
      <c r="R42" s="1">
        <v>375000</v>
      </c>
      <c r="S42" s="1">
        <v>0</v>
      </c>
      <c r="U42" s="1">
        <v>0</v>
      </c>
      <c r="V42" s="9">
        <v>0</v>
      </c>
    </row>
    <row r="43" spans="1:22">
      <c r="A43" s="1" t="s">
        <v>64</v>
      </c>
      <c r="B43" s="6">
        <v>0</v>
      </c>
      <c r="C43" s="1">
        <v>0</v>
      </c>
      <c r="D43" s="1">
        <v>0</v>
      </c>
      <c r="E43" s="1">
        <v>0</v>
      </c>
      <c r="F43" s="1">
        <v>0</v>
      </c>
      <c r="G43" s="9">
        <f>SUM(OR_FINANCIAL)</f>
        <v>0</v>
      </c>
      <c r="L43" s="6"/>
      <c r="V43" s="9"/>
    </row>
    <row r="44" spans="1:22">
      <c r="A44" s="1" t="s">
        <v>65</v>
      </c>
      <c r="B44" s="6">
        <v>-243004.85576038132</v>
      </c>
      <c r="C44" s="1">
        <v>0</v>
      </c>
      <c r="D44" s="1">
        <v>1019657.1223567761</v>
      </c>
      <c r="E44" s="1">
        <v>0</v>
      </c>
      <c r="F44" s="1">
        <v>0</v>
      </c>
      <c r="G44" s="9">
        <f>SUM(PA_FINANCIAL)</f>
        <v>776652.26659639482</v>
      </c>
      <c r="L44" s="6">
        <v>0</v>
      </c>
      <c r="M44" s="1">
        <v>0</v>
      </c>
      <c r="O44" s="1">
        <v>0</v>
      </c>
      <c r="P44" s="1">
        <v>0</v>
      </c>
      <c r="R44" s="1">
        <v>2402000</v>
      </c>
      <c r="S44" s="1">
        <v>0</v>
      </c>
      <c r="U44" s="1">
        <v>0</v>
      </c>
      <c r="V44" s="9">
        <v>0</v>
      </c>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-1070.0570725238454</v>
      </c>
      <c r="C48" s="1">
        <v>0</v>
      </c>
      <c r="D48" s="1">
        <v>2099627.0600196524</v>
      </c>
      <c r="E48" s="1">
        <v>0</v>
      </c>
      <c r="F48" s="1">
        <v>0</v>
      </c>
      <c r="G48" s="9">
        <f>SUM(SD_FINANCIAL)</f>
        <v>2098557.0029471284</v>
      </c>
      <c r="L48" s="6">
        <v>0</v>
      </c>
      <c r="M48" s="1">
        <v>0</v>
      </c>
      <c r="O48" s="1">
        <v>0</v>
      </c>
      <c r="P48" s="1">
        <v>0</v>
      </c>
      <c r="R48" s="1">
        <v>1710000</v>
      </c>
      <c r="S48" s="1">
        <v>0</v>
      </c>
      <c r="U48" s="1">
        <v>0</v>
      </c>
      <c r="V48" s="9">
        <v>0</v>
      </c>
    </row>
    <row r="49" spans="1:22">
      <c r="A49" s="1" t="s">
        <v>70</v>
      </c>
      <c r="B49" s="6">
        <v>32961.943144369921</v>
      </c>
      <c r="C49" s="1">
        <v>0</v>
      </c>
      <c r="D49" s="1">
        <v>1278806.7702963613</v>
      </c>
      <c r="E49" s="1">
        <v>0</v>
      </c>
      <c r="F49" s="1">
        <v>0</v>
      </c>
      <c r="G49" s="9">
        <f>SUM(TN_FINANCIAL)</f>
        <v>1311768.7134407312</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-63</v>
      </c>
      <c r="E51" s="1">
        <v>0</v>
      </c>
      <c r="F51" s="1">
        <v>0</v>
      </c>
      <c r="G51" s="9">
        <f>SUM(UT_FINANCIAL)</f>
        <v>-63</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-1172</v>
      </c>
      <c r="C55" s="1">
        <v>0</v>
      </c>
      <c r="D55" s="1">
        <v>48467.064889067857</v>
      </c>
      <c r="E55" s="1">
        <v>0</v>
      </c>
      <c r="F55" s="1">
        <v>0</v>
      </c>
      <c r="G55" s="9">
        <f>SUM(WV_FINANCIAL)</f>
        <v>47295.064889067857</v>
      </c>
      <c r="L55" s="6">
        <v>0</v>
      </c>
      <c r="M55" s="1">
        <v>0</v>
      </c>
      <c r="O55" s="1">
        <v>0</v>
      </c>
      <c r="P55" s="1">
        <v>0</v>
      </c>
      <c r="R55" s="1">
        <v>150000</v>
      </c>
      <c r="S55" s="1">
        <v>0</v>
      </c>
      <c r="U55" s="1">
        <v>0</v>
      </c>
      <c r="V55" s="9">
        <v>0</v>
      </c>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379851.70730278833</v>
      </c>
      <c r="C60" s="1">
        <f>SUM(ALLOCATED)</f>
        <v>0</v>
      </c>
      <c r="D60" s="1">
        <f>SUM(HEALTH)</f>
        <v>37772827.678813674</v>
      </c>
      <c r="E60" s="1">
        <f>SUM(UNALLOCATED)</f>
        <v>0</v>
      </c>
      <c r="F60" s="1">
        <f>SUM(LTC)</f>
        <v>0</v>
      </c>
      <c r="G60" s="9">
        <f>SUM(ALL_BLOCKS)</f>
        <v>38152679.386116467</v>
      </c>
      <c r="L60" s="6">
        <f>SUM(LIFE_CALLED)</f>
        <v>307961</v>
      </c>
      <c r="M60" s="1">
        <f>SUM(LIFE_REFUNDED)</f>
        <v>0</v>
      </c>
      <c r="O60" s="1">
        <f>SUM(ALLOC_CALLED)</f>
        <v>529</v>
      </c>
      <c r="P60" s="1">
        <f>SUM(ALLOC_REFUNDED)</f>
        <v>0</v>
      </c>
      <c r="R60" s="1">
        <f>SUM(HEALTH_CALLED)</f>
        <v>29443712</v>
      </c>
      <c r="S60" s="1">
        <f>SUM(HEALTH_REFUNDED)</f>
        <v>1100000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138</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-800648.89301638305</v>
      </c>
      <c r="C6" s="1">
        <v>0</v>
      </c>
      <c r="D6" s="1">
        <v>0</v>
      </c>
      <c r="E6" s="1">
        <v>0</v>
      </c>
      <c r="F6" s="1">
        <v>0</v>
      </c>
      <c r="G6" s="9">
        <f>SUM(AL_FINANCIAL)</f>
        <v>-800648.89301638305</v>
      </c>
      <c r="L6" s="6"/>
      <c r="V6" s="9"/>
    </row>
    <row r="7" spans="1:22">
      <c r="A7" s="1" t="s">
        <v>12</v>
      </c>
      <c r="B7" s="6">
        <v>14713.378680639395</v>
      </c>
      <c r="C7" s="1">
        <v>0</v>
      </c>
      <c r="D7" s="1">
        <v>0</v>
      </c>
      <c r="E7" s="1">
        <v>0</v>
      </c>
      <c r="F7" s="1">
        <v>0</v>
      </c>
      <c r="G7" s="9">
        <f>SUM(AK_FINANCIAL)</f>
        <v>14713.378680639395</v>
      </c>
      <c r="I7" s="12"/>
      <c r="J7" s="15"/>
      <c r="L7" s="6"/>
      <c r="V7" s="9"/>
    </row>
    <row r="8" spans="1:22">
      <c r="A8" s="1" t="s">
        <v>13</v>
      </c>
      <c r="B8" s="6">
        <v>2351221.6154751386</v>
      </c>
      <c r="C8" s="1">
        <v>40120.163710648369</v>
      </c>
      <c r="D8" s="1">
        <v>0</v>
      </c>
      <c r="E8" s="1">
        <v>0</v>
      </c>
      <c r="F8" s="1">
        <v>0</v>
      </c>
      <c r="G8" s="9">
        <f>SUM(AZ_FINANCIAL)</f>
        <v>2391341.7791857868</v>
      </c>
      <c r="I8" s="13" t="s">
        <v>14</v>
      </c>
      <c r="J8" s="16"/>
      <c r="L8" s="6"/>
      <c r="V8" s="9"/>
    </row>
    <row r="9" spans="1:22">
      <c r="A9" s="1" t="s">
        <v>15</v>
      </c>
      <c r="B9" s="6">
        <v>2632592.5028173588</v>
      </c>
      <c r="C9" s="1">
        <v>86317.134919498785</v>
      </c>
      <c r="D9" s="1">
        <v>0</v>
      </c>
      <c r="E9" s="1">
        <v>0</v>
      </c>
      <c r="F9" s="1">
        <v>0</v>
      </c>
      <c r="G9" s="9">
        <f>SUM(AR_FINANCIAL)</f>
        <v>2718909.6377368574</v>
      </c>
      <c r="I9" s="13"/>
      <c r="J9" s="16"/>
      <c r="L9" s="6">
        <v>2500000</v>
      </c>
      <c r="M9" s="1">
        <v>0</v>
      </c>
      <c r="O9" s="1">
        <v>0</v>
      </c>
      <c r="P9" s="1">
        <v>0</v>
      </c>
      <c r="R9" s="1">
        <v>0</v>
      </c>
      <c r="S9" s="1">
        <v>0</v>
      </c>
      <c r="U9" s="1">
        <v>0</v>
      </c>
      <c r="V9" s="9">
        <v>0</v>
      </c>
    </row>
    <row r="10" spans="1:22">
      <c r="A10" s="1" t="s">
        <v>16</v>
      </c>
      <c r="B10" s="6">
        <v>7692088.0181258339</v>
      </c>
      <c r="C10" s="1">
        <v>38825.469159611064</v>
      </c>
      <c r="D10" s="1">
        <v>0</v>
      </c>
      <c r="E10" s="1">
        <v>0</v>
      </c>
      <c r="F10" s="1">
        <v>0</v>
      </c>
      <c r="G10" s="9">
        <f>SUM(CA_FINANCIAL)</f>
        <v>7730913.4872854454</v>
      </c>
      <c r="I10" s="13" t="s">
        <v>17</v>
      </c>
      <c r="J10" s="16">
        <v>423100428.63000023</v>
      </c>
      <c r="L10" s="6">
        <v>2500000</v>
      </c>
      <c r="M10" s="1">
        <v>0</v>
      </c>
      <c r="O10" s="1">
        <v>0</v>
      </c>
      <c r="P10" s="1">
        <v>0</v>
      </c>
      <c r="R10" s="1">
        <v>0</v>
      </c>
      <c r="S10" s="1">
        <v>0</v>
      </c>
      <c r="U10" s="1">
        <v>0</v>
      </c>
      <c r="V10" s="9">
        <v>0</v>
      </c>
    </row>
    <row r="11" spans="1:22">
      <c r="A11" s="1" t="s">
        <v>18</v>
      </c>
      <c r="B11" s="6">
        <v>299958.55506347155</v>
      </c>
      <c r="C11" s="1">
        <v>0</v>
      </c>
      <c r="D11" s="1">
        <v>0</v>
      </c>
      <c r="E11" s="1">
        <v>0</v>
      </c>
      <c r="F11" s="1">
        <v>0</v>
      </c>
      <c r="G11" s="9">
        <f>SUM(CO_FINANCIAL)</f>
        <v>299958.55506347155</v>
      </c>
      <c r="I11" s="13"/>
      <c r="J11" s="16"/>
      <c r="L11" s="6">
        <v>410000</v>
      </c>
      <c r="M11" s="1">
        <v>0</v>
      </c>
      <c r="O11" s="1">
        <v>0</v>
      </c>
      <c r="P11" s="1">
        <v>0</v>
      </c>
      <c r="R11" s="1">
        <v>0</v>
      </c>
      <c r="S11" s="1">
        <v>0</v>
      </c>
      <c r="U11" s="1">
        <v>0</v>
      </c>
      <c r="V11" s="9">
        <v>0</v>
      </c>
    </row>
    <row r="12" spans="1:22">
      <c r="A12" s="1" t="s">
        <v>19</v>
      </c>
      <c r="B12" s="6">
        <v>76513.82670507158</v>
      </c>
      <c r="C12" s="1">
        <v>4152.2075814213849</v>
      </c>
      <c r="D12" s="1">
        <v>0</v>
      </c>
      <c r="E12" s="1">
        <v>0</v>
      </c>
      <c r="F12" s="1">
        <v>0</v>
      </c>
      <c r="G12" s="9">
        <f>SUM(CT_FINANCIAL)</f>
        <v>80666.03428649297</v>
      </c>
      <c r="I12" s="13" t="s">
        <v>20</v>
      </c>
      <c r="J12" s="16"/>
      <c r="L12" s="6">
        <v>99230</v>
      </c>
      <c r="M12" s="1">
        <v>0</v>
      </c>
      <c r="O12" s="1">
        <v>0</v>
      </c>
      <c r="P12" s="1">
        <v>0</v>
      </c>
      <c r="R12" s="1">
        <v>0</v>
      </c>
      <c r="S12" s="1">
        <v>0</v>
      </c>
      <c r="U12" s="1">
        <v>0</v>
      </c>
      <c r="V12" s="9">
        <v>0</v>
      </c>
    </row>
    <row r="13" spans="1:22">
      <c r="A13" s="1" t="s">
        <v>21</v>
      </c>
      <c r="B13" s="6">
        <v>41405.558267311368</v>
      </c>
      <c r="C13" s="1">
        <v>0</v>
      </c>
      <c r="D13" s="1">
        <v>0</v>
      </c>
      <c r="E13" s="1">
        <v>0</v>
      </c>
      <c r="F13" s="1">
        <v>0</v>
      </c>
      <c r="G13" s="9">
        <f>SUM(DE_FINANCIAL)</f>
        <v>41405.558267311368</v>
      </c>
      <c r="I13" s="13" t="s">
        <v>22</v>
      </c>
      <c r="J13" s="16">
        <v>213422712.53399998</v>
      </c>
      <c r="L13" s="6"/>
      <c r="V13" s="9"/>
    </row>
    <row r="14" spans="1:22">
      <c r="A14" s="1" t="s">
        <v>23</v>
      </c>
      <c r="B14" s="6">
        <v>5600.0102694933339</v>
      </c>
      <c r="C14" s="1">
        <v>0</v>
      </c>
      <c r="D14" s="1">
        <v>0</v>
      </c>
      <c r="E14" s="1">
        <v>0</v>
      </c>
      <c r="F14" s="1">
        <v>0</v>
      </c>
      <c r="G14" s="9">
        <f>SUM(DC_FINANCIAL)</f>
        <v>5600.0102694933339</v>
      </c>
      <c r="I14" s="13" t="s">
        <v>24</v>
      </c>
      <c r="J14" s="16">
        <v>30280967.613117136</v>
      </c>
      <c r="L14" s="6"/>
      <c r="V14" s="9"/>
    </row>
    <row r="15" spans="1:22">
      <c r="A15" s="1" t="s">
        <v>25</v>
      </c>
      <c r="B15" s="6">
        <v>50981.365646634804</v>
      </c>
      <c r="C15" s="1">
        <v>0</v>
      </c>
      <c r="D15" s="1">
        <v>0</v>
      </c>
      <c r="E15" s="1">
        <v>0</v>
      </c>
      <c r="F15" s="1">
        <v>0</v>
      </c>
      <c r="G15" s="9">
        <f>SUM(FL_FINANCIAL)</f>
        <v>50981.365646634804</v>
      </c>
      <c r="I15" s="13" t="s">
        <v>26</v>
      </c>
      <c r="J15" s="16">
        <v>47303525.999999993</v>
      </c>
      <c r="L15" s="6"/>
      <c r="V15" s="9"/>
    </row>
    <row r="16" spans="1:22">
      <c r="A16" s="1" t="s">
        <v>27</v>
      </c>
      <c r="B16" s="6">
        <v>685994.01193810604</v>
      </c>
      <c r="C16" s="1">
        <v>133.65287467904272</v>
      </c>
      <c r="D16" s="1">
        <v>0</v>
      </c>
      <c r="E16" s="1">
        <v>0</v>
      </c>
      <c r="F16" s="1">
        <v>0</v>
      </c>
      <c r="G16" s="9">
        <f>SUM(GA_FINANCIAL)</f>
        <v>686127.66481278511</v>
      </c>
      <c r="I16" s="13" t="s">
        <v>28</v>
      </c>
      <c r="J16" s="16">
        <v>9824750.6199999861</v>
      </c>
      <c r="L16" s="6"/>
      <c r="V16" s="9"/>
    </row>
    <row r="17" spans="1:22">
      <c r="A17" s="1" t="s">
        <v>29</v>
      </c>
      <c r="B17" s="6">
        <v>11820.332229041116</v>
      </c>
      <c r="C17" s="1">
        <v>0</v>
      </c>
      <c r="D17" s="1">
        <v>0</v>
      </c>
      <c r="E17" s="1">
        <v>0</v>
      </c>
      <c r="F17" s="1">
        <v>0</v>
      </c>
      <c r="G17" s="9">
        <f>SUM(HI_FINANCIAL)</f>
        <v>11820.332229041116</v>
      </c>
      <c r="I17" s="13"/>
      <c r="J17" s="16"/>
      <c r="L17" s="6"/>
      <c r="V17" s="9"/>
    </row>
    <row r="18" spans="1:22">
      <c r="A18" s="1" t="s">
        <v>30</v>
      </c>
      <c r="B18" s="6">
        <v>115049.18156169658</v>
      </c>
      <c r="C18" s="1">
        <v>0</v>
      </c>
      <c r="D18" s="1">
        <v>0</v>
      </c>
      <c r="E18" s="1">
        <v>0</v>
      </c>
      <c r="F18" s="1">
        <v>0</v>
      </c>
      <c r="G18" s="9">
        <f>SUM(ID_FINANCIAL)</f>
        <v>115049.18156169658</v>
      </c>
      <c r="I18" s="13" t="s">
        <v>31</v>
      </c>
      <c r="J18" s="16"/>
      <c r="L18" s="6"/>
      <c r="V18" s="9"/>
    </row>
    <row r="19" spans="1:22">
      <c r="A19" s="1" t="s">
        <v>32</v>
      </c>
      <c r="B19" s="6">
        <v>32155009.662386827</v>
      </c>
      <c r="C19" s="1">
        <v>-886.81369695391913</v>
      </c>
      <c r="D19" s="1">
        <v>0</v>
      </c>
      <c r="E19" s="1">
        <v>0</v>
      </c>
      <c r="F19" s="1">
        <v>0</v>
      </c>
      <c r="G19" s="9">
        <f>SUM(IL_FINANCIAL)</f>
        <v>32154122.848689873</v>
      </c>
      <c r="I19" s="13" t="s">
        <v>33</v>
      </c>
      <c r="J19" s="16">
        <v>0</v>
      </c>
      <c r="L19" s="6">
        <v>50000000</v>
      </c>
      <c r="M19" s="1">
        <v>0</v>
      </c>
      <c r="O19" s="1">
        <v>600000</v>
      </c>
      <c r="P19" s="1">
        <v>0</v>
      </c>
      <c r="R19" s="1">
        <v>0</v>
      </c>
      <c r="S19" s="1">
        <v>0</v>
      </c>
      <c r="U19" s="1">
        <v>0</v>
      </c>
      <c r="V19" s="9">
        <v>0</v>
      </c>
    </row>
    <row r="20" spans="1:22">
      <c r="A20" s="1" t="s">
        <v>34</v>
      </c>
      <c r="B20" s="6">
        <v>8420123.6768141799</v>
      </c>
      <c r="C20" s="1">
        <v>0</v>
      </c>
      <c r="D20" s="1">
        <v>0</v>
      </c>
      <c r="E20" s="1">
        <v>0</v>
      </c>
      <c r="F20" s="1">
        <v>0</v>
      </c>
      <c r="G20" s="9">
        <f>SUM(IN_FINANCIAL)</f>
        <v>8420123.6768141799</v>
      </c>
      <c r="I20" s="13" t="s">
        <v>35</v>
      </c>
      <c r="J20" s="16">
        <v>302104085.69485641</v>
      </c>
      <c r="L20" s="6">
        <v>7126300</v>
      </c>
      <c r="M20" s="1">
        <v>0</v>
      </c>
      <c r="O20" s="1">
        <v>0</v>
      </c>
      <c r="P20" s="1">
        <v>0</v>
      </c>
      <c r="R20" s="1">
        <v>0</v>
      </c>
      <c r="S20" s="1">
        <v>0</v>
      </c>
      <c r="U20" s="1">
        <v>0</v>
      </c>
      <c r="V20" s="9">
        <v>0</v>
      </c>
    </row>
    <row r="21" spans="1:22">
      <c r="A21" s="1" t="s">
        <v>36</v>
      </c>
      <c r="B21" s="6">
        <v>15395377.448747326</v>
      </c>
      <c r="C21" s="1">
        <v>4455.2941131475382</v>
      </c>
      <c r="D21" s="1">
        <v>0</v>
      </c>
      <c r="E21" s="1">
        <v>0</v>
      </c>
      <c r="F21" s="1">
        <v>0</v>
      </c>
      <c r="G21" s="9">
        <f>SUM(IA_FINANCIAL)</f>
        <v>15399832.742860474</v>
      </c>
      <c r="I21" s="13" t="s">
        <v>37</v>
      </c>
      <c r="J21" s="16"/>
      <c r="L21" s="6">
        <v>18100000</v>
      </c>
      <c r="M21" s="1">
        <v>0</v>
      </c>
      <c r="O21" s="1">
        <v>0</v>
      </c>
      <c r="P21" s="1">
        <v>0</v>
      </c>
      <c r="R21" s="1">
        <v>0</v>
      </c>
      <c r="S21" s="1">
        <v>0</v>
      </c>
      <c r="U21" s="1">
        <v>0</v>
      </c>
      <c r="V21" s="9">
        <v>0</v>
      </c>
    </row>
    <row r="22" spans="1:22">
      <c r="A22" s="1" t="s">
        <v>38</v>
      </c>
      <c r="B22" s="6">
        <v>13215364.58481789</v>
      </c>
      <c r="C22" s="1">
        <v>0</v>
      </c>
      <c r="D22" s="1">
        <v>0</v>
      </c>
      <c r="E22" s="1">
        <v>0</v>
      </c>
      <c r="F22" s="1">
        <v>0</v>
      </c>
      <c r="G22" s="9">
        <f>SUM(KS_FINANCIAL)</f>
        <v>13215364.58481789</v>
      </c>
      <c r="I22" s="13" t="s">
        <v>39</v>
      </c>
      <c r="J22" s="16">
        <v>-3132835.1357204714</v>
      </c>
      <c r="L22" s="6">
        <v>17200000</v>
      </c>
      <c r="M22" s="1">
        <v>0</v>
      </c>
      <c r="O22" s="1">
        <v>0</v>
      </c>
      <c r="P22" s="1">
        <v>0</v>
      </c>
      <c r="R22" s="1">
        <v>0</v>
      </c>
      <c r="S22" s="1">
        <v>0</v>
      </c>
      <c r="U22" s="1">
        <v>0</v>
      </c>
      <c r="V22" s="9">
        <v>0</v>
      </c>
    </row>
    <row r="23" spans="1:22">
      <c r="A23" s="1" t="s">
        <v>40</v>
      </c>
      <c r="B23" s="6">
        <v>6608522.9051058041</v>
      </c>
      <c r="C23" s="1">
        <v>0</v>
      </c>
      <c r="D23" s="1">
        <v>0</v>
      </c>
      <c r="E23" s="1">
        <v>0</v>
      </c>
      <c r="F23" s="1">
        <v>0</v>
      </c>
      <c r="G23" s="9">
        <f>SUM(KY_FINANCIAL)</f>
        <v>6608522.9051058041</v>
      </c>
      <c r="I23" s="13" t="s">
        <v>41</v>
      </c>
      <c r="J23" s="16"/>
      <c r="L23" s="6">
        <v>12097362</v>
      </c>
      <c r="M23" s="1">
        <v>0</v>
      </c>
      <c r="O23" s="1">
        <v>0</v>
      </c>
      <c r="P23" s="1">
        <v>0</v>
      </c>
      <c r="R23" s="1">
        <v>0</v>
      </c>
      <c r="S23" s="1">
        <v>0</v>
      </c>
      <c r="U23" s="1">
        <v>0</v>
      </c>
      <c r="V23" s="9">
        <v>0</v>
      </c>
    </row>
    <row r="24" spans="1:22">
      <c r="A24" s="1" t="s">
        <v>42</v>
      </c>
      <c r="B24" s="6">
        <v>1740612.9332493092</v>
      </c>
      <c r="C24" s="1">
        <v>0</v>
      </c>
      <c r="D24" s="1">
        <v>0</v>
      </c>
      <c r="E24" s="1">
        <v>0</v>
      </c>
      <c r="F24" s="1">
        <v>0</v>
      </c>
      <c r="G24" s="9">
        <f>SUM(LA_FINANCIAL)</f>
        <v>1740612.9332493092</v>
      </c>
      <c r="I24" s="13" t="s">
        <v>43</v>
      </c>
      <c r="J24" s="16">
        <v>209124088.72000009</v>
      </c>
      <c r="L24" s="6">
        <v>1120000</v>
      </c>
      <c r="M24" s="1">
        <v>0</v>
      </c>
      <c r="O24" s="1">
        <v>0</v>
      </c>
      <c r="P24" s="1">
        <v>0</v>
      </c>
      <c r="R24" s="1">
        <v>0</v>
      </c>
      <c r="S24" s="1">
        <v>0</v>
      </c>
      <c r="U24" s="1">
        <v>0</v>
      </c>
      <c r="V24" s="9">
        <v>0</v>
      </c>
    </row>
    <row r="25" spans="1:22">
      <c r="A25" s="1" t="s">
        <v>44</v>
      </c>
      <c r="B25" s="6">
        <v>11213.738554889263</v>
      </c>
      <c r="C25" s="1">
        <v>0</v>
      </c>
      <c r="D25" s="1">
        <v>0</v>
      </c>
      <c r="E25" s="1">
        <v>0</v>
      </c>
      <c r="F25" s="1">
        <v>0</v>
      </c>
      <c r="G25" s="9">
        <f>SUM(ME_FINANCIAL)</f>
        <v>11213.738554889263</v>
      </c>
      <c r="I25" s="13"/>
      <c r="J25" s="16"/>
      <c r="L25" s="6"/>
      <c r="V25" s="9"/>
    </row>
    <row r="26" spans="1:22">
      <c r="A26" s="1" t="s">
        <v>45</v>
      </c>
      <c r="B26" s="6">
        <v>131459.19025584747</v>
      </c>
      <c r="C26" s="1">
        <v>0</v>
      </c>
      <c r="D26" s="1">
        <v>0</v>
      </c>
      <c r="E26" s="1">
        <v>0</v>
      </c>
      <c r="F26" s="1">
        <v>0</v>
      </c>
      <c r="G26" s="9">
        <f>SUM(MD_FINANCIAL)</f>
        <v>131459.19025584747</v>
      </c>
      <c r="I26" s="13" t="s">
        <v>46</v>
      </c>
      <c r="J26" s="16">
        <f>SUM(ADD_FINANCIAL)-SUM(LESS_FINANCIAL)</f>
        <v>215837046.11798137</v>
      </c>
      <c r="L26" s="6"/>
      <c r="V26" s="9"/>
    </row>
    <row r="27" spans="1:22">
      <c r="A27" s="1" t="s">
        <v>47</v>
      </c>
      <c r="B27" s="6">
        <v>0</v>
      </c>
      <c r="C27" s="1">
        <v>0</v>
      </c>
      <c r="D27" s="1">
        <v>0</v>
      </c>
      <c r="E27" s="1">
        <v>0</v>
      </c>
      <c r="F27" s="1">
        <v>0</v>
      </c>
      <c r="G27" s="9">
        <f>SUM(MA_FINANCIAL)</f>
        <v>0</v>
      </c>
      <c r="I27" s="13" t="s">
        <v>48</v>
      </c>
      <c r="J27" s="16">
        <f>SUM(ALL_BLOCKS)</f>
        <v>215837046.11798143</v>
      </c>
      <c r="L27" s="6"/>
      <c r="V27" s="9"/>
    </row>
    <row r="28" spans="1:22">
      <c r="A28" s="1" t="s">
        <v>49</v>
      </c>
      <c r="B28" s="6">
        <v>298671.97554248641</v>
      </c>
      <c r="C28" s="1">
        <v>0</v>
      </c>
      <c r="D28" s="1">
        <v>0</v>
      </c>
      <c r="E28" s="1">
        <v>0</v>
      </c>
      <c r="F28" s="1">
        <v>0</v>
      </c>
      <c r="G28" s="9">
        <f>SUM(MI_FINANCIAL)</f>
        <v>298671.97554248641</v>
      </c>
      <c r="I28" s="14"/>
      <c r="J28" s="17"/>
      <c r="L28" s="6"/>
      <c r="V28" s="9"/>
    </row>
    <row r="29" spans="1:22">
      <c r="A29" s="1" t="s">
        <v>50</v>
      </c>
      <c r="B29" s="6">
        <v>234986.48204953104</v>
      </c>
      <c r="C29" s="1">
        <v>757.51058146644573</v>
      </c>
      <c r="D29" s="1">
        <v>0</v>
      </c>
      <c r="E29" s="1">
        <v>0</v>
      </c>
      <c r="F29" s="1">
        <v>0</v>
      </c>
      <c r="G29" s="9">
        <f>SUM(MN_FINANCIAL)</f>
        <v>235743.9926309975</v>
      </c>
      <c r="L29" s="6"/>
      <c r="V29" s="9"/>
    </row>
    <row r="30" spans="1:22">
      <c r="A30" s="1" t="s">
        <v>51</v>
      </c>
      <c r="B30" s="6">
        <v>-218167.96027419</v>
      </c>
      <c r="C30" s="1">
        <v>0</v>
      </c>
      <c r="D30" s="1">
        <v>0</v>
      </c>
      <c r="E30" s="1">
        <v>0</v>
      </c>
      <c r="F30" s="1">
        <v>0</v>
      </c>
      <c r="G30" s="9">
        <f>SUM(MS_FINANCIAL)</f>
        <v>-218167.96027419</v>
      </c>
      <c r="L30" s="6"/>
      <c r="V30" s="9"/>
    </row>
    <row r="31" spans="1:22">
      <c r="A31" s="1" t="s">
        <v>52</v>
      </c>
      <c r="B31" s="6">
        <v>92412989.222529739</v>
      </c>
      <c r="C31" s="1">
        <v>97809.96219906956</v>
      </c>
      <c r="D31" s="1">
        <v>0</v>
      </c>
      <c r="E31" s="1">
        <v>0</v>
      </c>
      <c r="F31" s="1">
        <v>0</v>
      </c>
      <c r="G31" s="9">
        <f>SUM(MO_FINANCIAL)</f>
        <v>92510799.184728801</v>
      </c>
      <c r="L31" s="6">
        <v>114491630</v>
      </c>
      <c r="M31" s="1">
        <v>0</v>
      </c>
      <c r="O31" s="1">
        <v>0</v>
      </c>
      <c r="P31" s="1">
        <v>0</v>
      </c>
      <c r="R31" s="1">
        <v>0</v>
      </c>
      <c r="S31" s="1">
        <v>0</v>
      </c>
      <c r="U31" s="1">
        <v>0</v>
      </c>
      <c r="V31" s="9">
        <v>0</v>
      </c>
    </row>
    <row r="32" spans="1:22">
      <c r="A32" s="1" t="s">
        <v>53</v>
      </c>
      <c r="B32" s="6">
        <v>127115.8100588255</v>
      </c>
      <c r="C32" s="1">
        <v>0</v>
      </c>
      <c r="D32" s="1">
        <v>0</v>
      </c>
      <c r="E32" s="1">
        <v>0</v>
      </c>
      <c r="F32" s="1">
        <v>0</v>
      </c>
      <c r="G32" s="9">
        <f>SUM(MT_FINANCIAL)</f>
        <v>127115.8100588255</v>
      </c>
      <c r="L32" s="6"/>
      <c r="V32" s="9"/>
    </row>
    <row r="33" spans="1:22">
      <c r="A33" s="1" t="s">
        <v>54</v>
      </c>
      <c r="B33" s="6">
        <v>2651187.003104663</v>
      </c>
      <c r="C33" s="1">
        <v>0</v>
      </c>
      <c r="D33" s="1">
        <v>0</v>
      </c>
      <c r="E33" s="1">
        <v>0</v>
      </c>
      <c r="F33" s="1">
        <v>0</v>
      </c>
      <c r="G33" s="9">
        <f>SUM(NE_FINANCIAL)</f>
        <v>2651187.003104663</v>
      </c>
      <c r="L33" s="6"/>
      <c r="V33" s="9"/>
    </row>
    <row r="34" spans="1:22">
      <c r="A34" s="1" t="s">
        <v>55</v>
      </c>
      <c r="B34" s="6">
        <v>94930.694450458803</v>
      </c>
      <c r="C34" s="1">
        <v>0</v>
      </c>
      <c r="D34" s="1">
        <v>0</v>
      </c>
      <c r="E34" s="1">
        <v>0</v>
      </c>
      <c r="F34" s="1">
        <v>0</v>
      </c>
      <c r="G34" s="9">
        <f>SUM(NV_FINANCIAL)</f>
        <v>94930.694450458803</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97782.218950525916</v>
      </c>
      <c r="C37" s="1">
        <v>0</v>
      </c>
      <c r="D37" s="1">
        <v>0</v>
      </c>
      <c r="E37" s="1">
        <v>0</v>
      </c>
      <c r="F37" s="1">
        <v>0</v>
      </c>
      <c r="G37" s="9">
        <f>SUM(NM_FINANCIAL)</f>
        <v>97782.218950525916</v>
      </c>
      <c r="L37" s="6"/>
      <c r="V37" s="9"/>
    </row>
    <row r="38" spans="1:22">
      <c r="A38" s="1" t="s">
        <v>59</v>
      </c>
      <c r="B38" s="6">
        <v>0</v>
      </c>
      <c r="C38" s="1">
        <v>0</v>
      </c>
      <c r="D38" s="1">
        <v>0</v>
      </c>
      <c r="E38" s="1">
        <v>0</v>
      </c>
      <c r="F38" s="1">
        <v>0</v>
      </c>
      <c r="G38" s="9">
        <f>SUM(NY_FINANCIAL)</f>
        <v>0</v>
      </c>
      <c r="L38" s="6"/>
      <c r="V38" s="9"/>
    </row>
    <row r="39" spans="1:22">
      <c r="A39" s="1" t="s">
        <v>60</v>
      </c>
      <c r="B39" s="6">
        <v>-463515.71937962226</v>
      </c>
      <c r="C39" s="1">
        <v>0</v>
      </c>
      <c r="D39" s="1">
        <v>0</v>
      </c>
      <c r="E39" s="1">
        <v>0</v>
      </c>
      <c r="F39" s="1">
        <v>0</v>
      </c>
      <c r="G39" s="9">
        <f>SUM(NC_FINANCIAL)</f>
        <v>-463515.71937962226</v>
      </c>
      <c r="L39" s="6"/>
      <c r="V39" s="9"/>
    </row>
    <row r="40" spans="1:22">
      <c r="A40" s="1" t="s">
        <v>61</v>
      </c>
      <c r="B40" s="6">
        <v>4249.6923839689352</v>
      </c>
      <c r="C40" s="1">
        <v>0</v>
      </c>
      <c r="D40" s="1">
        <v>0</v>
      </c>
      <c r="E40" s="1">
        <v>0</v>
      </c>
      <c r="F40" s="1">
        <v>0</v>
      </c>
      <c r="G40" s="9">
        <f>SUM(ND_FINANCIAL)</f>
        <v>4249.6923839689352</v>
      </c>
      <c r="L40" s="6"/>
      <c r="V40" s="9"/>
    </row>
    <row r="41" spans="1:22">
      <c r="A41" s="1" t="s">
        <v>62</v>
      </c>
      <c r="B41" s="6">
        <v>10766181.555205958</v>
      </c>
      <c r="C41" s="1">
        <v>0</v>
      </c>
      <c r="D41" s="1">
        <v>0</v>
      </c>
      <c r="E41" s="1">
        <v>0</v>
      </c>
      <c r="F41" s="1">
        <v>0</v>
      </c>
      <c r="G41" s="9">
        <f>SUM(OH_FINANCIAL)</f>
        <v>10766181.555205958</v>
      </c>
      <c r="L41" s="6">
        <v>7600000</v>
      </c>
      <c r="M41" s="1">
        <v>0</v>
      </c>
      <c r="O41" s="1">
        <v>0</v>
      </c>
      <c r="P41" s="1">
        <v>0</v>
      </c>
      <c r="R41" s="1">
        <v>0</v>
      </c>
      <c r="S41" s="1">
        <v>0</v>
      </c>
      <c r="U41" s="1">
        <v>0</v>
      </c>
      <c r="V41" s="9">
        <v>0</v>
      </c>
    </row>
    <row r="42" spans="1:22">
      <c r="A42" s="1" t="s">
        <v>63</v>
      </c>
      <c r="B42" s="6">
        <v>10523256.405743524</v>
      </c>
      <c r="C42" s="1">
        <v>0</v>
      </c>
      <c r="D42" s="1">
        <v>0</v>
      </c>
      <c r="E42" s="1">
        <v>0</v>
      </c>
      <c r="F42" s="1">
        <v>0</v>
      </c>
      <c r="G42" s="9">
        <f>SUM(OK_FINANCIAL)</f>
        <v>10523256.405743524</v>
      </c>
      <c r="L42" s="6">
        <v>15200000</v>
      </c>
      <c r="M42" s="1">
        <v>0</v>
      </c>
      <c r="O42" s="1">
        <v>0</v>
      </c>
      <c r="P42" s="1">
        <v>0</v>
      </c>
      <c r="R42" s="1">
        <v>0</v>
      </c>
      <c r="S42" s="1">
        <v>0</v>
      </c>
      <c r="U42" s="1">
        <v>0</v>
      </c>
      <c r="V42" s="9">
        <v>0</v>
      </c>
    </row>
    <row r="43" spans="1:22">
      <c r="A43" s="1" t="s">
        <v>64</v>
      </c>
      <c r="B43" s="6">
        <v>115768.37548287312</v>
      </c>
      <c r="C43" s="1">
        <v>0</v>
      </c>
      <c r="D43" s="1">
        <v>0</v>
      </c>
      <c r="E43" s="1">
        <v>0</v>
      </c>
      <c r="F43" s="1">
        <v>0</v>
      </c>
      <c r="G43" s="9">
        <f>SUM(OR_FINANCIAL)</f>
        <v>115768.37548287312</v>
      </c>
      <c r="L43" s="6"/>
      <c r="V43" s="9"/>
    </row>
    <row r="44" spans="1:22">
      <c r="A44" s="1" t="s">
        <v>65</v>
      </c>
      <c r="B44" s="6">
        <v>2639321.1424649768</v>
      </c>
      <c r="C44" s="1">
        <v>11817.370225017756</v>
      </c>
      <c r="D44" s="1">
        <v>0</v>
      </c>
      <c r="E44" s="1">
        <v>0</v>
      </c>
      <c r="F44" s="1">
        <v>0</v>
      </c>
      <c r="G44" s="9">
        <f>SUM(PA_FINANCIAL)</f>
        <v>2651138.5126899946</v>
      </c>
      <c r="L44" s="6">
        <v>2080000</v>
      </c>
      <c r="M44" s="1">
        <v>0</v>
      </c>
      <c r="O44" s="1">
        <v>0</v>
      </c>
      <c r="P44" s="1">
        <v>0</v>
      </c>
      <c r="R44" s="1">
        <v>0</v>
      </c>
      <c r="S44" s="1">
        <v>0</v>
      </c>
      <c r="U44" s="1">
        <v>0</v>
      </c>
      <c r="V44" s="9">
        <v>0</v>
      </c>
    </row>
    <row r="45" spans="1:22">
      <c r="A45" s="1" t="s">
        <v>66</v>
      </c>
      <c r="B45" s="6">
        <v>0</v>
      </c>
      <c r="C45" s="1">
        <v>0</v>
      </c>
      <c r="D45" s="1">
        <v>0</v>
      </c>
      <c r="E45" s="1">
        <v>0</v>
      </c>
      <c r="F45" s="1">
        <v>0</v>
      </c>
      <c r="G45" s="9">
        <f>SUM(PR_FINANCIAL)</f>
        <v>0</v>
      </c>
      <c r="L45" s="6"/>
      <c r="V45" s="9"/>
    </row>
    <row r="46" spans="1:22">
      <c r="A46" s="1" t="s">
        <v>67</v>
      </c>
      <c r="B46" s="6">
        <v>7479.8081608306966</v>
      </c>
      <c r="C46" s="1">
        <v>0</v>
      </c>
      <c r="D46" s="1">
        <v>0</v>
      </c>
      <c r="E46" s="1">
        <v>0</v>
      </c>
      <c r="F46" s="1">
        <v>0</v>
      </c>
      <c r="G46" s="9">
        <f>SUM(RI_FINANCIAL)</f>
        <v>7479.8081608306966</v>
      </c>
      <c r="L46" s="6">
        <v>20000</v>
      </c>
      <c r="M46" s="1">
        <v>0</v>
      </c>
      <c r="O46" s="1">
        <v>0</v>
      </c>
      <c r="P46" s="1">
        <v>0</v>
      </c>
      <c r="R46" s="1">
        <v>0</v>
      </c>
      <c r="S46" s="1">
        <v>0</v>
      </c>
      <c r="U46" s="1">
        <v>0</v>
      </c>
      <c r="V46" s="9">
        <v>0</v>
      </c>
    </row>
    <row r="47" spans="1:22">
      <c r="A47" s="1" t="s">
        <v>68</v>
      </c>
      <c r="B47" s="6">
        <v>-258633.40121234849</v>
      </c>
      <c r="C47" s="1">
        <v>0</v>
      </c>
      <c r="D47" s="1">
        <v>0</v>
      </c>
      <c r="E47" s="1">
        <v>0</v>
      </c>
      <c r="F47" s="1">
        <v>0</v>
      </c>
      <c r="G47" s="9">
        <f>SUM(SC_FINANCIAL)</f>
        <v>-258633.40121234849</v>
      </c>
      <c r="L47" s="6"/>
      <c r="V47" s="9"/>
    </row>
    <row r="48" spans="1:22">
      <c r="A48" s="1" t="s">
        <v>69</v>
      </c>
      <c r="B48" s="6">
        <v>122603.8958986958</v>
      </c>
      <c r="C48" s="1">
        <v>0</v>
      </c>
      <c r="D48" s="1">
        <v>0</v>
      </c>
      <c r="E48" s="1">
        <v>0</v>
      </c>
      <c r="F48" s="1">
        <v>0</v>
      </c>
      <c r="G48" s="9">
        <f>SUM(SD_FINANCIAL)</f>
        <v>122603.8958986958</v>
      </c>
      <c r="L48" s="6"/>
      <c r="V48" s="9"/>
    </row>
    <row r="49" spans="1:22">
      <c r="A49" s="1" t="s">
        <v>70</v>
      </c>
      <c r="B49" s="6">
        <v>3881973.3086304003</v>
      </c>
      <c r="C49" s="1">
        <v>2173.1336993357982</v>
      </c>
      <c r="D49" s="1">
        <v>0</v>
      </c>
      <c r="E49" s="1">
        <v>0</v>
      </c>
      <c r="F49" s="1">
        <v>0</v>
      </c>
      <c r="G49" s="9">
        <f>SUM(TN_FINANCIAL)</f>
        <v>3884146.442329736</v>
      </c>
      <c r="L49" s="6"/>
      <c r="V49" s="9"/>
    </row>
    <row r="50" spans="1:22">
      <c r="A50" s="1" t="s">
        <v>71</v>
      </c>
      <c r="B50" s="6">
        <v>1075390.1461246419</v>
      </c>
      <c r="C50" s="1">
        <v>3308.2360005526571</v>
      </c>
      <c r="D50" s="1">
        <v>0</v>
      </c>
      <c r="E50" s="1">
        <v>0</v>
      </c>
      <c r="F50" s="1">
        <v>0</v>
      </c>
      <c r="G50" s="9">
        <f>SUM(TX_FINANCIAL)</f>
        <v>1078698.3821251947</v>
      </c>
      <c r="L50" s="6">
        <v>19061000</v>
      </c>
      <c r="M50" s="1">
        <v>0</v>
      </c>
      <c r="O50" s="1">
        <v>0</v>
      </c>
      <c r="P50" s="1">
        <v>0</v>
      </c>
      <c r="R50" s="1">
        <v>0</v>
      </c>
      <c r="S50" s="1">
        <v>0</v>
      </c>
      <c r="U50" s="1">
        <v>0</v>
      </c>
      <c r="V50" s="9">
        <v>0</v>
      </c>
    </row>
    <row r="51" spans="1:22">
      <c r="A51" s="1" t="s">
        <v>72</v>
      </c>
      <c r="B51" s="6">
        <v>41608.466851604273</v>
      </c>
      <c r="C51" s="1">
        <v>0</v>
      </c>
      <c r="D51" s="1">
        <v>0</v>
      </c>
      <c r="E51" s="1">
        <v>0</v>
      </c>
      <c r="F51" s="1">
        <v>0</v>
      </c>
      <c r="G51" s="9">
        <f>SUM(UT_FINANCIAL)</f>
        <v>41608.466851604273</v>
      </c>
      <c r="L51" s="6"/>
      <c r="V51" s="9"/>
    </row>
    <row r="52" spans="1:22">
      <c r="A52" s="1" t="s">
        <v>73</v>
      </c>
      <c r="B52" s="6">
        <v>1987.8733286414354</v>
      </c>
      <c r="C52" s="1">
        <v>0</v>
      </c>
      <c r="D52" s="1">
        <v>0</v>
      </c>
      <c r="E52" s="1">
        <v>0</v>
      </c>
      <c r="F52" s="1">
        <v>0</v>
      </c>
      <c r="G52" s="9">
        <f>SUM(VT_FINANCIAL)</f>
        <v>1987.8733286414354</v>
      </c>
      <c r="L52" s="6"/>
      <c r="V52" s="9"/>
    </row>
    <row r="53" spans="1:22">
      <c r="A53" s="1" t="s">
        <v>74</v>
      </c>
      <c r="B53" s="6">
        <v>62040.859858584969</v>
      </c>
      <c r="C53" s="1">
        <v>398.64621059383444</v>
      </c>
      <c r="D53" s="1">
        <v>0</v>
      </c>
      <c r="E53" s="1">
        <v>0</v>
      </c>
      <c r="F53" s="1">
        <v>0</v>
      </c>
      <c r="G53" s="9">
        <f>SUM(VA_FINANCIAL)</f>
        <v>62439.506069178802</v>
      </c>
      <c r="L53" s="6"/>
      <c r="V53" s="9"/>
    </row>
    <row r="54" spans="1:22">
      <c r="A54" s="1" t="s">
        <v>75</v>
      </c>
      <c r="B54" s="6">
        <v>90459.167500541807</v>
      </c>
      <c r="C54" s="1">
        <v>0</v>
      </c>
      <c r="D54" s="1">
        <v>0</v>
      </c>
      <c r="E54" s="1">
        <v>0</v>
      </c>
      <c r="F54" s="1">
        <v>0</v>
      </c>
      <c r="G54" s="9">
        <f>SUM(WA_FINANCIAL)</f>
        <v>90459.167500541807</v>
      </c>
      <c r="L54" s="6"/>
      <c r="V54" s="9"/>
    </row>
    <row r="55" spans="1:22">
      <c r="A55" s="1" t="s">
        <v>76</v>
      </c>
      <c r="B55" s="6">
        <v>54520.05864467434</v>
      </c>
      <c r="C55" s="1">
        <v>0</v>
      </c>
      <c r="D55" s="1">
        <v>0</v>
      </c>
      <c r="E55" s="1">
        <v>0</v>
      </c>
      <c r="F55" s="1">
        <v>0</v>
      </c>
      <c r="G55" s="9">
        <f>SUM(WV_FINANCIAL)</f>
        <v>54520.05864467434</v>
      </c>
      <c r="L55" s="6">
        <v>150000</v>
      </c>
      <c r="M55" s="1">
        <v>0</v>
      </c>
      <c r="O55" s="1">
        <v>0</v>
      </c>
      <c r="P55" s="1">
        <v>0</v>
      </c>
      <c r="R55" s="1">
        <v>0</v>
      </c>
      <c r="S55" s="1">
        <v>0</v>
      </c>
      <c r="U55" s="1">
        <v>0</v>
      </c>
      <c r="V55" s="9">
        <v>0</v>
      </c>
    </row>
    <row r="56" spans="1:22">
      <c r="A56" s="1" t="s">
        <v>77</v>
      </c>
      <c r="B56" s="6">
        <v>306656.35092499095</v>
      </c>
      <c r="C56" s="1">
        <v>0</v>
      </c>
      <c r="D56" s="1">
        <v>0</v>
      </c>
      <c r="E56" s="1">
        <v>0</v>
      </c>
      <c r="F56" s="1">
        <v>0</v>
      </c>
      <c r="G56" s="9">
        <f>SUM(WI_FINANCIAL)</f>
        <v>306656.35092499095</v>
      </c>
      <c r="L56" s="6"/>
      <c r="V56" s="9"/>
    </row>
    <row r="57" spans="1:22">
      <c r="A57" s="1" t="s">
        <v>78</v>
      </c>
      <c r="B57" s="6">
        <v>21847.11368277212</v>
      </c>
      <c r="C57" s="1">
        <v>0</v>
      </c>
      <c r="D57" s="1">
        <v>0</v>
      </c>
      <c r="E57" s="1">
        <v>0</v>
      </c>
      <c r="F57" s="1">
        <v>0</v>
      </c>
      <c r="G57" s="9">
        <f>SUM(WY_FINANCIAL)</f>
        <v>21847.11368277212</v>
      </c>
      <c r="L57" s="6">
        <v>35000</v>
      </c>
      <c r="M57" s="1">
        <v>0</v>
      </c>
      <c r="O57" s="1">
        <v>0</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215547664.15040329</v>
      </c>
      <c r="C60" s="1">
        <f>SUM(ALLOCATED)</f>
        <v>289381.96757808828</v>
      </c>
      <c r="D60" s="1">
        <f>SUM(HEALTH)</f>
        <v>0</v>
      </c>
      <c r="E60" s="1">
        <f>SUM(UNALLOCATED)</f>
        <v>0</v>
      </c>
      <c r="F60" s="1">
        <f>SUM(LTC)</f>
        <v>0</v>
      </c>
      <c r="G60" s="9">
        <f>SUM(ALL_BLOCKS)</f>
        <v>215837046.11798143</v>
      </c>
      <c r="L60" s="6">
        <f>SUM(LIFE_CALLED)</f>
        <v>269790522</v>
      </c>
      <c r="M60" s="1">
        <f>SUM(LIFE_REFUNDED)</f>
        <v>0</v>
      </c>
      <c r="O60" s="1">
        <f>SUM(ALLOC_CALLED)</f>
        <v>600000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85</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57273.156032236482</v>
      </c>
      <c r="C6" s="1">
        <v>624555.87701270473</v>
      </c>
      <c r="D6" s="1">
        <v>109496.46902809915</v>
      </c>
      <c r="E6" s="1">
        <v>0</v>
      </c>
      <c r="F6" s="1">
        <v>0</v>
      </c>
      <c r="G6" s="9">
        <f>SUM(AL_FINANCIAL)</f>
        <v>791325.50207304046</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4652553</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1016861</v>
      </c>
      <c r="L13" s="6"/>
      <c r="V13" s="9"/>
    </row>
    <row r="14" spans="1:22">
      <c r="A14" s="1" t="s">
        <v>23</v>
      </c>
      <c r="B14" s="6">
        <v>0</v>
      </c>
      <c r="C14" s="1">
        <v>0</v>
      </c>
      <c r="D14" s="1">
        <v>0</v>
      </c>
      <c r="E14" s="1">
        <v>0</v>
      </c>
      <c r="F14" s="1">
        <v>0</v>
      </c>
      <c r="G14" s="9">
        <f>SUM(DC_FINANCIAL)</f>
        <v>0</v>
      </c>
      <c r="I14" s="13" t="s">
        <v>24</v>
      </c>
      <c r="J14" s="16">
        <v>353451.99999999994</v>
      </c>
      <c r="L14" s="6"/>
      <c r="V14" s="9"/>
    </row>
    <row r="15" spans="1:22">
      <c r="A15" s="1" t="s">
        <v>25</v>
      </c>
      <c r="B15" s="6">
        <v>20590.496552691409</v>
      </c>
      <c r="C15" s="1">
        <v>127092.42922570181</v>
      </c>
      <c r="D15" s="1">
        <v>4233689.8618493881</v>
      </c>
      <c r="E15" s="1">
        <v>0</v>
      </c>
      <c r="F15" s="1">
        <v>0</v>
      </c>
      <c r="G15" s="9">
        <f>SUM(FL_FINANCIAL)</f>
        <v>4381372.7876277817</v>
      </c>
      <c r="I15" s="13" t="s">
        <v>26</v>
      </c>
      <c r="J15" s="16">
        <v>534742.50999999989</v>
      </c>
      <c r="L15" s="6"/>
      <c r="V15" s="9"/>
    </row>
    <row r="16" spans="1:22">
      <c r="A16" s="1" t="s">
        <v>27</v>
      </c>
      <c r="B16" s="6">
        <v>893.23797305386756</v>
      </c>
      <c r="C16" s="1">
        <v>0</v>
      </c>
      <c r="D16" s="1">
        <v>71551.413737281939</v>
      </c>
      <c r="E16" s="1">
        <v>0</v>
      </c>
      <c r="F16" s="1">
        <v>0</v>
      </c>
      <c r="G16" s="9">
        <f>SUM(GA_FINANCIAL)</f>
        <v>72444.651710335806</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732116</v>
      </c>
      <c r="L19" s="6"/>
      <c r="V19" s="9"/>
    </row>
    <row r="20" spans="1:22">
      <c r="A20" s="1" t="s">
        <v>34</v>
      </c>
      <c r="B20" s="6">
        <v>0</v>
      </c>
      <c r="C20" s="1">
        <v>0</v>
      </c>
      <c r="D20" s="1">
        <v>0</v>
      </c>
      <c r="E20" s="1">
        <v>0</v>
      </c>
      <c r="F20" s="1">
        <v>0</v>
      </c>
      <c r="G20" s="9">
        <f>SUM(IN_FINANCIAL)</f>
        <v>0</v>
      </c>
      <c r="I20" s="13" t="s">
        <v>35</v>
      </c>
      <c r="J20" s="16">
        <v>316112</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-1274180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735.71018241730019</v>
      </c>
      <c r="C24" s="1">
        <v>69176.665663847598</v>
      </c>
      <c r="D24" s="1">
        <v>1688.6041825223645</v>
      </c>
      <c r="E24" s="1">
        <v>0</v>
      </c>
      <c r="F24" s="1">
        <v>0</v>
      </c>
      <c r="G24" s="9">
        <f>SUM(LA_FINANCIAL)</f>
        <v>71600.980028787264</v>
      </c>
      <c r="I24" s="13" t="s">
        <v>43</v>
      </c>
      <c r="J24" s="16">
        <v>1397619</v>
      </c>
      <c r="L24" s="6">
        <v>10971</v>
      </c>
      <c r="M24" s="1">
        <v>0</v>
      </c>
      <c r="O24" s="1">
        <v>0</v>
      </c>
      <c r="P24" s="1">
        <v>0</v>
      </c>
      <c r="R24" s="1">
        <v>148029</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5385941.5099999998</v>
      </c>
      <c r="L26" s="6"/>
      <c r="V26" s="9"/>
    </row>
    <row r="27" spans="1:22">
      <c r="A27" s="1" t="s">
        <v>47</v>
      </c>
      <c r="B27" s="6">
        <v>0</v>
      </c>
      <c r="C27" s="1">
        <v>0</v>
      </c>
      <c r="D27" s="1">
        <v>0</v>
      </c>
      <c r="E27" s="1">
        <v>0</v>
      </c>
      <c r="F27" s="1">
        <v>0</v>
      </c>
      <c r="G27" s="9">
        <f>SUM(MA_FINANCIAL)</f>
        <v>0</v>
      </c>
      <c r="I27" s="13" t="s">
        <v>48</v>
      </c>
      <c r="J27" s="16">
        <f>SUM(ALL_BLOCKS)</f>
        <v>5385941.5099999998</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16005.0603011237</v>
      </c>
      <c r="C30" s="1">
        <v>34292.864470502202</v>
      </c>
      <c r="D30" s="1">
        <v>18899.663788428334</v>
      </c>
      <c r="E30" s="1">
        <v>0</v>
      </c>
      <c r="F30" s="1">
        <v>0</v>
      </c>
      <c r="G30" s="9">
        <f>SUM(MS_FINANCIAL)</f>
        <v>69197.588560054224</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95497.661041522748</v>
      </c>
      <c r="C60" s="1">
        <f>SUM(ALLOCATED)</f>
        <v>855117.8363727564</v>
      </c>
      <c r="D60" s="1">
        <f>SUM(HEALTH)</f>
        <v>4435326.012585721</v>
      </c>
      <c r="E60" s="1">
        <f>SUM(UNALLOCATED)</f>
        <v>0</v>
      </c>
      <c r="F60" s="1">
        <f>SUM(LTC)</f>
        <v>0</v>
      </c>
      <c r="G60" s="9">
        <f>SUM(ALL_BLOCKS)</f>
        <v>5385941.5099999998</v>
      </c>
      <c r="L60" s="6">
        <f>SUM(LIFE_CALLED)</f>
        <v>10971</v>
      </c>
      <c r="M60" s="1">
        <f>SUM(LIFE_REFUNDED)</f>
        <v>0</v>
      </c>
      <c r="O60" s="1">
        <f>SUM(ALLOC_CALLED)</f>
        <v>0</v>
      </c>
      <c r="P60" s="1">
        <f>SUM(ALLOC_REFUNDED)</f>
        <v>0</v>
      </c>
      <c r="R60" s="1">
        <f>SUM(HEALTH_CALLED)</f>
        <v>148029</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139</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441199.44073607604</v>
      </c>
      <c r="D6" s="1">
        <v>0</v>
      </c>
      <c r="E6" s="1">
        <v>0</v>
      </c>
      <c r="F6" s="1">
        <v>0</v>
      </c>
      <c r="G6" s="9">
        <f>SUM(AL_FINANCIAL)</f>
        <v>441199.44073607604</v>
      </c>
      <c r="L6" s="6"/>
      <c r="V6" s="9"/>
    </row>
    <row r="7" spans="1:22">
      <c r="A7" s="1" t="s">
        <v>12</v>
      </c>
      <c r="B7" s="6">
        <v>0</v>
      </c>
      <c r="C7" s="1">
        <v>13721.077526691588</v>
      </c>
      <c r="D7" s="1">
        <v>0</v>
      </c>
      <c r="E7" s="1">
        <v>0</v>
      </c>
      <c r="F7" s="1">
        <v>0</v>
      </c>
      <c r="G7" s="9">
        <f>SUM(AK_FINANCIAL)</f>
        <v>13721.077526691588</v>
      </c>
      <c r="I7" s="12"/>
      <c r="J7" s="15"/>
      <c r="L7" s="6"/>
      <c r="V7" s="9"/>
    </row>
    <row r="8" spans="1:22">
      <c r="A8" s="1" t="s">
        <v>13</v>
      </c>
      <c r="B8" s="6">
        <v>0</v>
      </c>
      <c r="C8" s="1">
        <v>1350463.539241825</v>
      </c>
      <c r="D8" s="1">
        <v>0</v>
      </c>
      <c r="E8" s="1">
        <v>0</v>
      </c>
      <c r="F8" s="1">
        <v>0</v>
      </c>
      <c r="G8" s="9">
        <f>SUM(AZ_FINANCIAL)</f>
        <v>1350463.539241825</v>
      </c>
      <c r="I8" s="13" t="s">
        <v>14</v>
      </c>
      <c r="J8" s="16"/>
      <c r="L8" s="6"/>
      <c r="V8" s="9"/>
    </row>
    <row r="9" spans="1:22">
      <c r="A9" s="1" t="s">
        <v>15</v>
      </c>
      <c r="B9" s="6">
        <v>0</v>
      </c>
      <c r="C9" s="1">
        <v>533606.67904211441</v>
      </c>
      <c r="D9" s="1">
        <v>0</v>
      </c>
      <c r="E9" s="1">
        <v>0</v>
      </c>
      <c r="F9" s="1">
        <v>0</v>
      </c>
      <c r="G9" s="9">
        <f>SUM(AR_FINANCIAL)</f>
        <v>533606.67904211441</v>
      </c>
      <c r="I9" s="13"/>
      <c r="J9" s="16"/>
      <c r="L9" s="6">
        <v>658068</v>
      </c>
      <c r="M9" s="1">
        <v>0</v>
      </c>
      <c r="O9" s="1">
        <v>0</v>
      </c>
      <c r="P9" s="1">
        <v>0</v>
      </c>
      <c r="R9" s="1">
        <v>0</v>
      </c>
      <c r="S9" s="1">
        <v>0</v>
      </c>
      <c r="U9" s="1">
        <v>0</v>
      </c>
      <c r="V9" s="9">
        <v>0</v>
      </c>
    </row>
    <row r="10" spans="1:22">
      <c r="A10" s="1" t="s">
        <v>16</v>
      </c>
      <c r="B10" s="6">
        <v>0</v>
      </c>
      <c r="C10" s="1">
        <v>11045504.054577764</v>
      </c>
      <c r="D10" s="1">
        <v>0</v>
      </c>
      <c r="E10" s="1">
        <v>0</v>
      </c>
      <c r="F10" s="1">
        <v>0</v>
      </c>
      <c r="G10" s="9">
        <f>SUM(CA_FINANCIAL)</f>
        <v>11045504.054577764</v>
      </c>
      <c r="I10" s="13" t="s">
        <v>17</v>
      </c>
      <c r="J10" s="16">
        <v>1335156397.4969995</v>
      </c>
      <c r="L10" s="6">
        <v>0</v>
      </c>
      <c r="M10" s="1">
        <v>0</v>
      </c>
      <c r="O10" s="1">
        <v>15000000</v>
      </c>
      <c r="P10" s="1">
        <v>0</v>
      </c>
      <c r="R10" s="1">
        <v>0</v>
      </c>
      <c r="S10" s="1">
        <v>0</v>
      </c>
      <c r="U10" s="1">
        <v>0</v>
      </c>
      <c r="V10" s="9">
        <v>0</v>
      </c>
    </row>
    <row r="11" spans="1:22">
      <c r="A11" s="1" t="s">
        <v>18</v>
      </c>
      <c r="B11" s="6">
        <v>0</v>
      </c>
      <c r="C11" s="1">
        <v>1820852.8127975594</v>
      </c>
      <c r="D11" s="1">
        <v>0</v>
      </c>
      <c r="E11" s="1">
        <v>0</v>
      </c>
      <c r="F11" s="1">
        <v>0</v>
      </c>
      <c r="G11" s="9">
        <f>SUM(CO_FINANCIAL)</f>
        <v>1820852.8127975594</v>
      </c>
      <c r="I11" s="13"/>
      <c r="J11" s="16"/>
      <c r="L11" s="6">
        <v>0</v>
      </c>
      <c r="M11" s="1">
        <v>0</v>
      </c>
      <c r="O11" s="1">
        <v>2497230</v>
      </c>
      <c r="P11" s="1">
        <v>0</v>
      </c>
      <c r="R11" s="1">
        <v>0</v>
      </c>
      <c r="S11" s="1">
        <v>166536</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137488.26811743391</v>
      </c>
      <c r="D13" s="1">
        <v>0</v>
      </c>
      <c r="E13" s="1">
        <v>0</v>
      </c>
      <c r="F13" s="1">
        <v>0</v>
      </c>
      <c r="G13" s="9">
        <f>SUM(DE_FINANCIAL)</f>
        <v>137488.26811743391</v>
      </c>
      <c r="I13" s="13" t="s">
        <v>22</v>
      </c>
      <c r="J13" s="16">
        <v>215140272.63000038</v>
      </c>
      <c r="L13" s="6"/>
      <c r="V13" s="9"/>
    </row>
    <row r="14" spans="1:22">
      <c r="A14" s="1" t="s">
        <v>23</v>
      </c>
      <c r="B14" s="6">
        <v>0</v>
      </c>
      <c r="C14" s="1">
        <v>44187.575786166664</v>
      </c>
      <c r="D14" s="1">
        <v>0</v>
      </c>
      <c r="E14" s="1">
        <v>0</v>
      </c>
      <c r="F14" s="1">
        <v>0</v>
      </c>
      <c r="G14" s="9">
        <f>SUM(DC_FINANCIAL)</f>
        <v>44187.575786166664</v>
      </c>
      <c r="I14" s="13" t="s">
        <v>24</v>
      </c>
      <c r="J14" s="16">
        <v>2392297.8400000003</v>
      </c>
      <c r="L14" s="6">
        <v>0</v>
      </c>
      <c r="M14" s="1">
        <v>0</v>
      </c>
      <c r="O14" s="1">
        <v>98000</v>
      </c>
      <c r="P14" s="1">
        <v>38000</v>
      </c>
      <c r="R14" s="1">
        <v>0</v>
      </c>
      <c r="S14" s="1">
        <v>0</v>
      </c>
      <c r="U14" s="1">
        <v>0</v>
      </c>
      <c r="V14" s="9">
        <v>0</v>
      </c>
    </row>
    <row r="15" spans="1:22">
      <c r="A15" s="1" t="s">
        <v>25</v>
      </c>
      <c r="B15" s="6">
        <v>0</v>
      </c>
      <c r="C15" s="1">
        <v>7347891.4385647476</v>
      </c>
      <c r="D15" s="1">
        <v>0</v>
      </c>
      <c r="E15" s="1">
        <v>0</v>
      </c>
      <c r="F15" s="1">
        <v>0</v>
      </c>
      <c r="G15" s="9">
        <f>SUM(FL_FINANCIAL)</f>
        <v>7347891.4385647476</v>
      </c>
      <c r="I15" s="13" t="s">
        <v>26</v>
      </c>
      <c r="J15" s="16">
        <v>3229303.9600000014</v>
      </c>
      <c r="L15" s="6"/>
      <c r="V15" s="9"/>
    </row>
    <row r="16" spans="1:22">
      <c r="A16" s="1" t="s">
        <v>27</v>
      </c>
      <c r="B16" s="6">
        <v>0</v>
      </c>
      <c r="C16" s="1">
        <v>1432096.882019534</v>
      </c>
      <c r="D16" s="1">
        <v>0</v>
      </c>
      <c r="E16" s="1">
        <v>0</v>
      </c>
      <c r="F16" s="1">
        <v>0</v>
      </c>
      <c r="G16" s="9">
        <f>SUM(GA_FINANCIAL)</f>
        <v>1432096.882019534</v>
      </c>
      <c r="I16" s="13" t="s">
        <v>28</v>
      </c>
      <c r="J16" s="16">
        <v>0</v>
      </c>
      <c r="L16" s="6"/>
      <c r="V16" s="9"/>
    </row>
    <row r="17" spans="1:22">
      <c r="A17" s="1" t="s">
        <v>29</v>
      </c>
      <c r="B17" s="6">
        <v>0</v>
      </c>
      <c r="C17" s="1">
        <v>78193.47801066727</v>
      </c>
      <c r="D17" s="1">
        <v>0</v>
      </c>
      <c r="E17" s="1">
        <v>0</v>
      </c>
      <c r="F17" s="1">
        <v>0</v>
      </c>
      <c r="G17" s="9">
        <f>SUM(HI_FINANCIAL)</f>
        <v>78193.47801066727</v>
      </c>
      <c r="I17" s="13"/>
      <c r="J17" s="16"/>
      <c r="L17" s="6"/>
      <c r="V17" s="9"/>
    </row>
    <row r="18" spans="1:22">
      <c r="A18" s="1" t="s">
        <v>30</v>
      </c>
      <c r="B18" s="6">
        <v>0</v>
      </c>
      <c r="C18" s="1">
        <v>124634.00081114178</v>
      </c>
      <c r="D18" s="1">
        <v>0</v>
      </c>
      <c r="E18" s="1">
        <v>0</v>
      </c>
      <c r="F18" s="1">
        <v>0</v>
      </c>
      <c r="G18" s="9">
        <f>SUM(ID_FINANCIAL)</f>
        <v>124634.00081114178</v>
      </c>
      <c r="I18" s="13" t="s">
        <v>31</v>
      </c>
      <c r="J18" s="16"/>
      <c r="L18" s="6"/>
      <c r="V18" s="9"/>
    </row>
    <row r="19" spans="1:22">
      <c r="A19" s="1" t="s">
        <v>32</v>
      </c>
      <c r="B19" s="6">
        <v>0</v>
      </c>
      <c r="C19" s="1">
        <v>2214483.4046390392</v>
      </c>
      <c r="D19" s="1">
        <v>0</v>
      </c>
      <c r="E19" s="1">
        <v>0</v>
      </c>
      <c r="F19" s="1">
        <v>0</v>
      </c>
      <c r="G19" s="9">
        <f>SUM(IL_FINANCIAL)</f>
        <v>2214483.4046390392</v>
      </c>
      <c r="I19" s="13" t="s">
        <v>33</v>
      </c>
      <c r="J19" s="16">
        <v>1025571208.7099997</v>
      </c>
      <c r="L19" s="6">
        <v>0</v>
      </c>
      <c r="M19" s="1">
        <v>0</v>
      </c>
      <c r="O19" s="1">
        <v>3500000</v>
      </c>
      <c r="P19" s="1">
        <v>1385000</v>
      </c>
      <c r="R19" s="1">
        <v>0</v>
      </c>
      <c r="S19" s="1">
        <v>0</v>
      </c>
      <c r="U19" s="1">
        <v>0</v>
      </c>
      <c r="V19" s="9">
        <v>0</v>
      </c>
    </row>
    <row r="20" spans="1:22">
      <c r="A20" s="1" t="s">
        <v>34</v>
      </c>
      <c r="B20" s="6">
        <v>0</v>
      </c>
      <c r="C20" s="1">
        <v>5434807.3297822597</v>
      </c>
      <c r="D20" s="1">
        <v>0</v>
      </c>
      <c r="E20" s="1">
        <v>0</v>
      </c>
      <c r="F20" s="1">
        <v>0</v>
      </c>
      <c r="G20" s="9">
        <f>SUM(IN_FINANCIAL)</f>
        <v>5434807.3297822597</v>
      </c>
      <c r="I20" s="13" t="s">
        <v>35</v>
      </c>
      <c r="J20" s="16">
        <v>225230405.92700028</v>
      </c>
      <c r="L20" s="6"/>
      <c r="V20" s="9"/>
    </row>
    <row r="21" spans="1:22">
      <c r="A21" s="1" t="s">
        <v>36</v>
      </c>
      <c r="B21" s="6">
        <v>0</v>
      </c>
      <c r="C21" s="1">
        <v>1093669.3579228101</v>
      </c>
      <c r="D21" s="1">
        <v>0</v>
      </c>
      <c r="E21" s="1">
        <v>0</v>
      </c>
      <c r="F21" s="1">
        <v>0</v>
      </c>
      <c r="G21" s="9">
        <f>SUM(IA_FINANCIAL)</f>
        <v>1093669.3579228101</v>
      </c>
      <c r="I21" s="13" t="s">
        <v>37</v>
      </c>
      <c r="J21" s="16"/>
      <c r="L21" s="6"/>
      <c r="V21" s="9"/>
    </row>
    <row r="22" spans="1:22">
      <c r="A22" s="1" t="s">
        <v>38</v>
      </c>
      <c r="B22" s="6">
        <v>0</v>
      </c>
      <c r="C22" s="1">
        <v>719936.07210268383</v>
      </c>
      <c r="D22" s="1">
        <v>0</v>
      </c>
      <c r="E22" s="1">
        <v>0</v>
      </c>
      <c r="F22" s="1">
        <v>0</v>
      </c>
      <c r="G22" s="9">
        <f>SUM(KS_FINANCIAL)</f>
        <v>719936.07210268383</v>
      </c>
      <c r="I22" s="13" t="s">
        <v>39</v>
      </c>
      <c r="J22" s="16">
        <v>17486425.390000004</v>
      </c>
      <c r="L22" s="6"/>
      <c r="V22" s="9"/>
    </row>
    <row r="23" spans="1:22">
      <c r="A23" s="1" t="s">
        <v>40</v>
      </c>
      <c r="B23" s="6">
        <v>0</v>
      </c>
      <c r="C23" s="1">
        <v>475981.95413519465</v>
      </c>
      <c r="D23" s="1">
        <v>0</v>
      </c>
      <c r="E23" s="1">
        <v>0</v>
      </c>
      <c r="F23" s="1">
        <v>0</v>
      </c>
      <c r="G23" s="9">
        <f>SUM(KY_FINANCIAL)</f>
        <v>475981.95413519465</v>
      </c>
      <c r="I23" s="13" t="s">
        <v>41</v>
      </c>
      <c r="J23" s="16"/>
      <c r="L23" s="6"/>
      <c r="V23" s="9"/>
    </row>
    <row r="24" spans="1:22">
      <c r="A24" s="1" t="s">
        <v>42</v>
      </c>
      <c r="B24" s="6">
        <v>0</v>
      </c>
      <c r="C24" s="1">
        <v>206105.03961592412</v>
      </c>
      <c r="D24" s="1">
        <v>0</v>
      </c>
      <c r="E24" s="1">
        <v>0</v>
      </c>
      <c r="F24" s="1">
        <v>0</v>
      </c>
      <c r="G24" s="9">
        <f>SUM(LA_FINANCIAL)</f>
        <v>206105.03961592412</v>
      </c>
      <c r="I24" s="13" t="s">
        <v>43</v>
      </c>
      <c r="J24" s="16">
        <v>191306153.66000003</v>
      </c>
      <c r="L24" s="6">
        <v>42570</v>
      </c>
      <c r="M24" s="1">
        <v>0</v>
      </c>
      <c r="O24" s="1">
        <v>740430</v>
      </c>
      <c r="P24" s="1">
        <v>0</v>
      </c>
      <c r="R24" s="1">
        <v>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385274.56798442395</v>
      </c>
      <c r="D26" s="1">
        <v>0</v>
      </c>
      <c r="E26" s="1">
        <v>0</v>
      </c>
      <c r="F26" s="1">
        <v>0</v>
      </c>
      <c r="G26" s="9">
        <f>SUM(MD_FINANCIAL)</f>
        <v>385274.56798442395</v>
      </c>
      <c r="I26" s="13" t="s">
        <v>46</v>
      </c>
      <c r="J26" s="16">
        <f>SUM(ADD_FINANCIAL)-SUM(LESS_FINANCIAL)</f>
        <v>96324078.239999533</v>
      </c>
      <c r="L26" s="6"/>
      <c r="V26" s="9"/>
    </row>
    <row r="27" spans="1:22">
      <c r="A27" s="1" t="s">
        <v>47</v>
      </c>
      <c r="B27" s="6">
        <v>0</v>
      </c>
      <c r="C27" s="1">
        <v>0</v>
      </c>
      <c r="D27" s="1">
        <v>0</v>
      </c>
      <c r="E27" s="1">
        <v>0</v>
      </c>
      <c r="F27" s="1">
        <v>0</v>
      </c>
      <c r="G27" s="9">
        <f>SUM(MA_FINANCIAL)</f>
        <v>0</v>
      </c>
      <c r="I27" s="13" t="s">
        <v>48</v>
      </c>
      <c r="J27" s="16">
        <f>SUM(ALL_BLOCKS)</f>
        <v>96324078.240000188</v>
      </c>
      <c r="L27" s="6"/>
      <c r="V27" s="9"/>
    </row>
    <row r="28" spans="1:22">
      <c r="A28" s="1" t="s">
        <v>49</v>
      </c>
      <c r="B28" s="6">
        <v>0</v>
      </c>
      <c r="C28" s="1">
        <v>5585603.0650490904</v>
      </c>
      <c r="D28" s="1">
        <v>0</v>
      </c>
      <c r="E28" s="1">
        <v>0</v>
      </c>
      <c r="F28" s="1">
        <v>0</v>
      </c>
      <c r="G28" s="9">
        <f>SUM(MI_FINANCIAL)</f>
        <v>5585603.0650490904</v>
      </c>
      <c r="I28" s="14"/>
      <c r="J28" s="17"/>
      <c r="L28" s="6">
        <v>0</v>
      </c>
      <c r="M28" s="1">
        <v>0</v>
      </c>
      <c r="O28" s="1">
        <v>6000000</v>
      </c>
      <c r="P28" s="1">
        <v>0</v>
      </c>
      <c r="R28" s="1">
        <v>0</v>
      </c>
      <c r="S28" s="1">
        <v>0</v>
      </c>
      <c r="U28" s="1">
        <v>0</v>
      </c>
      <c r="V28" s="9">
        <v>0</v>
      </c>
    </row>
    <row r="29" spans="1:22">
      <c r="A29" s="1" t="s">
        <v>50</v>
      </c>
      <c r="B29" s="6">
        <v>0</v>
      </c>
      <c r="C29" s="1">
        <v>2615520.6349807736</v>
      </c>
      <c r="D29" s="1">
        <v>0</v>
      </c>
      <c r="E29" s="1">
        <v>0</v>
      </c>
      <c r="F29" s="1">
        <v>0</v>
      </c>
      <c r="G29" s="9">
        <f>SUM(MN_FINANCIAL)</f>
        <v>2615520.6349807736</v>
      </c>
      <c r="L29" s="6"/>
      <c r="V29" s="9"/>
    </row>
    <row r="30" spans="1:22">
      <c r="A30" s="1" t="s">
        <v>51</v>
      </c>
      <c r="B30" s="6">
        <v>0</v>
      </c>
      <c r="C30" s="1">
        <v>165803.13535214105</v>
      </c>
      <c r="D30" s="1">
        <v>0</v>
      </c>
      <c r="E30" s="1">
        <v>0</v>
      </c>
      <c r="F30" s="1">
        <v>0</v>
      </c>
      <c r="G30" s="9">
        <f>SUM(MS_FINANCIAL)</f>
        <v>165803.13535214105</v>
      </c>
      <c r="L30" s="6"/>
      <c r="V30" s="9"/>
    </row>
    <row r="31" spans="1:22">
      <c r="A31" s="1" t="s">
        <v>52</v>
      </c>
      <c r="B31" s="6">
        <v>0</v>
      </c>
      <c r="C31" s="1">
        <v>569489.89830246451</v>
      </c>
      <c r="D31" s="1">
        <v>0</v>
      </c>
      <c r="E31" s="1">
        <v>0</v>
      </c>
      <c r="F31" s="1">
        <v>0</v>
      </c>
      <c r="G31" s="9">
        <f>SUM(MO_FINANCIAL)</f>
        <v>569489.89830246451</v>
      </c>
      <c r="L31" s="6"/>
      <c r="V31" s="9"/>
    </row>
    <row r="32" spans="1:22">
      <c r="A32" s="1" t="s">
        <v>53</v>
      </c>
      <c r="B32" s="6">
        <v>0</v>
      </c>
      <c r="C32" s="1">
        <v>48024.435273782714</v>
      </c>
      <c r="D32" s="1">
        <v>0</v>
      </c>
      <c r="E32" s="1">
        <v>0</v>
      </c>
      <c r="F32" s="1">
        <v>0</v>
      </c>
      <c r="G32" s="9">
        <f>SUM(MT_FINANCIAL)</f>
        <v>48024.435273782714</v>
      </c>
      <c r="L32" s="6"/>
      <c r="V32" s="9"/>
    </row>
    <row r="33" spans="1:22">
      <c r="A33" s="1" t="s">
        <v>54</v>
      </c>
      <c r="B33" s="6">
        <v>0</v>
      </c>
      <c r="C33" s="1">
        <v>1044769.7743645185</v>
      </c>
      <c r="D33" s="1">
        <v>0</v>
      </c>
      <c r="E33" s="1">
        <v>0</v>
      </c>
      <c r="F33" s="1">
        <v>0</v>
      </c>
      <c r="G33" s="9">
        <f>SUM(NE_FINANCIAL)</f>
        <v>1044769.7743645185</v>
      </c>
      <c r="L33" s="6"/>
      <c r="V33" s="9"/>
    </row>
    <row r="34" spans="1:22">
      <c r="A34" s="1" t="s">
        <v>55</v>
      </c>
      <c r="B34" s="6">
        <v>0</v>
      </c>
      <c r="C34" s="1">
        <v>590597.49931584927</v>
      </c>
      <c r="D34" s="1">
        <v>0</v>
      </c>
      <c r="E34" s="1">
        <v>0</v>
      </c>
      <c r="F34" s="1">
        <v>0</v>
      </c>
      <c r="G34" s="9">
        <f>SUM(NV_FINANCIAL)</f>
        <v>590597.49931584927</v>
      </c>
      <c r="L34" s="6">
        <v>0</v>
      </c>
      <c r="M34" s="1">
        <v>0</v>
      </c>
      <c r="O34" s="1">
        <v>815000</v>
      </c>
      <c r="P34" s="1">
        <v>0</v>
      </c>
      <c r="R34" s="1">
        <v>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182600.75097246657</v>
      </c>
      <c r="D37" s="1">
        <v>0</v>
      </c>
      <c r="E37" s="1">
        <v>0</v>
      </c>
      <c r="F37" s="1">
        <v>0</v>
      </c>
      <c r="G37" s="9">
        <f>SUM(NM_FINANCIAL)</f>
        <v>182600.75097246657</v>
      </c>
      <c r="L37" s="6">
        <v>0</v>
      </c>
      <c r="M37" s="1">
        <v>0</v>
      </c>
      <c r="O37" s="1">
        <v>139987</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5751689.9228839763</v>
      </c>
      <c r="D39" s="1">
        <v>0</v>
      </c>
      <c r="E39" s="1">
        <v>0</v>
      </c>
      <c r="F39" s="1">
        <v>0</v>
      </c>
      <c r="G39" s="9">
        <f>SUM(NC_FINANCIAL)</f>
        <v>5751689.9228839763</v>
      </c>
      <c r="L39" s="6">
        <v>0</v>
      </c>
      <c r="M39" s="1">
        <v>6000</v>
      </c>
      <c r="O39" s="1">
        <v>7000000</v>
      </c>
      <c r="P39" s="1">
        <v>1494000</v>
      </c>
      <c r="R39" s="1">
        <v>0</v>
      </c>
      <c r="S39" s="1">
        <v>0</v>
      </c>
      <c r="U39" s="1">
        <v>0</v>
      </c>
      <c r="V39" s="9">
        <v>0</v>
      </c>
    </row>
    <row r="40" spans="1:22">
      <c r="A40" s="1" t="s">
        <v>61</v>
      </c>
      <c r="B40" s="6">
        <v>0</v>
      </c>
      <c r="C40" s="1">
        <v>89699.359404648785</v>
      </c>
      <c r="D40" s="1">
        <v>0</v>
      </c>
      <c r="E40" s="1">
        <v>0</v>
      </c>
      <c r="F40" s="1">
        <v>0</v>
      </c>
      <c r="G40" s="9">
        <f>SUM(ND_FINANCIAL)</f>
        <v>89699.359404648785</v>
      </c>
      <c r="L40" s="6">
        <v>0</v>
      </c>
      <c r="M40" s="1">
        <v>0</v>
      </c>
      <c r="O40" s="1">
        <v>125000</v>
      </c>
      <c r="P40" s="1">
        <v>0</v>
      </c>
      <c r="R40" s="1">
        <v>0</v>
      </c>
      <c r="S40" s="1">
        <v>0</v>
      </c>
      <c r="U40" s="1">
        <v>0</v>
      </c>
      <c r="V40" s="9">
        <v>0</v>
      </c>
    </row>
    <row r="41" spans="1:22">
      <c r="A41" s="1" t="s">
        <v>62</v>
      </c>
      <c r="B41" s="6">
        <v>0</v>
      </c>
      <c r="C41" s="1">
        <v>5072124.0030464167</v>
      </c>
      <c r="D41" s="1">
        <v>0</v>
      </c>
      <c r="E41" s="1">
        <v>0</v>
      </c>
      <c r="F41" s="1">
        <v>0</v>
      </c>
      <c r="G41" s="9">
        <f>SUM(OH_FINANCIAL)</f>
        <v>5072124.0030464167</v>
      </c>
      <c r="L41" s="6">
        <v>0</v>
      </c>
      <c r="M41" s="1">
        <v>0</v>
      </c>
      <c r="O41" s="1">
        <v>6900000</v>
      </c>
      <c r="P41" s="1">
        <v>0</v>
      </c>
      <c r="R41" s="1">
        <v>0</v>
      </c>
      <c r="S41" s="1">
        <v>0</v>
      </c>
      <c r="U41" s="1">
        <v>0</v>
      </c>
      <c r="V41" s="9">
        <v>0</v>
      </c>
    </row>
    <row r="42" spans="1:22">
      <c r="A42" s="1" t="s">
        <v>63</v>
      </c>
      <c r="B42" s="6">
        <v>0</v>
      </c>
      <c r="C42" s="1">
        <v>5587378.8678274024</v>
      </c>
      <c r="D42" s="1">
        <v>0</v>
      </c>
      <c r="E42" s="1">
        <v>0</v>
      </c>
      <c r="F42" s="1">
        <v>0</v>
      </c>
      <c r="G42" s="9">
        <f>SUM(OK_FINANCIAL)</f>
        <v>5587378.8678274024</v>
      </c>
      <c r="L42" s="6">
        <v>0</v>
      </c>
      <c r="M42" s="1">
        <v>0</v>
      </c>
      <c r="O42" s="1">
        <v>7350000</v>
      </c>
      <c r="P42" s="1">
        <v>0</v>
      </c>
      <c r="R42" s="1">
        <v>0</v>
      </c>
      <c r="S42" s="1">
        <v>1550000</v>
      </c>
      <c r="U42" s="1">
        <v>0</v>
      </c>
      <c r="V42" s="9">
        <v>0</v>
      </c>
    </row>
    <row r="43" spans="1:22">
      <c r="A43" s="1" t="s">
        <v>64</v>
      </c>
      <c r="B43" s="6">
        <v>0</v>
      </c>
      <c r="C43" s="1">
        <v>181141.54561910301</v>
      </c>
      <c r="D43" s="1">
        <v>0</v>
      </c>
      <c r="E43" s="1">
        <v>0</v>
      </c>
      <c r="F43" s="1">
        <v>0</v>
      </c>
      <c r="G43" s="9">
        <f>SUM(OR_FINANCIAL)</f>
        <v>181141.54561910301</v>
      </c>
      <c r="L43" s="6"/>
      <c r="V43" s="9"/>
    </row>
    <row r="44" spans="1:22">
      <c r="A44" s="1" t="s">
        <v>65</v>
      </c>
      <c r="B44" s="6">
        <v>0</v>
      </c>
      <c r="C44" s="1">
        <v>3183440.532633353</v>
      </c>
      <c r="D44" s="1">
        <v>0</v>
      </c>
      <c r="E44" s="1">
        <v>0</v>
      </c>
      <c r="F44" s="1">
        <v>0</v>
      </c>
      <c r="G44" s="9">
        <f>SUM(PA_FINANCIAL)</f>
        <v>3183440.532633353</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373524.19764700416</v>
      </c>
      <c r="D47" s="1">
        <v>0</v>
      </c>
      <c r="E47" s="1">
        <v>0</v>
      </c>
      <c r="F47" s="1">
        <v>0</v>
      </c>
      <c r="G47" s="9">
        <f>SUM(SC_FINANCIAL)</f>
        <v>373524.19764700416</v>
      </c>
      <c r="L47" s="6"/>
      <c r="V47" s="9"/>
    </row>
    <row r="48" spans="1:22">
      <c r="A48" s="1" t="s">
        <v>69</v>
      </c>
      <c r="B48" s="6">
        <v>0</v>
      </c>
      <c r="C48" s="1">
        <v>0</v>
      </c>
      <c r="D48" s="1">
        <v>0</v>
      </c>
      <c r="E48" s="1">
        <v>0</v>
      </c>
      <c r="F48" s="1">
        <v>0</v>
      </c>
      <c r="G48" s="9">
        <f>SUM(SD_FINANCIAL)</f>
        <v>0</v>
      </c>
      <c r="L48" s="6"/>
      <c r="V48" s="9"/>
    </row>
    <row r="49" spans="1:22">
      <c r="A49" s="1" t="s">
        <v>70</v>
      </c>
      <c r="B49" s="6">
        <v>0</v>
      </c>
      <c r="C49" s="1">
        <v>186489.63630871044</v>
      </c>
      <c r="D49" s="1">
        <v>0</v>
      </c>
      <c r="E49" s="1">
        <v>0</v>
      </c>
      <c r="F49" s="1">
        <v>0</v>
      </c>
      <c r="G49" s="9">
        <f>SUM(TN_FINANCIAL)</f>
        <v>186489.63630871044</v>
      </c>
      <c r="L49" s="6"/>
      <c r="V49" s="9"/>
    </row>
    <row r="50" spans="1:22">
      <c r="A50" s="1" t="s">
        <v>71</v>
      </c>
      <c r="B50" s="6">
        <v>0</v>
      </c>
      <c r="C50" s="1">
        <v>14859188.828672901</v>
      </c>
      <c r="D50" s="1">
        <v>0</v>
      </c>
      <c r="E50" s="1">
        <v>0</v>
      </c>
      <c r="F50" s="1">
        <v>0</v>
      </c>
      <c r="G50" s="9">
        <f>SUM(TX_FINANCIAL)</f>
        <v>14859188.828672901</v>
      </c>
      <c r="L50" s="6">
        <v>0</v>
      </c>
      <c r="M50" s="1">
        <v>0</v>
      </c>
      <c r="O50" s="1">
        <v>20000000</v>
      </c>
      <c r="P50" s="1">
        <v>7000000</v>
      </c>
      <c r="R50" s="1">
        <v>0</v>
      </c>
      <c r="S50" s="1">
        <v>0</v>
      </c>
      <c r="U50" s="1">
        <v>0</v>
      </c>
      <c r="V50" s="9">
        <v>0</v>
      </c>
    </row>
    <row r="51" spans="1:22">
      <c r="A51" s="1" t="s">
        <v>72</v>
      </c>
      <c r="B51" s="6">
        <v>0</v>
      </c>
      <c r="C51" s="1">
        <v>255610.44491585807</v>
      </c>
      <c r="D51" s="1">
        <v>0</v>
      </c>
      <c r="E51" s="1">
        <v>0</v>
      </c>
      <c r="F51" s="1">
        <v>0</v>
      </c>
      <c r="G51" s="9">
        <f>SUM(UT_FINANCIAL)</f>
        <v>255610.44491585807</v>
      </c>
      <c r="L51" s="6">
        <v>0</v>
      </c>
      <c r="M51" s="1">
        <v>0</v>
      </c>
      <c r="O51" s="1">
        <v>350000</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2022957.2093551904</v>
      </c>
      <c r="D53" s="1">
        <v>0</v>
      </c>
      <c r="E53" s="1">
        <v>0</v>
      </c>
      <c r="F53" s="1">
        <v>0</v>
      </c>
      <c r="G53" s="9">
        <f>SUM(VA_FINANCIAL)</f>
        <v>2022957.2093551904</v>
      </c>
      <c r="L53" s="6"/>
      <c r="V53" s="9"/>
    </row>
    <row r="54" spans="1:22">
      <c r="A54" s="1" t="s">
        <v>75</v>
      </c>
      <c r="B54" s="6">
        <v>0</v>
      </c>
      <c r="C54" s="1">
        <v>7189662.7930137757</v>
      </c>
      <c r="D54" s="1">
        <v>0</v>
      </c>
      <c r="E54" s="1">
        <v>0</v>
      </c>
      <c r="F54" s="1">
        <v>0</v>
      </c>
      <c r="G54" s="9">
        <f>SUM(WA_FINANCIAL)</f>
        <v>7189662.7930137757</v>
      </c>
      <c r="L54" s="6">
        <v>0</v>
      </c>
      <c r="M54" s="1">
        <v>0</v>
      </c>
      <c r="O54" s="1">
        <v>10000000</v>
      </c>
      <c r="P54" s="1">
        <v>0</v>
      </c>
      <c r="R54" s="1">
        <v>0</v>
      </c>
      <c r="S54" s="1">
        <v>0</v>
      </c>
      <c r="U54" s="1">
        <v>0</v>
      </c>
      <c r="V54" s="9">
        <v>0</v>
      </c>
    </row>
    <row r="55" spans="1:22">
      <c r="A55" s="1" t="s">
        <v>76</v>
      </c>
      <c r="B55" s="6">
        <v>0</v>
      </c>
      <c r="C55" s="1">
        <v>1256542.8921331728</v>
      </c>
      <c r="D55" s="1">
        <v>0</v>
      </c>
      <c r="E55" s="1">
        <v>0</v>
      </c>
      <c r="F55" s="1">
        <v>0</v>
      </c>
      <c r="G55" s="9">
        <f>SUM(WV_FINANCIAL)</f>
        <v>1256542.8921331728</v>
      </c>
      <c r="L55" s="6">
        <v>0</v>
      </c>
      <c r="M55" s="1">
        <v>0</v>
      </c>
      <c r="O55" s="1">
        <v>1500000</v>
      </c>
      <c r="P55" s="1">
        <v>375000</v>
      </c>
      <c r="R55" s="1">
        <v>0</v>
      </c>
      <c r="S55" s="1">
        <v>0</v>
      </c>
      <c r="U55" s="1">
        <v>0</v>
      </c>
      <c r="V55" s="9">
        <v>0</v>
      </c>
    </row>
    <row r="56" spans="1:22">
      <c r="A56" s="1" t="s">
        <v>77</v>
      </c>
      <c r="B56" s="6">
        <v>0</v>
      </c>
      <c r="C56" s="1">
        <v>4571198.623743277</v>
      </c>
      <c r="D56" s="1">
        <v>0</v>
      </c>
      <c r="E56" s="1">
        <v>0</v>
      </c>
      <c r="F56" s="1">
        <v>0</v>
      </c>
      <c r="G56" s="9">
        <f>SUM(WI_FINANCIAL)</f>
        <v>4571198.623743277</v>
      </c>
      <c r="L56" s="6">
        <v>0</v>
      </c>
      <c r="M56" s="1">
        <v>0</v>
      </c>
      <c r="O56" s="1">
        <v>6000000</v>
      </c>
      <c r="P56" s="1">
        <v>0</v>
      </c>
      <c r="R56" s="1">
        <v>0</v>
      </c>
      <c r="S56" s="1">
        <v>0</v>
      </c>
      <c r="U56" s="1">
        <v>0</v>
      </c>
      <c r="V56" s="9">
        <v>0</v>
      </c>
    </row>
    <row r="57" spans="1:22">
      <c r="A57" s="1" t="s">
        <v>78</v>
      </c>
      <c r="B57" s="6">
        <v>0</v>
      </c>
      <c r="C57" s="1">
        <v>40923.215770269198</v>
      </c>
      <c r="D57" s="1">
        <v>0</v>
      </c>
      <c r="E57" s="1">
        <v>0</v>
      </c>
      <c r="F57" s="1">
        <v>0</v>
      </c>
      <c r="G57" s="9">
        <f>SUM(WY_FINANCIAL)</f>
        <v>40923.215770269198</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96324078.240000188</v>
      </c>
      <c r="D60" s="1">
        <f>SUM(HEALTH)</f>
        <v>0</v>
      </c>
      <c r="E60" s="1">
        <f>SUM(UNALLOCATED)</f>
        <v>0</v>
      </c>
      <c r="F60" s="1">
        <f>SUM(LTC)</f>
        <v>0</v>
      </c>
      <c r="G60" s="9">
        <f>SUM(ALL_BLOCKS)</f>
        <v>96324078.240000188</v>
      </c>
      <c r="L60" s="6">
        <f>SUM(LIFE_CALLED)</f>
        <v>700638</v>
      </c>
      <c r="M60" s="1">
        <f>SUM(LIFE_REFUNDED)</f>
        <v>6000</v>
      </c>
      <c r="O60" s="1">
        <f>SUM(ALLOC_CALLED)</f>
        <v>88015647</v>
      </c>
      <c r="P60" s="1">
        <f>SUM(ALLOC_REFUNDED)</f>
        <v>10292000</v>
      </c>
      <c r="R60" s="1">
        <f>SUM(HEALTH_CALLED)</f>
        <v>0</v>
      </c>
      <c r="S60" s="1">
        <f>SUM(HEALTH_REFUNDED)</f>
        <v>1716536</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140</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1980.4884825230984</v>
      </c>
      <c r="E6" s="1">
        <v>0</v>
      </c>
      <c r="F6" s="1">
        <v>0</v>
      </c>
      <c r="G6" s="9">
        <f>SUM(AL_FINANCIAL)</f>
        <v>1980.4884825230984</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502924.20300972625</v>
      </c>
      <c r="E8" s="1">
        <v>0</v>
      </c>
      <c r="F8" s="1">
        <v>0</v>
      </c>
      <c r="G8" s="9">
        <f>SUM(AZ_FINANCIAL)</f>
        <v>502924.20300972625</v>
      </c>
      <c r="I8" s="13" t="s">
        <v>14</v>
      </c>
      <c r="J8" s="16"/>
      <c r="L8" s="6"/>
      <c r="V8" s="9"/>
    </row>
    <row r="9" spans="1:22">
      <c r="A9" s="1" t="s">
        <v>15</v>
      </c>
      <c r="B9" s="6">
        <v>0</v>
      </c>
      <c r="C9" s="1">
        <v>0</v>
      </c>
      <c r="D9" s="1">
        <v>274591.90709917061</v>
      </c>
      <c r="E9" s="1">
        <v>0</v>
      </c>
      <c r="F9" s="1">
        <v>0</v>
      </c>
      <c r="G9" s="9">
        <f>SUM(AR_FINANCIAL)</f>
        <v>274591.90709917061</v>
      </c>
      <c r="I9" s="13"/>
      <c r="J9" s="16"/>
      <c r="L9" s="6"/>
      <c r="V9" s="9"/>
    </row>
    <row r="10" spans="1:22">
      <c r="A10" s="1" t="s">
        <v>16</v>
      </c>
      <c r="B10" s="6">
        <v>0</v>
      </c>
      <c r="C10" s="1">
        <v>0</v>
      </c>
      <c r="D10" s="1">
        <v>1457938.7685563592</v>
      </c>
      <c r="E10" s="1">
        <v>0</v>
      </c>
      <c r="F10" s="1">
        <v>0</v>
      </c>
      <c r="G10" s="9">
        <f>SUM(CA_FINANCIAL)</f>
        <v>1457938.7685563592</v>
      </c>
      <c r="I10" s="13" t="s">
        <v>17</v>
      </c>
      <c r="J10" s="16">
        <v>14469502.151535774</v>
      </c>
      <c r="L10" s="6">
        <v>0</v>
      </c>
      <c r="M10" s="1">
        <v>0</v>
      </c>
      <c r="O10" s="1">
        <v>0</v>
      </c>
      <c r="P10" s="1">
        <v>0</v>
      </c>
      <c r="R10" s="1">
        <v>1762281</v>
      </c>
      <c r="S10" s="1">
        <v>0</v>
      </c>
      <c r="U10" s="1">
        <v>0</v>
      </c>
      <c r="V10" s="9">
        <v>0</v>
      </c>
    </row>
    <row r="11" spans="1:22">
      <c r="A11" s="1" t="s">
        <v>18</v>
      </c>
      <c r="B11" s="6">
        <v>0</v>
      </c>
      <c r="C11" s="1">
        <v>0</v>
      </c>
      <c r="D11" s="1">
        <v>92417.76815489291</v>
      </c>
      <c r="E11" s="1">
        <v>0</v>
      </c>
      <c r="F11" s="1">
        <v>0</v>
      </c>
      <c r="G11" s="9">
        <f>SUM(CO_FINANCIAL)</f>
        <v>92417.76815489291</v>
      </c>
      <c r="I11" s="13"/>
      <c r="J11" s="16"/>
      <c r="L11" s="6">
        <v>0</v>
      </c>
      <c r="M11" s="1">
        <v>0</v>
      </c>
      <c r="O11" s="1">
        <v>0</v>
      </c>
      <c r="P11" s="1">
        <v>0</v>
      </c>
      <c r="R11" s="1">
        <v>130000</v>
      </c>
      <c r="S11" s="1">
        <v>0</v>
      </c>
      <c r="U11" s="1">
        <v>0</v>
      </c>
      <c r="V11" s="9">
        <v>0</v>
      </c>
    </row>
    <row r="12" spans="1:22">
      <c r="A12" s="1" t="s">
        <v>19</v>
      </c>
      <c r="B12" s="6">
        <v>0</v>
      </c>
      <c r="C12" s="1">
        <v>0</v>
      </c>
      <c r="D12" s="1">
        <v>204605.30353681487</v>
      </c>
      <c r="E12" s="1">
        <v>0</v>
      </c>
      <c r="F12" s="1">
        <v>0</v>
      </c>
      <c r="G12" s="9">
        <f>SUM(CT_FINANCIAL)</f>
        <v>204605.30353681487</v>
      </c>
      <c r="I12" s="13" t="s">
        <v>20</v>
      </c>
      <c r="J12" s="16"/>
      <c r="L12" s="6">
        <v>0</v>
      </c>
      <c r="M12" s="1">
        <v>0</v>
      </c>
      <c r="O12" s="1">
        <v>0</v>
      </c>
      <c r="P12" s="1">
        <v>0</v>
      </c>
      <c r="R12" s="1">
        <v>296801</v>
      </c>
      <c r="S12" s="1">
        <v>0</v>
      </c>
      <c r="U12" s="1">
        <v>0</v>
      </c>
      <c r="V12" s="9">
        <v>0</v>
      </c>
    </row>
    <row r="13" spans="1:22">
      <c r="A13" s="1" t="s">
        <v>21</v>
      </c>
      <c r="B13" s="6">
        <v>0</v>
      </c>
      <c r="C13" s="1">
        <v>0</v>
      </c>
      <c r="D13" s="1">
        <v>56852.396670579765</v>
      </c>
      <c r="E13" s="1">
        <v>0</v>
      </c>
      <c r="F13" s="1">
        <v>0</v>
      </c>
      <c r="G13" s="9">
        <f>SUM(DE_FINANCIAL)</f>
        <v>56852.396670579765</v>
      </c>
      <c r="I13" s="13" t="s">
        <v>22</v>
      </c>
      <c r="J13" s="16">
        <v>12500</v>
      </c>
      <c r="L13" s="6"/>
      <c r="V13" s="9"/>
    </row>
    <row r="14" spans="1:22">
      <c r="A14" s="1" t="s">
        <v>23</v>
      </c>
      <c r="B14" s="6">
        <v>0</v>
      </c>
      <c r="C14" s="1">
        <v>0</v>
      </c>
      <c r="D14" s="1">
        <v>0</v>
      </c>
      <c r="E14" s="1">
        <v>0</v>
      </c>
      <c r="F14" s="1">
        <v>0</v>
      </c>
      <c r="G14" s="9">
        <f>SUM(DC_FINANCIAL)</f>
        <v>0</v>
      </c>
      <c r="I14" s="13" t="s">
        <v>24</v>
      </c>
      <c r="J14" s="16">
        <v>509231.34999999986</v>
      </c>
      <c r="L14" s="6"/>
      <c r="V14" s="9"/>
    </row>
    <row r="15" spans="1:22">
      <c r="A15" s="1" t="s">
        <v>25</v>
      </c>
      <c r="B15" s="6">
        <v>0</v>
      </c>
      <c r="C15" s="1">
        <v>0</v>
      </c>
      <c r="D15" s="1">
        <v>964431.76033489231</v>
      </c>
      <c r="E15" s="1">
        <v>0</v>
      </c>
      <c r="F15" s="1">
        <v>0</v>
      </c>
      <c r="G15" s="9">
        <f>SUM(FL_FINANCIAL)</f>
        <v>964431.76033489231</v>
      </c>
      <c r="I15" s="13" t="s">
        <v>26</v>
      </c>
      <c r="J15" s="16">
        <v>519894.27137430361</v>
      </c>
      <c r="L15" s="6">
        <v>0</v>
      </c>
      <c r="M15" s="1">
        <v>0</v>
      </c>
      <c r="O15" s="1">
        <v>0</v>
      </c>
      <c r="P15" s="1">
        <v>0</v>
      </c>
      <c r="R15" s="1">
        <v>1100000</v>
      </c>
      <c r="S15" s="1">
        <v>0</v>
      </c>
      <c r="U15" s="1">
        <v>0</v>
      </c>
      <c r="V15" s="9">
        <v>0</v>
      </c>
    </row>
    <row r="16" spans="1:22">
      <c r="A16" s="1" t="s">
        <v>27</v>
      </c>
      <c r="B16" s="6">
        <v>0</v>
      </c>
      <c r="C16" s="1">
        <v>0</v>
      </c>
      <c r="D16" s="1">
        <v>117364.95642802818</v>
      </c>
      <c r="E16" s="1">
        <v>0</v>
      </c>
      <c r="F16" s="1">
        <v>0</v>
      </c>
      <c r="G16" s="9">
        <f>SUM(GA_FINANCIAL)</f>
        <v>117364.95642802818</v>
      </c>
      <c r="I16" s="13" t="s">
        <v>28</v>
      </c>
      <c r="J16" s="16">
        <v>0</v>
      </c>
      <c r="L16" s="6"/>
      <c r="V16" s="9"/>
    </row>
    <row r="17" spans="1:22">
      <c r="A17" s="1" t="s">
        <v>29</v>
      </c>
      <c r="B17" s="6">
        <v>0</v>
      </c>
      <c r="C17" s="1">
        <v>0</v>
      </c>
      <c r="D17" s="1">
        <v>274592.59709917061</v>
      </c>
      <c r="E17" s="1">
        <v>0</v>
      </c>
      <c r="F17" s="1">
        <v>0</v>
      </c>
      <c r="G17" s="9">
        <f>SUM(HI_FINANCIAL)</f>
        <v>274592.59709917061</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571059.13207295339</v>
      </c>
      <c r="E19" s="1">
        <v>0</v>
      </c>
      <c r="F19" s="1">
        <v>0</v>
      </c>
      <c r="G19" s="9">
        <f>SUM(IL_FINANCIAL)</f>
        <v>571059.13207295339</v>
      </c>
      <c r="I19" s="13" t="s">
        <v>33</v>
      </c>
      <c r="J19" s="16">
        <v>0</v>
      </c>
      <c r="L19" s="6">
        <v>0</v>
      </c>
      <c r="M19" s="1">
        <v>0</v>
      </c>
      <c r="O19" s="1">
        <v>0</v>
      </c>
      <c r="P19" s="1">
        <v>0</v>
      </c>
      <c r="R19" s="1">
        <v>800000</v>
      </c>
      <c r="S19" s="1">
        <v>0</v>
      </c>
      <c r="U19" s="1">
        <v>0</v>
      </c>
      <c r="V19" s="9">
        <v>0</v>
      </c>
    </row>
    <row r="20" spans="1:22">
      <c r="A20" s="1" t="s">
        <v>34</v>
      </c>
      <c r="B20" s="6">
        <v>0</v>
      </c>
      <c r="C20" s="1">
        <v>0</v>
      </c>
      <c r="D20" s="1">
        <v>78056.565361961679</v>
      </c>
      <c r="E20" s="1">
        <v>0</v>
      </c>
      <c r="F20" s="1">
        <v>0</v>
      </c>
      <c r="G20" s="9">
        <f>SUM(IN_FINANCIAL)</f>
        <v>78056.565361961679</v>
      </c>
      <c r="I20" s="13" t="s">
        <v>35</v>
      </c>
      <c r="J20" s="16">
        <v>-65342.44294836402</v>
      </c>
      <c r="L20" s="6"/>
      <c r="V20" s="9"/>
    </row>
    <row r="21" spans="1:22">
      <c r="A21" s="1" t="s">
        <v>36</v>
      </c>
      <c r="B21" s="6">
        <v>0</v>
      </c>
      <c r="C21" s="1">
        <v>0</v>
      </c>
      <c r="D21" s="1">
        <v>73923.033319645125</v>
      </c>
      <c r="E21" s="1">
        <v>0</v>
      </c>
      <c r="F21" s="1">
        <v>0</v>
      </c>
      <c r="G21" s="9">
        <f>SUM(IA_FINANCIAL)</f>
        <v>73923.033319645125</v>
      </c>
      <c r="I21" s="13" t="s">
        <v>37</v>
      </c>
      <c r="J21" s="16"/>
      <c r="L21" s="6"/>
      <c r="V21" s="9"/>
    </row>
    <row r="22" spans="1:22">
      <c r="A22" s="1" t="s">
        <v>38</v>
      </c>
      <c r="B22" s="6">
        <v>0</v>
      </c>
      <c r="C22" s="1">
        <v>0</v>
      </c>
      <c r="D22" s="1">
        <v>0</v>
      </c>
      <c r="E22" s="1">
        <v>0</v>
      </c>
      <c r="F22" s="1">
        <v>0</v>
      </c>
      <c r="G22" s="9">
        <f>SUM(KS_FINANCIAL)</f>
        <v>0</v>
      </c>
      <c r="I22" s="13" t="s">
        <v>39</v>
      </c>
      <c r="J22" s="16">
        <v>-914193.94212117034</v>
      </c>
      <c r="L22" s="6"/>
      <c r="V22" s="9"/>
    </row>
    <row r="23" spans="1:22">
      <c r="A23" s="1" t="s">
        <v>40</v>
      </c>
      <c r="B23" s="6">
        <v>0</v>
      </c>
      <c r="C23" s="1">
        <v>0</v>
      </c>
      <c r="D23" s="1">
        <v>107049.76472263463</v>
      </c>
      <c r="E23" s="1">
        <v>0</v>
      </c>
      <c r="F23" s="1">
        <v>0</v>
      </c>
      <c r="G23" s="9">
        <f>SUM(KY_FINANCIAL)</f>
        <v>107049.76472263463</v>
      </c>
      <c r="I23" s="13" t="s">
        <v>41</v>
      </c>
      <c r="J23" s="16"/>
      <c r="L23" s="6"/>
      <c r="V23" s="9"/>
    </row>
    <row r="24" spans="1:22">
      <c r="A24" s="1" t="s">
        <v>42</v>
      </c>
      <c r="B24" s="6">
        <v>0</v>
      </c>
      <c r="C24" s="1">
        <v>0</v>
      </c>
      <c r="D24" s="1">
        <v>75400.575351431733</v>
      </c>
      <c r="E24" s="1">
        <v>0</v>
      </c>
      <c r="F24" s="1">
        <v>0</v>
      </c>
      <c r="G24" s="9">
        <f>SUM(LA_FINANCIAL)</f>
        <v>75400.575351431733</v>
      </c>
      <c r="I24" s="13" t="s">
        <v>43</v>
      </c>
      <c r="J24" s="16">
        <v>2970819.3260990791</v>
      </c>
      <c r="L24" s="6"/>
      <c r="V24" s="9"/>
    </row>
    <row r="25" spans="1:22">
      <c r="A25" s="1" t="s">
        <v>44</v>
      </c>
      <c r="B25" s="6">
        <v>0</v>
      </c>
      <c r="C25" s="1">
        <v>0</v>
      </c>
      <c r="D25" s="1">
        <v>80.854304181011344</v>
      </c>
      <c r="E25" s="1">
        <v>0</v>
      </c>
      <c r="F25" s="1">
        <v>0</v>
      </c>
      <c r="G25" s="9">
        <f>SUM(ME_FINANCIAL)</f>
        <v>80.854304181011344</v>
      </c>
      <c r="I25" s="13"/>
      <c r="J25" s="16"/>
      <c r="L25" s="6"/>
      <c r="V25" s="9"/>
    </row>
    <row r="26" spans="1:22">
      <c r="A26" s="1" t="s">
        <v>45</v>
      </c>
      <c r="B26" s="6">
        <v>0</v>
      </c>
      <c r="C26" s="1">
        <v>0</v>
      </c>
      <c r="D26" s="1">
        <v>716479.75926848722</v>
      </c>
      <c r="E26" s="1">
        <v>0</v>
      </c>
      <c r="F26" s="1">
        <v>0</v>
      </c>
      <c r="G26" s="9">
        <f>SUM(MD_FINANCIAL)</f>
        <v>716479.75926848722</v>
      </c>
      <c r="I26" s="13" t="s">
        <v>46</v>
      </c>
      <c r="J26" s="16">
        <f>SUM(ADD_FINANCIAL)-SUM(LESS_FINANCIAL)</f>
        <v>13519844.831880532</v>
      </c>
      <c r="L26" s="6">
        <v>0</v>
      </c>
      <c r="M26" s="1">
        <v>0</v>
      </c>
      <c r="O26" s="1">
        <v>0</v>
      </c>
      <c r="P26" s="1">
        <v>0</v>
      </c>
      <c r="R26" s="1">
        <v>1000000</v>
      </c>
      <c r="S26" s="1">
        <v>0</v>
      </c>
      <c r="U26" s="1">
        <v>0</v>
      </c>
      <c r="V26" s="9">
        <v>0</v>
      </c>
    </row>
    <row r="27" spans="1:22">
      <c r="A27" s="1" t="s">
        <v>47</v>
      </c>
      <c r="B27" s="6">
        <v>0</v>
      </c>
      <c r="C27" s="1">
        <v>0</v>
      </c>
      <c r="D27" s="1">
        <v>151176.1552412259</v>
      </c>
      <c r="E27" s="1">
        <v>0</v>
      </c>
      <c r="F27" s="1">
        <v>0</v>
      </c>
      <c r="G27" s="9">
        <f>SUM(MA_FINANCIAL)</f>
        <v>151176.1552412259</v>
      </c>
      <c r="I27" s="13" t="s">
        <v>48</v>
      </c>
      <c r="J27" s="16">
        <f>SUM(ALL_BLOCKS)</f>
        <v>13519844.831880532</v>
      </c>
      <c r="L27" s="6"/>
      <c r="V27" s="9"/>
    </row>
    <row r="28" spans="1:22">
      <c r="A28" s="1" t="s">
        <v>49</v>
      </c>
      <c r="B28" s="6">
        <v>0</v>
      </c>
      <c r="C28" s="1">
        <v>0</v>
      </c>
      <c r="D28" s="1">
        <v>1000645.5566337371</v>
      </c>
      <c r="E28" s="1">
        <v>0</v>
      </c>
      <c r="F28" s="1">
        <v>0</v>
      </c>
      <c r="G28" s="9">
        <f>SUM(MI_FINANCIAL)</f>
        <v>1000645.5566337371</v>
      </c>
      <c r="I28" s="14"/>
      <c r="J28" s="17"/>
      <c r="L28" s="6"/>
      <c r="V28" s="9"/>
    </row>
    <row r="29" spans="1:22">
      <c r="A29" s="1" t="s">
        <v>50</v>
      </c>
      <c r="B29" s="6">
        <v>0</v>
      </c>
      <c r="C29" s="1">
        <v>0</v>
      </c>
      <c r="D29" s="1">
        <v>224541.14513643112</v>
      </c>
      <c r="E29" s="1">
        <v>0</v>
      </c>
      <c r="F29" s="1">
        <v>0</v>
      </c>
      <c r="G29" s="9">
        <f>SUM(MN_FINANCIAL)</f>
        <v>224541.14513643112</v>
      </c>
      <c r="L29" s="6"/>
      <c r="V29" s="9"/>
    </row>
    <row r="30" spans="1:22">
      <c r="A30" s="1" t="s">
        <v>51</v>
      </c>
      <c r="B30" s="6">
        <v>0</v>
      </c>
      <c r="C30" s="1">
        <v>0</v>
      </c>
      <c r="D30" s="1">
        <v>27313.864283394138</v>
      </c>
      <c r="E30" s="1">
        <v>0</v>
      </c>
      <c r="F30" s="1">
        <v>0</v>
      </c>
      <c r="G30" s="9">
        <f>SUM(MS_FINANCIAL)</f>
        <v>27313.864283394138</v>
      </c>
      <c r="L30" s="6"/>
      <c r="V30" s="9"/>
    </row>
    <row r="31" spans="1:22">
      <c r="A31" s="1" t="s">
        <v>52</v>
      </c>
      <c r="B31" s="6">
        <v>0</v>
      </c>
      <c r="C31" s="1">
        <v>0</v>
      </c>
      <c r="D31" s="1">
        <v>123411.45248331515</v>
      </c>
      <c r="E31" s="1">
        <v>0</v>
      </c>
      <c r="F31" s="1">
        <v>0</v>
      </c>
      <c r="G31" s="9">
        <f>SUM(MO_FINANCIAL)</f>
        <v>123411.45248331515</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196873.01921659263</v>
      </c>
      <c r="E34" s="1">
        <v>0</v>
      </c>
      <c r="F34" s="1">
        <v>0</v>
      </c>
      <c r="G34" s="9">
        <f>SUM(NV_FINANCIAL)</f>
        <v>196873.01921659263</v>
      </c>
      <c r="L34" s="6"/>
      <c r="V34" s="9"/>
    </row>
    <row r="35" spans="1:22">
      <c r="A35" s="1" t="s">
        <v>56</v>
      </c>
      <c r="B35" s="6">
        <v>0</v>
      </c>
      <c r="C35" s="1">
        <v>0</v>
      </c>
      <c r="D35" s="1">
        <v>159356.25269316026</v>
      </c>
      <c r="E35" s="1">
        <v>0</v>
      </c>
      <c r="F35" s="1">
        <v>0</v>
      </c>
      <c r="G35" s="9">
        <f>SUM(NH_FINANCIAL)</f>
        <v>159356.25269316026</v>
      </c>
      <c r="L35" s="6">
        <v>0</v>
      </c>
      <c r="M35" s="1">
        <v>0</v>
      </c>
      <c r="O35" s="1">
        <v>0</v>
      </c>
      <c r="P35" s="1">
        <v>0</v>
      </c>
      <c r="R35" s="1">
        <v>167065</v>
      </c>
      <c r="S35" s="1">
        <v>0</v>
      </c>
      <c r="U35" s="1">
        <v>0</v>
      </c>
      <c r="V35" s="9">
        <v>0</v>
      </c>
    </row>
    <row r="36" spans="1:22">
      <c r="A36" s="1" t="s">
        <v>57</v>
      </c>
      <c r="B36" s="6">
        <v>0</v>
      </c>
      <c r="C36" s="1">
        <v>0</v>
      </c>
      <c r="D36" s="1">
        <v>513862.15560747852</v>
      </c>
      <c r="E36" s="1">
        <v>0</v>
      </c>
      <c r="F36" s="1">
        <v>0</v>
      </c>
      <c r="G36" s="9">
        <f>SUM(NJ_FINANCIAL)</f>
        <v>513862.15560747852</v>
      </c>
      <c r="L36" s="6"/>
      <c r="V36" s="9"/>
    </row>
    <row r="37" spans="1:22">
      <c r="A37" s="1" t="s">
        <v>58</v>
      </c>
      <c r="B37" s="6">
        <v>0</v>
      </c>
      <c r="C37" s="1">
        <v>0</v>
      </c>
      <c r="D37" s="1">
        <v>232213.22278058683</v>
      </c>
      <c r="E37" s="1">
        <v>0</v>
      </c>
      <c r="F37" s="1">
        <v>0</v>
      </c>
      <c r="G37" s="9">
        <f>SUM(NM_FINANCIAL)</f>
        <v>232213.22278058683</v>
      </c>
      <c r="L37" s="6">
        <v>0</v>
      </c>
      <c r="M37" s="1">
        <v>0</v>
      </c>
      <c r="O37" s="1">
        <v>0</v>
      </c>
      <c r="P37" s="1">
        <v>0</v>
      </c>
      <c r="R37" s="1">
        <v>321212</v>
      </c>
      <c r="S37" s="1">
        <v>9982</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816307.61312334868</v>
      </c>
      <c r="E39" s="1">
        <v>0</v>
      </c>
      <c r="F39" s="1">
        <v>0</v>
      </c>
      <c r="G39" s="9">
        <f>SUM(NC_FINANCIAL)</f>
        <v>816307.61312334868</v>
      </c>
      <c r="L39" s="6">
        <v>0</v>
      </c>
      <c r="M39" s="1">
        <v>0</v>
      </c>
      <c r="O39" s="1">
        <v>0</v>
      </c>
      <c r="P39" s="1">
        <v>0</v>
      </c>
      <c r="R39" s="1">
        <v>1000000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0</v>
      </c>
      <c r="C41" s="1">
        <v>0</v>
      </c>
      <c r="D41" s="1">
        <v>1366276.0453807295</v>
      </c>
      <c r="E41" s="1">
        <v>0</v>
      </c>
      <c r="F41" s="1">
        <v>0</v>
      </c>
      <c r="G41" s="9">
        <f>SUM(OH_FINANCIAL)</f>
        <v>1366276.0453807295</v>
      </c>
      <c r="L41" s="6">
        <v>0</v>
      </c>
      <c r="M41" s="1">
        <v>0</v>
      </c>
      <c r="O41" s="1">
        <v>0</v>
      </c>
      <c r="P41" s="1">
        <v>0</v>
      </c>
      <c r="R41" s="1">
        <v>1700000</v>
      </c>
      <c r="S41" s="1">
        <v>0</v>
      </c>
      <c r="U41" s="1">
        <v>0</v>
      </c>
      <c r="V41" s="9">
        <v>0</v>
      </c>
    </row>
    <row r="42" spans="1:22">
      <c r="A42" s="1" t="s">
        <v>63</v>
      </c>
      <c r="B42" s="6">
        <v>0</v>
      </c>
      <c r="C42" s="1">
        <v>0</v>
      </c>
      <c r="D42" s="1">
        <v>0</v>
      </c>
      <c r="E42" s="1">
        <v>0</v>
      </c>
      <c r="F42" s="1">
        <v>0</v>
      </c>
      <c r="G42" s="9">
        <f>SUM(OK_FINANCIAL)</f>
        <v>0</v>
      </c>
      <c r="L42" s="6"/>
      <c r="V42" s="9"/>
    </row>
    <row r="43" spans="1:22">
      <c r="A43" s="1" t="s">
        <v>64</v>
      </c>
      <c r="B43" s="6">
        <v>0</v>
      </c>
      <c r="C43" s="1">
        <v>0</v>
      </c>
      <c r="D43" s="1">
        <v>48376.176582481734</v>
      </c>
      <c r="E43" s="1">
        <v>0</v>
      </c>
      <c r="F43" s="1">
        <v>0</v>
      </c>
      <c r="G43" s="9">
        <f>SUM(OR_FINANCIAL)</f>
        <v>48376.176582481734</v>
      </c>
      <c r="L43" s="6">
        <v>0</v>
      </c>
      <c r="M43" s="1">
        <v>0</v>
      </c>
      <c r="O43" s="1">
        <v>0</v>
      </c>
      <c r="P43" s="1">
        <v>0</v>
      </c>
      <c r="R43" s="1">
        <v>65000</v>
      </c>
      <c r="S43" s="1">
        <v>0</v>
      </c>
      <c r="U43" s="1">
        <v>0</v>
      </c>
      <c r="V43" s="9">
        <v>0</v>
      </c>
    </row>
    <row r="44" spans="1:22">
      <c r="A44" s="1" t="s">
        <v>65</v>
      </c>
      <c r="B44" s="6">
        <v>0</v>
      </c>
      <c r="C44" s="1">
        <v>0</v>
      </c>
      <c r="D44" s="1">
        <v>853234.11909369635</v>
      </c>
      <c r="E44" s="1">
        <v>0</v>
      </c>
      <c r="F44" s="1">
        <v>0</v>
      </c>
      <c r="G44" s="9">
        <f>SUM(PA_FINANCIAL)</f>
        <v>853234.11909369635</v>
      </c>
      <c r="L44" s="6">
        <v>0</v>
      </c>
      <c r="M44" s="1">
        <v>0</v>
      </c>
      <c r="O44" s="1">
        <v>0</v>
      </c>
      <c r="P44" s="1">
        <v>0</v>
      </c>
      <c r="R44" s="1">
        <v>546000</v>
      </c>
      <c r="S44" s="1">
        <v>0</v>
      </c>
      <c r="U44" s="1">
        <v>0</v>
      </c>
      <c r="V44" s="9">
        <v>0</v>
      </c>
    </row>
    <row r="45" spans="1:22">
      <c r="A45" s="1" t="s">
        <v>66</v>
      </c>
      <c r="B45" s="6">
        <v>0</v>
      </c>
      <c r="C45" s="1">
        <v>0</v>
      </c>
      <c r="D45" s="1">
        <v>0</v>
      </c>
      <c r="E45" s="1">
        <v>0</v>
      </c>
      <c r="F45" s="1">
        <v>0</v>
      </c>
      <c r="G45" s="9">
        <f>SUM(PR_FINANCIAL)</f>
        <v>0</v>
      </c>
      <c r="L45" s="6"/>
      <c r="V45" s="9"/>
    </row>
    <row r="46" spans="1:22">
      <c r="A46" s="1" t="s">
        <v>67</v>
      </c>
      <c r="B46" s="6">
        <v>0</v>
      </c>
      <c r="C46" s="1">
        <v>0</v>
      </c>
      <c r="D46" s="1">
        <v>59099.734077263172</v>
      </c>
      <c r="E46" s="1">
        <v>0</v>
      </c>
      <c r="F46" s="1">
        <v>0</v>
      </c>
      <c r="G46" s="9">
        <f>SUM(RI_FINANCIAL)</f>
        <v>59099.734077263172</v>
      </c>
      <c r="L46" s="6"/>
      <c r="V46" s="9"/>
    </row>
    <row r="47" spans="1:22">
      <c r="A47" s="1" t="s">
        <v>68</v>
      </c>
      <c r="B47" s="6">
        <v>0</v>
      </c>
      <c r="C47" s="1">
        <v>0</v>
      </c>
      <c r="D47" s="1">
        <v>419411.61977723922</v>
      </c>
      <c r="E47" s="1">
        <v>0</v>
      </c>
      <c r="F47" s="1">
        <v>0</v>
      </c>
      <c r="G47" s="9">
        <f>SUM(SC_FINANCIAL)</f>
        <v>419411.61977723922</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119671.31089155523</v>
      </c>
      <c r="E49" s="1">
        <v>0</v>
      </c>
      <c r="F49" s="1">
        <v>0</v>
      </c>
      <c r="G49" s="9">
        <f>SUM(TN_FINANCIAL)</f>
        <v>119671.31089155523</v>
      </c>
      <c r="L49" s="6"/>
      <c r="V49" s="9"/>
    </row>
    <row r="50" spans="1:22">
      <c r="A50" s="1" t="s">
        <v>71</v>
      </c>
      <c r="B50" s="6">
        <v>0</v>
      </c>
      <c r="C50" s="1">
        <v>0</v>
      </c>
      <c r="D50" s="1">
        <v>748567.72995836777</v>
      </c>
      <c r="E50" s="1">
        <v>0</v>
      </c>
      <c r="F50" s="1">
        <v>0</v>
      </c>
      <c r="G50" s="9">
        <f>SUM(TX_FINANCIAL)</f>
        <v>748567.72995836777</v>
      </c>
      <c r="L50" s="6">
        <v>0</v>
      </c>
      <c r="M50" s="1">
        <v>0</v>
      </c>
      <c r="O50" s="1">
        <v>0</v>
      </c>
      <c r="P50" s="1">
        <v>0</v>
      </c>
      <c r="R50" s="1">
        <v>900000</v>
      </c>
      <c r="S50" s="1">
        <v>0</v>
      </c>
      <c r="U50" s="1">
        <v>0</v>
      </c>
      <c r="V50" s="9">
        <v>0</v>
      </c>
    </row>
    <row r="51" spans="1:22">
      <c r="A51" s="1" t="s">
        <v>72</v>
      </c>
      <c r="B51" s="6">
        <v>0</v>
      </c>
      <c r="C51" s="1">
        <v>0</v>
      </c>
      <c r="D51" s="1">
        <v>60868.2637442743</v>
      </c>
      <c r="E51" s="1">
        <v>0</v>
      </c>
      <c r="F51" s="1">
        <v>0</v>
      </c>
      <c r="G51" s="9">
        <f>SUM(UT_FINANCIAL)</f>
        <v>60868.2637442743</v>
      </c>
      <c r="L51" s="6">
        <v>0</v>
      </c>
      <c r="M51" s="1">
        <v>0</v>
      </c>
      <c r="O51" s="1">
        <v>0</v>
      </c>
      <c r="P51" s="1">
        <v>0</v>
      </c>
      <c r="R51" s="1">
        <v>77668</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0</v>
      </c>
      <c r="D53" s="1">
        <v>184472.64519572671</v>
      </c>
      <c r="E53" s="1">
        <v>0</v>
      </c>
      <c r="F53" s="1">
        <v>0</v>
      </c>
      <c r="G53" s="9">
        <f>SUM(VA_FINANCIAL)</f>
        <v>184472.64519572671</v>
      </c>
      <c r="L53" s="6"/>
      <c r="V53" s="9"/>
    </row>
    <row r="54" spans="1:22">
      <c r="A54" s="1" t="s">
        <v>75</v>
      </c>
      <c r="B54" s="6">
        <v>0</v>
      </c>
      <c r="C54" s="1">
        <v>0</v>
      </c>
      <c r="D54" s="1">
        <v>469566.07024480746</v>
      </c>
      <c r="E54" s="1">
        <v>0</v>
      </c>
      <c r="F54" s="1">
        <v>0</v>
      </c>
      <c r="G54" s="9">
        <f>SUM(WA_FINANCIAL)</f>
        <v>469566.07024480746</v>
      </c>
      <c r="L54" s="6"/>
      <c r="V54" s="9"/>
    </row>
    <row r="55" spans="1:22">
      <c r="A55" s="1" t="s">
        <v>76</v>
      </c>
      <c r="B55" s="6">
        <v>0</v>
      </c>
      <c r="C55" s="1">
        <v>0</v>
      </c>
      <c r="D55" s="1">
        <v>61363.265431394728</v>
      </c>
      <c r="E55" s="1">
        <v>0</v>
      </c>
      <c r="F55" s="1">
        <v>0</v>
      </c>
      <c r="G55" s="9">
        <f>SUM(WV_FINANCIAL)</f>
        <v>61363.265431394728</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113487.58053027176</v>
      </c>
      <c r="E57" s="1">
        <v>0</v>
      </c>
      <c r="F57" s="1">
        <v>0</v>
      </c>
      <c r="G57" s="9">
        <f>SUM(WY_FINANCIAL)</f>
        <v>113487.58053027176</v>
      </c>
      <c r="L57" s="6">
        <v>0</v>
      </c>
      <c r="M57" s="1">
        <v>0</v>
      </c>
      <c r="O57" s="1">
        <v>0</v>
      </c>
      <c r="P57" s="1">
        <v>0</v>
      </c>
      <c r="R57" s="1">
        <v>165000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13519844.831880532</v>
      </c>
      <c r="E60" s="1">
        <f>SUM(UNALLOCATED)</f>
        <v>0</v>
      </c>
      <c r="F60" s="1">
        <f>SUM(LTC)</f>
        <v>0</v>
      </c>
      <c r="G60" s="9">
        <f>SUM(ALL_BLOCKS)</f>
        <v>13519844.831880532</v>
      </c>
      <c r="L60" s="6">
        <f>SUM(LIFE_CALLED)</f>
        <v>0</v>
      </c>
      <c r="M60" s="1">
        <f>SUM(LIFE_REFUNDED)</f>
        <v>0</v>
      </c>
      <c r="O60" s="1">
        <f>SUM(ALLOC_CALLED)</f>
        <v>0</v>
      </c>
      <c r="P60" s="1">
        <f>SUM(ALLOC_REFUNDED)</f>
        <v>0</v>
      </c>
      <c r="R60" s="1">
        <f>SUM(HEALTH_CALLED)</f>
        <v>10031027</v>
      </c>
      <c r="S60" s="1">
        <f>SUM(HEALTH_REFUNDED)</f>
        <v>9982</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141</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13071.235820123589</v>
      </c>
      <c r="E6" s="1">
        <v>0</v>
      </c>
      <c r="F6" s="1">
        <v>0</v>
      </c>
      <c r="G6" s="9">
        <f>SUM(AL_FINANCIAL)</f>
        <v>13071.235820123589</v>
      </c>
      <c r="L6" s="6"/>
      <c r="V6" s="9"/>
    </row>
    <row r="7" spans="1:22">
      <c r="A7" s="1" t="s">
        <v>12</v>
      </c>
      <c r="B7" s="6">
        <v>0</v>
      </c>
      <c r="C7" s="1">
        <v>0</v>
      </c>
      <c r="D7" s="1">
        <v>2853</v>
      </c>
      <c r="E7" s="1">
        <v>0</v>
      </c>
      <c r="F7" s="1">
        <v>0</v>
      </c>
      <c r="G7" s="9">
        <f>SUM(AK_FINANCIAL)</f>
        <v>2853</v>
      </c>
      <c r="I7" s="12"/>
      <c r="J7" s="15"/>
      <c r="L7" s="6"/>
      <c r="V7" s="9"/>
    </row>
    <row r="8" spans="1:22">
      <c r="A8" s="1" t="s">
        <v>13</v>
      </c>
      <c r="B8" s="6">
        <v>0</v>
      </c>
      <c r="C8" s="1">
        <v>0</v>
      </c>
      <c r="D8" s="1">
        <v>108780.95422034075</v>
      </c>
      <c r="E8" s="1">
        <v>0</v>
      </c>
      <c r="F8" s="1">
        <v>0</v>
      </c>
      <c r="G8" s="9">
        <f>SUM(AZ_FINANCIAL)</f>
        <v>108780.95422034075</v>
      </c>
      <c r="I8" s="13" t="s">
        <v>14</v>
      </c>
      <c r="J8" s="16"/>
      <c r="L8" s="6"/>
      <c r="V8" s="9"/>
    </row>
    <row r="9" spans="1:22">
      <c r="A9" s="1" t="s">
        <v>15</v>
      </c>
      <c r="B9" s="6">
        <v>0</v>
      </c>
      <c r="C9" s="1">
        <v>0</v>
      </c>
      <c r="D9" s="1">
        <v>3161</v>
      </c>
      <c r="E9" s="1">
        <v>0</v>
      </c>
      <c r="F9" s="1">
        <v>0</v>
      </c>
      <c r="G9" s="9">
        <f>SUM(AR_FINANCIAL)</f>
        <v>3161</v>
      </c>
      <c r="I9" s="13"/>
      <c r="J9" s="16"/>
      <c r="L9" s="6">
        <v>0</v>
      </c>
      <c r="M9" s="1">
        <v>0</v>
      </c>
      <c r="O9" s="1">
        <v>0</v>
      </c>
      <c r="P9" s="1">
        <v>0</v>
      </c>
      <c r="R9" s="1">
        <v>0</v>
      </c>
      <c r="S9" s="1">
        <v>0</v>
      </c>
      <c r="U9" s="1">
        <v>0</v>
      </c>
      <c r="V9" s="9">
        <v>0</v>
      </c>
    </row>
    <row r="10" spans="1:22">
      <c r="A10" s="1" t="s">
        <v>16</v>
      </c>
      <c r="B10" s="6">
        <v>0</v>
      </c>
      <c r="C10" s="1">
        <v>0</v>
      </c>
      <c r="D10" s="1">
        <v>2881385.4880016232</v>
      </c>
      <c r="E10" s="1">
        <v>0</v>
      </c>
      <c r="F10" s="1">
        <v>0</v>
      </c>
      <c r="G10" s="9">
        <f>SUM(CA_FINANCIAL)</f>
        <v>2881385.4880016232</v>
      </c>
      <c r="I10" s="13" t="s">
        <v>17</v>
      </c>
      <c r="J10" s="16">
        <v>19143648.699999999</v>
      </c>
      <c r="L10" s="6">
        <v>0</v>
      </c>
      <c r="M10" s="1">
        <v>0</v>
      </c>
      <c r="O10" s="1">
        <v>0</v>
      </c>
      <c r="P10" s="1">
        <v>0</v>
      </c>
      <c r="R10" s="1">
        <v>2951291</v>
      </c>
      <c r="S10" s="1">
        <v>0</v>
      </c>
      <c r="U10" s="1">
        <v>0</v>
      </c>
      <c r="V10" s="9">
        <v>0</v>
      </c>
    </row>
    <row r="11" spans="1:22">
      <c r="A11" s="1" t="s">
        <v>18</v>
      </c>
      <c r="B11" s="6">
        <v>0</v>
      </c>
      <c r="C11" s="1">
        <v>0</v>
      </c>
      <c r="D11" s="1">
        <v>52579.382039438242</v>
      </c>
      <c r="E11" s="1">
        <v>0</v>
      </c>
      <c r="F11" s="1">
        <v>0</v>
      </c>
      <c r="G11" s="9">
        <f>SUM(CO_FINANCIAL)</f>
        <v>52579.382039438242</v>
      </c>
      <c r="I11" s="13"/>
      <c r="J11" s="16"/>
      <c r="L11" s="6">
        <v>0</v>
      </c>
      <c r="M11" s="1">
        <v>0</v>
      </c>
      <c r="O11" s="1">
        <v>0</v>
      </c>
      <c r="P11" s="1">
        <v>0</v>
      </c>
      <c r="R11" s="1">
        <v>21895</v>
      </c>
      <c r="S11" s="1">
        <v>31891</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19143648.699999999</v>
      </c>
      <c r="L13" s="6"/>
      <c r="V13" s="9"/>
    </row>
    <row r="14" spans="1:22">
      <c r="A14" s="1" t="s">
        <v>23</v>
      </c>
      <c r="B14" s="6">
        <v>0</v>
      </c>
      <c r="C14" s="1">
        <v>0</v>
      </c>
      <c r="D14" s="1">
        <v>0</v>
      </c>
      <c r="E14" s="1">
        <v>0</v>
      </c>
      <c r="F14" s="1">
        <v>0</v>
      </c>
      <c r="G14" s="9">
        <f>SUM(DC_FINANCIAL)</f>
        <v>0</v>
      </c>
      <c r="I14" s="13" t="s">
        <v>24</v>
      </c>
      <c r="J14" s="16">
        <v>3511655.6</v>
      </c>
      <c r="L14" s="6"/>
      <c r="V14" s="9"/>
    </row>
    <row r="15" spans="1:22">
      <c r="A15" s="1" t="s">
        <v>25</v>
      </c>
      <c r="B15" s="6">
        <v>0</v>
      </c>
      <c r="C15" s="1">
        <v>0</v>
      </c>
      <c r="D15" s="1">
        <v>13863260.822522886</v>
      </c>
      <c r="E15" s="1">
        <v>0</v>
      </c>
      <c r="F15" s="1">
        <v>0</v>
      </c>
      <c r="G15" s="9">
        <f>SUM(FL_FINANCIAL)</f>
        <v>13863260.822522886</v>
      </c>
      <c r="I15" s="13" t="s">
        <v>26</v>
      </c>
      <c r="J15" s="16">
        <v>5128221</v>
      </c>
      <c r="L15" s="6">
        <v>0</v>
      </c>
      <c r="M15" s="1">
        <v>0</v>
      </c>
      <c r="O15" s="1">
        <v>0</v>
      </c>
      <c r="P15" s="1">
        <v>0</v>
      </c>
      <c r="R15" s="1">
        <v>11633000</v>
      </c>
      <c r="S15" s="1">
        <v>0</v>
      </c>
      <c r="U15" s="1">
        <v>0</v>
      </c>
      <c r="V15" s="9">
        <v>0</v>
      </c>
    </row>
    <row r="16" spans="1:22">
      <c r="A16" s="1" t="s">
        <v>27</v>
      </c>
      <c r="B16" s="6">
        <v>0</v>
      </c>
      <c r="C16" s="1">
        <v>0</v>
      </c>
      <c r="D16" s="1">
        <v>5525.32</v>
      </c>
      <c r="E16" s="1">
        <v>0</v>
      </c>
      <c r="F16" s="1">
        <v>0</v>
      </c>
      <c r="G16" s="9">
        <f>SUM(GA_FINANCIAL)</f>
        <v>5525.32</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19238.419999999998</v>
      </c>
      <c r="E18" s="1">
        <v>0</v>
      </c>
      <c r="F18" s="1">
        <v>0</v>
      </c>
      <c r="G18" s="9">
        <f>SUM(ID_FINANCIAL)</f>
        <v>19238.419999999998</v>
      </c>
      <c r="I18" s="13" t="s">
        <v>31</v>
      </c>
      <c r="J18" s="16"/>
      <c r="L18" s="6">
        <v>0</v>
      </c>
      <c r="M18" s="1">
        <v>0</v>
      </c>
      <c r="O18" s="1">
        <v>0</v>
      </c>
      <c r="P18" s="1">
        <v>0</v>
      </c>
      <c r="R18" s="1">
        <v>29400</v>
      </c>
      <c r="S18" s="1">
        <v>0</v>
      </c>
      <c r="U18" s="1">
        <v>0</v>
      </c>
      <c r="V18" s="9">
        <v>0</v>
      </c>
    </row>
    <row r="19" spans="1:22">
      <c r="A19" s="1" t="s">
        <v>32</v>
      </c>
      <c r="B19" s="6">
        <v>0</v>
      </c>
      <c r="C19" s="1">
        <v>0</v>
      </c>
      <c r="D19" s="1">
        <v>1797127.1842716455</v>
      </c>
      <c r="E19" s="1">
        <v>0</v>
      </c>
      <c r="F19" s="1">
        <v>0</v>
      </c>
      <c r="G19" s="9">
        <f>SUM(IL_FINANCIAL)</f>
        <v>1797127.1842716455</v>
      </c>
      <c r="I19" s="13" t="s">
        <v>33</v>
      </c>
      <c r="J19" s="16">
        <v>0</v>
      </c>
      <c r="L19" s="6">
        <v>0</v>
      </c>
      <c r="M19" s="1">
        <v>0</v>
      </c>
      <c r="O19" s="1">
        <v>0</v>
      </c>
      <c r="P19" s="1">
        <v>0</v>
      </c>
      <c r="R19" s="1">
        <v>2500000</v>
      </c>
      <c r="S19" s="1">
        <v>0</v>
      </c>
      <c r="U19" s="1">
        <v>0</v>
      </c>
      <c r="V19" s="9">
        <v>0</v>
      </c>
    </row>
    <row r="20" spans="1:22">
      <c r="A20" s="1" t="s">
        <v>34</v>
      </c>
      <c r="B20" s="6">
        <v>0</v>
      </c>
      <c r="C20" s="1">
        <v>0</v>
      </c>
      <c r="D20" s="1">
        <v>2331381.184509581</v>
      </c>
      <c r="E20" s="1">
        <v>0</v>
      </c>
      <c r="F20" s="1">
        <v>0</v>
      </c>
      <c r="G20" s="9">
        <f>SUM(IN_FINANCIAL)</f>
        <v>2331381.184509581</v>
      </c>
      <c r="I20" s="13" t="s">
        <v>35</v>
      </c>
      <c r="J20" s="16">
        <v>19143648.699999999</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30569.5</v>
      </c>
      <c r="E24" s="1">
        <v>0</v>
      </c>
      <c r="F24" s="1">
        <v>0</v>
      </c>
      <c r="G24" s="9">
        <f>SUM(LA_FINANCIAL)</f>
        <v>30569.5</v>
      </c>
      <c r="I24" s="13" t="s">
        <v>43</v>
      </c>
      <c r="J24" s="16">
        <v>2077826.6300000001</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25705698.670000002</v>
      </c>
      <c r="L26" s="6"/>
      <c r="V26" s="9"/>
    </row>
    <row r="27" spans="1:22">
      <c r="A27" s="1" t="s">
        <v>47</v>
      </c>
      <c r="B27" s="6">
        <v>0</v>
      </c>
      <c r="C27" s="1">
        <v>0</v>
      </c>
      <c r="D27" s="1">
        <v>0</v>
      </c>
      <c r="E27" s="1">
        <v>0</v>
      </c>
      <c r="F27" s="1">
        <v>0</v>
      </c>
      <c r="G27" s="9">
        <f>SUM(MA_FINANCIAL)</f>
        <v>0</v>
      </c>
      <c r="I27" s="13" t="s">
        <v>48</v>
      </c>
      <c r="J27" s="16">
        <f>SUM(ALL_BLOCKS)</f>
        <v>25705698.670000002</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5948</v>
      </c>
      <c r="E30" s="1">
        <v>0</v>
      </c>
      <c r="F30" s="1">
        <v>0</v>
      </c>
      <c r="G30" s="9">
        <f>SUM(MS_FINANCIAL)</f>
        <v>5948</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27024</v>
      </c>
      <c r="E32" s="1">
        <v>0</v>
      </c>
      <c r="F32" s="1">
        <v>0</v>
      </c>
      <c r="G32" s="9">
        <f>SUM(MT_FINANCIAL)</f>
        <v>27024</v>
      </c>
      <c r="L32" s="6"/>
      <c r="V32" s="9"/>
    </row>
    <row r="33" spans="1:22">
      <c r="A33" s="1" t="s">
        <v>54</v>
      </c>
      <c r="B33" s="6">
        <v>0</v>
      </c>
      <c r="C33" s="1">
        <v>0</v>
      </c>
      <c r="D33" s="1">
        <v>1372110.6511464564</v>
      </c>
      <c r="E33" s="1">
        <v>0</v>
      </c>
      <c r="F33" s="1">
        <v>0</v>
      </c>
      <c r="G33" s="9">
        <f>SUM(NE_FINANCIAL)</f>
        <v>1372110.6511464564</v>
      </c>
      <c r="L33" s="6">
        <v>0</v>
      </c>
      <c r="M33" s="1">
        <v>0</v>
      </c>
      <c r="O33" s="1">
        <v>0</v>
      </c>
      <c r="P33" s="1">
        <v>0</v>
      </c>
      <c r="R33" s="1">
        <v>1500000</v>
      </c>
      <c r="S33" s="1">
        <v>0</v>
      </c>
      <c r="U33" s="1">
        <v>0</v>
      </c>
      <c r="V33" s="9">
        <v>0</v>
      </c>
    </row>
    <row r="34" spans="1:22">
      <c r="A34" s="1" t="s">
        <v>55</v>
      </c>
      <c r="B34" s="6">
        <v>0</v>
      </c>
      <c r="C34" s="1">
        <v>0</v>
      </c>
      <c r="D34" s="1">
        <v>306</v>
      </c>
      <c r="E34" s="1">
        <v>0</v>
      </c>
      <c r="F34" s="1">
        <v>0</v>
      </c>
      <c r="G34" s="9">
        <f>SUM(NV_FINANCIAL)</f>
        <v>306</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-217869</v>
      </c>
      <c r="E37" s="1">
        <v>0</v>
      </c>
      <c r="F37" s="1">
        <v>0</v>
      </c>
      <c r="G37" s="9">
        <f>SUM(NM_FINANCIAL)</f>
        <v>-217869</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-403355.8651216416</v>
      </c>
      <c r="E39" s="1">
        <v>0</v>
      </c>
      <c r="F39" s="1">
        <v>0</v>
      </c>
      <c r="G39" s="9">
        <f>SUM(NC_FINANCIAL)</f>
        <v>-403355.8651216416</v>
      </c>
      <c r="L39" s="6"/>
      <c r="V39" s="9"/>
    </row>
    <row r="40" spans="1:22">
      <c r="A40" s="1" t="s">
        <v>61</v>
      </c>
      <c r="B40" s="6">
        <v>0</v>
      </c>
      <c r="C40" s="1">
        <v>0</v>
      </c>
      <c r="D40" s="1">
        <v>957</v>
      </c>
      <c r="E40" s="1">
        <v>0</v>
      </c>
      <c r="F40" s="1">
        <v>0</v>
      </c>
      <c r="G40" s="9">
        <f>SUM(ND_FINANCIAL)</f>
        <v>957</v>
      </c>
      <c r="L40" s="6"/>
      <c r="V40" s="9"/>
    </row>
    <row r="41" spans="1:22">
      <c r="A41" s="1" t="s">
        <v>62</v>
      </c>
      <c r="B41" s="6">
        <v>0</v>
      </c>
      <c r="C41" s="1">
        <v>0</v>
      </c>
      <c r="D41" s="1">
        <v>2859281.1006212984</v>
      </c>
      <c r="E41" s="1">
        <v>0</v>
      </c>
      <c r="F41" s="1">
        <v>0</v>
      </c>
      <c r="G41" s="9">
        <f>SUM(OH_FINANCIAL)</f>
        <v>2859281.1006212984</v>
      </c>
      <c r="L41" s="6">
        <v>0</v>
      </c>
      <c r="M41" s="1">
        <v>0</v>
      </c>
      <c r="O41" s="1">
        <v>0</v>
      </c>
      <c r="P41" s="1">
        <v>0</v>
      </c>
      <c r="R41" s="1">
        <v>2000000</v>
      </c>
      <c r="S41" s="1">
        <v>0</v>
      </c>
      <c r="U41" s="1">
        <v>0</v>
      </c>
      <c r="V41" s="9">
        <v>0</v>
      </c>
    </row>
    <row r="42" spans="1:22">
      <c r="A42" s="1" t="s">
        <v>63</v>
      </c>
      <c r="B42" s="6">
        <v>0</v>
      </c>
      <c r="C42" s="1">
        <v>0</v>
      </c>
      <c r="D42" s="1">
        <v>-272319.42500660755</v>
      </c>
      <c r="E42" s="1">
        <v>0</v>
      </c>
      <c r="F42" s="1">
        <v>0</v>
      </c>
      <c r="G42" s="9">
        <f>SUM(OK_FINANCIAL)</f>
        <v>-272319.42500660755</v>
      </c>
      <c r="L42" s="6"/>
      <c r="V42" s="9"/>
    </row>
    <row r="43" spans="1:22">
      <c r="A43" s="1" t="s">
        <v>64</v>
      </c>
      <c r="B43" s="6">
        <v>0</v>
      </c>
      <c r="C43" s="1">
        <v>0</v>
      </c>
      <c r="D43" s="1">
        <v>47739.370842684039</v>
      </c>
      <c r="E43" s="1">
        <v>0</v>
      </c>
      <c r="F43" s="1">
        <v>0</v>
      </c>
      <c r="G43" s="9">
        <f>SUM(OR_FINANCIAL)</f>
        <v>47739.370842684039</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-147824.70022465684</v>
      </c>
      <c r="E47" s="1">
        <v>0</v>
      </c>
      <c r="F47" s="1">
        <v>0</v>
      </c>
      <c r="G47" s="9">
        <f>SUM(SC_FINANCIAL)</f>
        <v>-147824.70022465684</v>
      </c>
      <c r="L47" s="6"/>
      <c r="V47" s="9"/>
    </row>
    <row r="48" spans="1:22">
      <c r="A48" s="1" t="s">
        <v>69</v>
      </c>
      <c r="B48" s="6">
        <v>0</v>
      </c>
      <c r="C48" s="1">
        <v>0</v>
      </c>
      <c r="D48" s="1">
        <v>1448</v>
      </c>
      <c r="E48" s="1">
        <v>0</v>
      </c>
      <c r="F48" s="1">
        <v>0</v>
      </c>
      <c r="G48" s="9">
        <f>SUM(SD_FINANCIAL)</f>
        <v>1448</v>
      </c>
      <c r="L48" s="6"/>
      <c r="V48" s="9"/>
    </row>
    <row r="49" spans="1:22">
      <c r="A49" s="1" t="s">
        <v>70</v>
      </c>
      <c r="B49" s="6">
        <v>0</v>
      </c>
      <c r="C49" s="1">
        <v>0</v>
      </c>
      <c r="D49" s="1">
        <v>3230.7888922591283</v>
      </c>
      <c r="E49" s="1">
        <v>0</v>
      </c>
      <c r="F49" s="1">
        <v>0</v>
      </c>
      <c r="G49" s="9">
        <f>SUM(TN_FINANCIAL)</f>
        <v>3230.7888922591283</v>
      </c>
      <c r="L49" s="6"/>
      <c r="V49" s="9"/>
    </row>
    <row r="50" spans="1:22">
      <c r="A50" s="1" t="s">
        <v>71</v>
      </c>
      <c r="B50" s="6">
        <v>0</v>
      </c>
      <c r="C50" s="1">
        <v>0</v>
      </c>
      <c r="D50" s="1">
        <v>32296.171308705296</v>
      </c>
      <c r="E50" s="1">
        <v>0</v>
      </c>
      <c r="F50" s="1">
        <v>0</v>
      </c>
      <c r="G50" s="9">
        <f>SUM(TX_FINANCIAL)</f>
        <v>32296.171308705296</v>
      </c>
      <c r="L50" s="6">
        <v>0</v>
      </c>
      <c r="M50" s="1">
        <v>0</v>
      </c>
      <c r="O50" s="1">
        <v>0</v>
      </c>
      <c r="P50" s="1">
        <v>0</v>
      </c>
      <c r="R50" s="1">
        <v>1149991</v>
      </c>
      <c r="S50" s="1">
        <v>0</v>
      </c>
      <c r="U50" s="1">
        <v>0</v>
      </c>
      <c r="V50" s="9">
        <v>0</v>
      </c>
    </row>
    <row r="51" spans="1:22">
      <c r="A51" s="1" t="s">
        <v>72</v>
      </c>
      <c r="B51" s="6">
        <v>0</v>
      </c>
      <c r="C51" s="1">
        <v>0</v>
      </c>
      <c r="D51" s="1">
        <v>13380.674080385772</v>
      </c>
      <c r="E51" s="1">
        <v>0</v>
      </c>
      <c r="F51" s="1">
        <v>0</v>
      </c>
      <c r="G51" s="9">
        <f>SUM(UT_FINANCIAL)</f>
        <v>13380.674080385772</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1240917.2481812697</v>
      </c>
      <c r="E53" s="1">
        <v>0</v>
      </c>
      <c r="F53" s="1">
        <v>0</v>
      </c>
      <c r="G53" s="9">
        <f>SUM(VA_FINANCIAL)</f>
        <v>1240917.2481812697</v>
      </c>
      <c r="L53" s="6">
        <v>0</v>
      </c>
      <c r="M53" s="1">
        <v>0</v>
      </c>
      <c r="O53" s="1">
        <v>0</v>
      </c>
      <c r="P53" s="1">
        <v>0</v>
      </c>
      <c r="R53" s="1">
        <v>500000</v>
      </c>
      <c r="S53" s="1">
        <v>0</v>
      </c>
      <c r="U53" s="1">
        <v>0</v>
      </c>
      <c r="V53" s="9">
        <v>0</v>
      </c>
    </row>
    <row r="54" spans="1:22">
      <c r="A54" s="1" t="s">
        <v>75</v>
      </c>
      <c r="B54" s="6">
        <v>0</v>
      </c>
      <c r="C54" s="1">
        <v>0</v>
      </c>
      <c r="D54" s="1">
        <v>0</v>
      </c>
      <c r="E54" s="1">
        <v>0</v>
      </c>
      <c r="F54" s="1">
        <v>0</v>
      </c>
      <c r="G54" s="9">
        <f>SUM(WA_FINANCIAL)</f>
        <v>0</v>
      </c>
      <c r="L54" s="6"/>
      <c r="V54" s="9"/>
    </row>
    <row r="55" spans="1:22">
      <c r="A55" s="1" t="s">
        <v>76</v>
      </c>
      <c r="B55" s="6">
        <v>0</v>
      </c>
      <c r="C55" s="1">
        <v>0</v>
      </c>
      <c r="D55" s="1">
        <v>33495.163894210098</v>
      </c>
      <c r="E55" s="1">
        <v>0</v>
      </c>
      <c r="F55" s="1">
        <v>0</v>
      </c>
      <c r="G55" s="9">
        <f>SUM(WV_FINANCIAL)</f>
        <v>33495.163894210098</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25705698.670000002</v>
      </c>
      <c r="E60" s="1">
        <f>SUM(UNALLOCATED)</f>
        <v>0</v>
      </c>
      <c r="F60" s="1">
        <f>SUM(LTC)</f>
        <v>0</v>
      </c>
      <c r="G60" s="9">
        <f>SUM(ALL_BLOCKS)</f>
        <v>25705698.670000002</v>
      </c>
      <c r="L60" s="6">
        <f>SUM(LIFE_CALLED)</f>
        <v>0</v>
      </c>
      <c r="M60" s="1">
        <f>SUM(LIFE_REFUNDED)</f>
        <v>0</v>
      </c>
      <c r="O60" s="1">
        <f>SUM(ALLOC_CALLED)</f>
        <v>0</v>
      </c>
      <c r="P60" s="1">
        <f>SUM(ALLOC_REFUNDED)</f>
        <v>0</v>
      </c>
      <c r="R60" s="1">
        <f>SUM(HEALTH_CALLED)</f>
        <v>22285577</v>
      </c>
      <c r="S60" s="1">
        <f>SUM(HEALTH_REFUNDED)</f>
        <v>31891</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142</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179613017.95999974</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21125677.750000019</v>
      </c>
      <c r="L13" s="6"/>
      <c r="V13" s="9"/>
    </row>
    <row r="14" spans="1:22">
      <c r="A14" s="1" t="s">
        <v>23</v>
      </c>
      <c r="B14" s="6">
        <v>0</v>
      </c>
      <c r="C14" s="1">
        <v>0</v>
      </c>
      <c r="D14" s="1">
        <v>0</v>
      </c>
      <c r="E14" s="1">
        <v>0</v>
      </c>
      <c r="F14" s="1">
        <v>0</v>
      </c>
      <c r="G14" s="9">
        <f>SUM(DC_FINANCIAL)</f>
        <v>0</v>
      </c>
      <c r="I14" s="13" t="s">
        <v>24</v>
      </c>
      <c r="J14" s="16">
        <v>3955062.5796813769</v>
      </c>
      <c r="L14" s="6"/>
      <c r="V14" s="9"/>
    </row>
    <row r="15" spans="1:22">
      <c r="A15" s="1" t="s">
        <v>25</v>
      </c>
      <c r="B15" s="6">
        <v>0</v>
      </c>
      <c r="C15" s="1">
        <v>0</v>
      </c>
      <c r="D15" s="1">
        <v>0</v>
      </c>
      <c r="E15" s="1">
        <v>0</v>
      </c>
      <c r="F15" s="1">
        <v>0</v>
      </c>
      <c r="G15" s="9">
        <f>SUM(FL_FINANCIAL)</f>
        <v>0</v>
      </c>
      <c r="I15" s="13" t="s">
        <v>26</v>
      </c>
      <c r="J15" s="16">
        <v>20394724</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84962433.915585563</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72847074.719999999</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67278973.65409559</v>
      </c>
      <c r="L26" s="6"/>
      <c r="V26" s="9"/>
    </row>
    <row r="27" spans="1:22">
      <c r="A27" s="1" t="s">
        <v>47</v>
      </c>
      <c r="B27" s="6">
        <v>0</v>
      </c>
      <c r="C27" s="1">
        <v>0</v>
      </c>
      <c r="D27" s="1">
        <v>0</v>
      </c>
      <c r="E27" s="1">
        <v>0</v>
      </c>
      <c r="F27" s="1">
        <v>0</v>
      </c>
      <c r="G27" s="9">
        <f>SUM(MA_FINANCIAL)</f>
        <v>0</v>
      </c>
      <c r="I27" s="13" t="s">
        <v>48</v>
      </c>
      <c r="J27" s="16">
        <f>SUM(ALL_BLOCKS)</f>
        <v>67278973.65409556</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67278973.65409556</v>
      </c>
      <c r="C50" s="1">
        <v>0</v>
      </c>
      <c r="D50" s="1">
        <v>0</v>
      </c>
      <c r="E50" s="1">
        <v>0</v>
      </c>
      <c r="F50" s="1">
        <v>0</v>
      </c>
      <c r="G50" s="9">
        <f>SUM(TX_FINANCIAL)</f>
        <v>67278973.65409556</v>
      </c>
      <c r="L50" s="6">
        <v>94939000</v>
      </c>
      <c r="M50" s="1">
        <v>0</v>
      </c>
      <c r="O50" s="1">
        <v>0</v>
      </c>
      <c r="P50" s="1">
        <v>0</v>
      </c>
      <c r="R50" s="1">
        <v>0</v>
      </c>
      <c r="S50" s="1">
        <v>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67278973.65409556</v>
      </c>
      <c r="C60" s="1">
        <f>SUM(ALLOCATED)</f>
        <v>0</v>
      </c>
      <c r="D60" s="1">
        <f>SUM(HEALTH)</f>
        <v>0</v>
      </c>
      <c r="E60" s="1">
        <f>SUM(UNALLOCATED)</f>
        <v>0</v>
      </c>
      <c r="F60" s="1">
        <f>SUM(LTC)</f>
        <v>0</v>
      </c>
      <c r="G60" s="9">
        <f>SUM(ALL_BLOCKS)</f>
        <v>67278973.65409556</v>
      </c>
      <c r="L60" s="6">
        <f>SUM(LIFE_CALLED)</f>
        <v>94939000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143</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4590.9032556664561</v>
      </c>
      <c r="C6" s="1">
        <v>0</v>
      </c>
      <c r="D6" s="1">
        <v>27.119196576942176</v>
      </c>
      <c r="E6" s="1">
        <v>0</v>
      </c>
      <c r="F6" s="1">
        <v>0</v>
      </c>
      <c r="G6" s="9">
        <f>SUM(AL_FINANCIAL)</f>
        <v>4618.0224522433982</v>
      </c>
      <c r="L6" s="6"/>
      <c r="V6" s="9"/>
    </row>
    <row r="7" spans="1:22">
      <c r="A7" s="1" t="s">
        <v>12</v>
      </c>
      <c r="B7" s="6">
        <v>0</v>
      </c>
      <c r="C7" s="1">
        <v>0</v>
      </c>
      <c r="D7" s="1">
        <v>0</v>
      </c>
      <c r="E7" s="1">
        <v>0</v>
      </c>
      <c r="F7" s="1">
        <v>0</v>
      </c>
      <c r="G7" s="9">
        <f>SUM(AK_FINANCIAL)</f>
        <v>0</v>
      </c>
      <c r="I7" s="12"/>
      <c r="J7" s="15"/>
      <c r="L7" s="6"/>
      <c r="V7" s="9"/>
    </row>
    <row r="8" spans="1:22">
      <c r="A8" s="1" t="s">
        <v>13</v>
      </c>
      <c r="B8" s="6">
        <v>7270.1855066050293</v>
      </c>
      <c r="C8" s="1">
        <v>2.3521937877232952</v>
      </c>
      <c r="D8" s="1">
        <v>4.4976796365254517</v>
      </c>
      <c r="E8" s="1">
        <v>0</v>
      </c>
      <c r="F8" s="1">
        <v>0</v>
      </c>
      <c r="G8" s="9">
        <f>SUM(AZ_FINANCIAL)</f>
        <v>7277.0353800292778</v>
      </c>
      <c r="I8" s="13" t="s">
        <v>14</v>
      </c>
      <c r="J8" s="16"/>
      <c r="L8" s="6"/>
      <c r="V8" s="9"/>
    </row>
    <row r="9" spans="1:22">
      <c r="A9" s="1" t="s">
        <v>15</v>
      </c>
      <c r="B9" s="6">
        <v>5605.6272918500235</v>
      </c>
      <c r="C9" s="1">
        <v>0</v>
      </c>
      <c r="D9" s="1">
        <v>3.3999785339563857</v>
      </c>
      <c r="E9" s="1">
        <v>0</v>
      </c>
      <c r="F9" s="1">
        <v>0</v>
      </c>
      <c r="G9" s="9">
        <f>SUM(AR_FINANCIAL)</f>
        <v>5609.0272703839801</v>
      </c>
      <c r="I9" s="13"/>
      <c r="J9" s="16"/>
      <c r="L9" s="6">
        <v>9571</v>
      </c>
      <c r="M9" s="1">
        <v>0</v>
      </c>
      <c r="O9" s="1">
        <v>0</v>
      </c>
      <c r="P9" s="1">
        <v>0</v>
      </c>
      <c r="R9" s="1">
        <v>0</v>
      </c>
      <c r="S9" s="1">
        <v>0</v>
      </c>
      <c r="U9" s="1">
        <v>0</v>
      </c>
      <c r="V9" s="9">
        <v>0</v>
      </c>
    </row>
    <row r="10" spans="1:22">
      <c r="A10" s="1" t="s">
        <v>16</v>
      </c>
      <c r="B10" s="6">
        <v>43641.52129052634</v>
      </c>
      <c r="C10" s="1">
        <v>0</v>
      </c>
      <c r="D10" s="1">
        <v>2.6909021351687188</v>
      </c>
      <c r="E10" s="1">
        <v>0</v>
      </c>
      <c r="F10" s="1">
        <v>0</v>
      </c>
      <c r="G10" s="9">
        <f>SUM(CA_FINANCIAL)</f>
        <v>43644.212192661507</v>
      </c>
      <c r="I10" s="13" t="s">
        <v>17</v>
      </c>
      <c r="J10" s="16">
        <v>0</v>
      </c>
      <c r="L10" s="6"/>
      <c r="V10" s="9"/>
    </row>
    <row r="11" spans="1:22">
      <c r="A11" s="1" t="s">
        <v>18</v>
      </c>
      <c r="B11" s="6">
        <v>15115.580143595094</v>
      </c>
      <c r="C11" s="1">
        <v>0</v>
      </c>
      <c r="D11" s="1">
        <v>1.4933537118440305</v>
      </c>
      <c r="E11" s="1">
        <v>0</v>
      </c>
      <c r="F11" s="1">
        <v>0</v>
      </c>
      <c r="G11" s="9">
        <f>SUM(CO_FINANCIAL)</f>
        <v>15117.073497306937</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23745.612867917898</v>
      </c>
      <c r="C15" s="1">
        <v>67.00394291873215</v>
      </c>
      <c r="D15" s="1">
        <v>0.49896553237353736</v>
      </c>
      <c r="E15" s="1">
        <v>0</v>
      </c>
      <c r="F15" s="1">
        <v>0</v>
      </c>
      <c r="G15" s="9">
        <f>SUM(FL_FINANCIAL)</f>
        <v>23813.115776369003</v>
      </c>
      <c r="I15" s="13" t="s">
        <v>26</v>
      </c>
      <c r="J15" s="16">
        <v>368170.78999999992</v>
      </c>
      <c r="L15" s="6"/>
      <c r="V15" s="9"/>
    </row>
    <row r="16" spans="1:22">
      <c r="A16" s="1" t="s">
        <v>27</v>
      </c>
      <c r="B16" s="6">
        <v>14699.036369696247</v>
      </c>
      <c r="C16" s="1">
        <v>0</v>
      </c>
      <c r="D16" s="1">
        <v>2.0351050612658153</v>
      </c>
      <c r="E16" s="1">
        <v>0</v>
      </c>
      <c r="F16" s="1">
        <v>0</v>
      </c>
      <c r="G16" s="9">
        <f>SUM(GA_FINANCIAL)</f>
        <v>14701.071474757513</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141.0006855275702</v>
      </c>
      <c r="C18" s="1">
        <v>0</v>
      </c>
      <c r="D18" s="1">
        <v>0</v>
      </c>
      <c r="E18" s="1">
        <v>0</v>
      </c>
      <c r="F18" s="1">
        <v>0</v>
      </c>
      <c r="G18" s="9">
        <f>SUM(ID_FINANCIAL)</f>
        <v>141.0006855275702</v>
      </c>
      <c r="I18" s="13" t="s">
        <v>31</v>
      </c>
      <c r="J18" s="16"/>
      <c r="L18" s="6"/>
      <c r="V18" s="9"/>
    </row>
    <row r="19" spans="1:22">
      <c r="A19" s="1" t="s">
        <v>32</v>
      </c>
      <c r="B19" s="6">
        <v>2385.0115956259215</v>
      </c>
      <c r="C19" s="1">
        <v>0</v>
      </c>
      <c r="D19" s="1">
        <v>0</v>
      </c>
      <c r="E19" s="1">
        <v>0</v>
      </c>
      <c r="F19" s="1">
        <v>0</v>
      </c>
      <c r="G19" s="9">
        <f>SUM(IL_FINANCIAL)</f>
        <v>2385.0115956259215</v>
      </c>
      <c r="I19" s="13" t="s">
        <v>33</v>
      </c>
      <c r="J19" s="16">
        <v>0</v>
      </c>
      <c r="L19" s="6"/>
      <c r="V19" s="9"/>
    </row>
    <row r="20" spans="1:22">
      <c r="A20" s="1" t="s">
        <v>34</v>
      </c>
      <c r="B20" s="6">
        <v>2080.7249368805496</v>
      </c>
      <c r="C20" s="1">
        <v>0</v>
      </c>
      <c r="D20" s="1">
        <v>0.28518072848302778</v>
      </c>
      <c r="E20" s="1">
        <v>0</v>
      </c>
      <c r="F20" s="1">
        <v>0</v>
      </c>
      <c r="G20" s="9">
        <f>SUM(IN_FINANCIAL)</f>
        <v>2081.0101176090325</v>
      </c>
      <c r="I20" s="13" t="s">
        <v>35</v>
      </c>
      <c r="J20" s="16">
        <v>0</v>
      </c>
      <c r="L20" s="6"/>
      <c r="V20" s="9"/>
    </row>
    <row r="21" spans="1:22">
      <c r="A21" s="1" t="s">
        <v>36</v>
      </c>
      <c r="B21" s="6">
        <v>358.00174055936259</v>
      </c>
      <c r="C21" s="1">
        <v>0</v>
      </c>
      <c r="D21" s="1">
        <v>0</v>
      </c>
      <c r="E21" s="1">
        <v>0</v>
      </c>
      <c r="F21" s="1">
        <v>0</v>
      </c>
      <c r="G21" s="9">
        <f>SUM(IA_FINANCIAL)</f>
        <v>358.00174055936259</v>
      </c>
      <c r="I21" s="13" t="s">
        <v>37</v>
      </c>
      <c r="J21" s="16"/>
      <c r="L21" s="6"/>
      <c r="V21" s="9"/>
    </row>
    <row r="22" spans="1:22">
      <c r="A22" s="1" t="s">
        <v>38</v>
      </c>
      <c r="B22" s="6">
        <v>9066.7324998194326</v>
      </c>
      <c r="C22" s="1">
        <v>0</v>
      </c>
      <c r="D22" s="1">
        <v>1.3115878685555531</v>
      </c>
      <c r="E22" s="1">
        <v>0</v>
      </c>
      <c r="F22" s="1">
        <v>0</v>
      </c>
      <c r="G22" s="9">
        <f>SUM(KS_FINANCIAL)</f>
        <v>9068.0440876879875</v>
      </c>
      <c r="I22" s="13" t="s">
        <v>39</v>
      </c>
      <c r="J22" s="16">
        <v>0</v>
      </c>
      <c r="L22" s="6"/>
      <c r="V22" s="9"/>
    </row>
    <row r="23" spans="1:22">
      <c r="A23" s="1" t="s">
        <v>40</v>
      </c>
      <c r="B23" s="6">
        <v>2444.0118824778833</v>
      </c>
      <c r="C23" s="1">
        <v>0</v>
      </c>
      <c r="D23" s="1">
        <v>0</v>
      </c>
      <c r="E23" s="1">
        <v>0</v>
      </c>
      <c r="F23" s="1">
        <v>0</v>
      </c>
      <c r="G23" s="9">
        <f>SUM(KY_FINANCIAL)</f>
        <v>2444.0118824778833</v>
      </c>
      <c r="I23" s="13" t="s">
        <v>41</v>
      </c>
      <c r="J23" s="16"/>
      <c r="L23" s="6"/>
      <c r="V23" s="9"/>
    </row>
    <row r="24" spans="1:22">
      <c r="A24" s="1" t="s">
        <v>42</v>
      </c>
      <c r="B24" s="6">
        <v>9564.7628670302474</v>
      </c>
      <c r="C24" s="1">
        <v>0</v>
      </c>
      <c r="D24" s="1">
        <v>6.2836661922646888</v>
      </c>
      <c r="E24" s="1">
        <v>0</v>
      </c>
      <c r="F24" s="1">
        <v>0</v>
      </c>
      <c r="G24" s="9">
        <f>SUM(LA_FINANCIAL)</f>
        <v>9571.0465332225122</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368170.78999999992</v>
      </c>
      <c r="L26" s="6"/>
      <c r="V26" s="9"/>
    </row>
    <row r="27" spans="1:22">
      <c r="A27" s="1" t="s">
        <v>47</v>
      </c>
      <c r="B27" s="6">
        <v>0</v>
      </c>
      <c r="C27" s="1">
        <v>0</v>
      </c>
      <c r="D27" s="1">
        <v>0</v>
      </c>
      <c r="E27" s="1">
        <v>0</v>
      </c>
      <c r="F27" s="1">
        <v>0</v>
      </c>
      <c r="G27" s="9">
        <f>SUM(MA_FINANCIAL)</f>
        <v>0</v>
      </c>
      <c r="I27" s="13" t="s">
        <v>48</v>
      </c>
      <c r="J27" s="16">
        <f>SUM(ALL_BLOCKS)</f>
        <v>368170.78999999992</v>
      </c>
      <c r="L27" s="6"/>
      <c r="V27" s="9"/>
    </row>
    <row r="28" spans="1:22">
      <c r="A28" s="1" t="s">
        <v>49</v>
      </c>
      <c r="B28" s="6">
        <v>589.40386273680508</v>
      </c>
      <c r="C28" s="1">
        <v>0</v>
      </c>
      <c r="D28" s="1">
        <v>0.59900578281490346</v>
      </c>
      <c r="E28" s="1">
        <v>0</v>
      </c>
      <c r="F28" s="1">
        <v>0</v>
      </c>
      <c r="G28" s="9">
        <f>SUM(MI_FINANCIAL)</f>
        <v>590.00286851961994</v>
      </c>
      <c r="I28" s="14"/>
      <c r="J28" s="17"/>
      <c r="L28" s="6"/>
      <c r="V28" s="9"/>
    </row>
    <row r="29" spans="1:22">
      <c r="A29" s="1" t="s">
        <v>50</v>
      </c>
      <c r="B29" s="6">
        <v>201.00097724142987</v>
      </c>
      <c r="C29" s="1">
        <v>0</v>
      </c>
      <c r="D29" s="1">
        <v>0</v>
      </c>
      <c r="E29" s="1">
        <v>0</v>
      </c>
      <c r="F29" s="1">
        <v>0</v>
      </c>
      <c r="G29" s="9">
        <f>SUM(MN_FINANCIAL)</f>
        <v>201.00097724142987</v>
      </c>
      <c r="L29" s="6"/>
      <c r="V29" s="9"/>
    </row>
    <row r="30" spans="1:22">
      <c r="A30" s="1" t="s">
        <v>51</v>
      </c>
      <c r="B30" s="6">
        <v>2399.0116636924886</v>
      </c>
      <c r="C30" s="1">
        <v>0</v>
      </c>
      <c r="D30" s="1">
        <v>0</v>
      </c>
      <c r="E30" s="1">
        <v>0</v>
      </c>
      <c r="F30" s="1">
        <v>0</v>
      </c>
      <c r="G30" s="9">
        <f>SUM(MS_FINANCIAL)</f>
        <v>2399.0116636924886</v>
      </c>
      <c r="L30" s="6"/>
      <c r="V30" s="9"/>
    </row>
    <row r="31" spans="1:22">
      <c r="A31" s="1" t="s">
        <v>52</v>
      </c>
      <c r="B31" s="6">
        <v>11042.834355701316</v>
      </c>
      <c r="C31" s="1">
        <v>2.8797969237811851</v>
      </c>
      <c r="D31" s="1">
        <v>3.3395664821571418</v>
      </c>
      <c r="E31" s="1">
        <v>0</v>
      </c>
      <c r="F31" s="1">
        <v>0</v>
      </c>
      <c r="G31" s="9">
        <f>SUM(MO_FINANCIAL)</f>
        <v>11049.053719107253</v>
      </c>
      <c r="L31" s="6"/>
      <c r="V31" s="9"/>
    </row>
    <row r="32" spans="1:22">
      <c r="A32" s="1" t="s">
        <v>53</v>
      </c>
      <c r="B32" s="6">
        <v>100.00048618976608</v>
      </c>
      <c r="C32" s="1">
        <v>0</v>
      </c>
      <c r="D32" s="1">
        <v>0</v>
      </c>
      <c r="E32" s="1">
        <v>0</v>
      </c>
      <c r="F32" s="1">
        <v>0</v>
      </c>
      <c r="G32" s="9">
        <f>SUM(MT_FINANCIAL)</f>
        <v>100.00048618976608</v>
      </c>
      <c r="L32" s="6"/>
      <c r="V32" s="9"/>
    </row>
    <row r="33" spans="1:22">
      <c r="A33" s="1" t="s">
        <v>54</v>
      </c>
      <c r="B33" s="6">
        <v>439.00213437307309</v>
      </c>
      <c r="C33" s="1">
        <v>0</v>
      </c>
      <c r="D33" s="1">
        <v>0</v>
      </c>
      <c r="E33" s="1">
        <v>0</v>
      </c>
      <c r="F33" s="1">
        <v>0</v>
      </c>
      <c r="G33" s="9">
        <f>SUM(NE_FINANCIAL)</f>
        <v>439.00213437307309</v>
      </c>
      <c r="L33" s="6"/>
      <c r="V33" s="9"/>
    </row>
    <row r="34" spans="1:22">
      <c r="A34" s="1" t="s">
        <v>55</v>
      </c>
      <c r="B34" s="6">
        <v>1572.483643395401</v>
      </c>
      <c r="C34" s="1">
        <v>0</v>
      </c>
      <c r="D34" s="1">
        <v>0.52400436961980523</v>
      </c>
      <c r="E34" s="1">
        <v>0</v>
      </c>
      <c r="F34" s="1">
        <v>0</v>
      </c>
      <c r="G34" s="9">
        <f>SUM(NV_FINANCIAL)</f>
        <v>1573.0076477650209</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3027.0147169642196</v>
      </c>
      <c r="C37" s="1">
        <v>0</v>
      </c>
      <c r="D37" s="1">
        <v>0</v>
      </c>
      <c r="E37" s="1">
        <v>0</v>
      </c>
      <c r="F37" s="1">
        <v>0</v>
      </c>
      <c r="G37" s="9">
        <f>SUM(NM_FINANCIAL)</f>
        <v>3027.0147169642196</v>
      </c>
      <c r="L37" s="6"/>
      <c r="V37" s="9"/>
    </row>
    <row r="38" spans="1:22">
      <c r="A38" s="1" t="s">
        <v>59</v>
      </c>
      <c r="B38" s="6">
        <v>0</v>
      </c>
      <c r="C38" s="1">
        <v>0</v>
      </c>
      <c r="D38" s="1">
        <v>0</v>
      </c>
      <c r="E38" s="1">
        <v>0</v>
      </c>
      <c r="F38" s="1">
        <v>0</v>
      </c>
      <c r="G38" s="9">
        <f>SUM(NY_FINANCIAL)</f>
        <v>0</v>
      </c>
      <c r="L38" s="6"/>
      <c r="V38" s="9"/>
    </row>
    <row r="39" spans="1:22">
      <c r="A39" s="1" t="s">
        <v>60</v>
      </c>
      <c r="B39" s="6">
        <v>9935.6099327737338</v>
      </c>
      <c r="C39" s="1">
        <v>0</v>
      </c>
      <c r="D39" s="1">
        <v>0.43837504142450701</v>
      </c>
      <c r="E39" s="1">
        <v>0</v>
      </c>
      <c r="F39" s="1">
        <v>0</v>
      </c>
      <c r="G39" s="9">
        <f>SUM(NC_FINANCIAL)</f>
        <v>9936.0483078151592</v>
      </c>
      <c r="L39" s="6"/>
      <c r="V39" s="9"/>
    </row>
    <row r="40" spans="1:22">
      <c r="A40" s="1" t="s">
        <v>61</v>
      </c>
      <c r="B40" s="6">
        <v>35.00017016641813</v>
      </c>
      <c r="C40" s="1">
        <v>0</v>
      </c>
      <c r="D40" s="1">
        <v>0</v>
      </c>
      <c r="E40" s="1">
        <v>0</v>
      </c>
      <c r="F40" s="1">
        <v>0</v>
      </c>
      <c r="G40" s="9">
        <f>SUM(ND_FINANCIAL)</f>
        <v>35.00017016641813</v>
      </c>
      <c r="L40" s="6"/>
      <c r="V40" s="9"/>
    </row>
    <row r="41" spans="1:22">
      <c r="A41" s="1" t="s">
        <v>62</v>
      </c>
      <c r="B41" s="6">
        <v>3475.0168950943716</v>
      </c>
      <c r="C41" s="1">
        <v>0</v>
      </c>
      <c r="D41" s="1">
        <v>0</v>
      </c>
      <c r="E41" s="1">
        <v>0</v>
      </c>
      <c r="F41" s="1">
        <v>0</v>
      </c>
      <c r="G41" s="9">
        <f>SUM(OH_FINANCIAL)</f>
        <v>3475.0168950943716</v>
      </c>
      <c r="L41" s="6"/>
      <c r="V41" s="9"/>
    </row>
    <row r="42" spans="1:22">
      <c r="A42" s="1" t="s">
        <v>63</v>
      </c>
      <c r="B42" s="6">
        <v>41484.50253202497</v>
      </c>
      <c r="C42" s="1">
        <v>1065.5543501819723</v>
      </c>
      <c r="D42" s="1">
        <v>195.15093960857055</v>
      </c>
      <c r="E42" s="1">
        <v>0</v>
      </c>
      <c r="F42" s="1">
        <v>0</v>
      </c>
      <c r="G42" s="9">
        <f>SUM(OK_FINANCIAL)</f>
        <v>42745.207821815507</v>
      </c>
      <c r="L42" s="6"/>
      <c r="V42" s="9"/>
    </row>
    <row r="43" spans="1:22">
      <c r="A43" s="1" t="s">
        <v>64</v>
      </c>
      <c r="B43" s="6">
        <v>655.60778358575601</v>
      </c>
      <c r="C43" s="1">
        <v>0</v>
      </c>
      <c r="D43" s="1">
        <v>0.39540581910955969</v>
      </c>
      <c r="E43" s="1">
        <v>0</v>
      </c>
      <c r="F43" s="1">
        <v>0</v>
      </c>
      <c r="G43" s="9">
        <f>SUM(OR_FINANCIAL)</f>
        <v>656.00318940486557</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3525.0171381892551</v>
      </c>
      <c r="C47" s="1">
        <v>0</v>
      </c>
      <c r="D47" s="1">
        <v>0</v>
      </c>
      <c r="E47" s="1">
        <v>0</v>
      </c>
      <c r="F47" s="1">
        <v>0</v>
      </c>
      <c r="G47" s="9">
        <f>SUM(SC_FINANCIAL)</f>
        <v>3525.0171381892551</v>
      </c>
      <c r="L47" s="6"/>
      <c r="V47" s="9"/>
    </row>
    <row r="48" spans="1:22">
      <c r="A48" s="1" t="s">
        <v>69</v>
      </c>
      <c r="B48" s="6">
        <v>99.000481327868442</v>
      </c>
      <c r="C48" s="1">
        <v>0</v>
      </c>
      <c r="D48" s="1">
        <v>0</v>
      </c>
      <c r="E48" s="1">
        <v>0</v>
      </c>
      <c r="F48" s="1">
        <v>0</v>
      </c>
      <c r="G48" s="9">
        <f>SUM(SD_FINANCIAL)</f>
        <v>99.000481327868442</v>
      </c>
      <c r="L48" s="6"/>
      <c r="V48" s="9"/>
    </row>
    <row r="49" spans="1:22">
      <c r="A49" s="1" t="s">
        <v>70</v>
      </c>
      <c r="B49" s="6">
        <v>13670.331400836434</v>
      </c>
      <c r="C49" s="1">
        <v>0.26730062634891516</v>
      </c>
      <c r="D49" s="1">
        <v>3.4677801258332588</v>
      </c>
      <c r="E49" s="1">
        <v>0</v>
      </c>
      <c r="F49" s="1">
        <v>0</v>
      </c>
      <c r="G49" s="9">
        <f>SUM(TN_FINANCIAL)</f>
        <v>13674.066481588616</v>
      </c>
      <c r="L49" s="6"/>
      <c r="V49" s="9"/>
    </row>
    <row r="50" spans="1:22">
      <c r="A50" s="1" t="s">
        <v>71</v>
      </c>
      <c r="B50" s="6">
        <v>129830.82300573394</v>
      </c>
      <c r="C50" s="1">
        <v>289.67642319397896</v>
      </c>
      <c r="D50" s="1">
        <v>152.13394020418073</v>
      </c>
      <c r="E50" s="1">
        <v>0</v>
      </c>
      <c r="F50" s="1">
        <v>0</v>
      </c>
      <c r="G50" s="9">
        <f>SUM(TX_FINANCIAL)</f>
        <v>130272.63336913209</v>
      </c>
      <c r="L50" s="6"/>
      <c r="V50" s="9"/>
    </row>
    <row r="51" spans="1:22">
      <c r="A51" s="1" t="s">
        <v>72</v>
      </c>
      <c r="B51" s="6">
        <v>557.00270807699712</v>
      </c>
      <c r="C51" s="1">
        <v>0</v>
      </c>
      <c r="D51" s="1">
        <v>0</v>
      </c>
      <c r="E51" s="1">
        <v>0</v>
      </c>
      <c r="F51" s="1">
        <v>0</v>
      </c>
      <c r="G51" s="9">
        <f>SUM(UT_FINANCIAL)</f>
        <v>557.00270807699712</v>
      </c>
      <c r="L51" s="6"/>
      <c r="V51" s="9"/>
    </row>
    <row r="52" spans="1:22">
      <c r="A52" s="1" t="s">
        <v>73</v>
      </c>
      <c r="B52" s="6">
        <v>0</v>
      </c>
      <c r="C52" s="1">
        <v>0</v>
      </c>
      <c r="D52" s="1">
        <v>0</v>
      </c>
      <c r="E52" s="1">
        <v>0</v>
      </c>
      <c r="F52" s="1">
        <v>0</v>
      </c>
      <c r="G52" s="9">
        <f>SUM(VT_FINANCIAL)</f>
        <v>0</v>
      </c>
      <c r="L52" s="6"/>
      <c r="V52" s="9"/>
    </row>
    <row r="53" spans="1:22">
      <c r="A53" s="1" t="s">
        <v>74</v>
      </c>
      <c r="B53" s="6">
        <v>1846.7970991362488</v>
      </c>
      <c r="C53" s="1">
        <v>4.2119002363214877</v>
      </c>
      <c r="D53" s="1">
        <v>0</v>
      </c>
      <c r="E53" s="1">
        <v>0</v>
      </c>
      <c r="F53" s="1">
        <v>0</v>
      </c>
      <c r="G53" s="9">
        <f>SUM(VA_FINANCIAL)</f>
        <v>1851.0089993725703</v>
      </c>
      <c r="L53" s="6"/>
      <c r="V53" s="9"/>
    </row>
    <row r="54" spans="1:22">
      <c r="A54" s="1" t="s">
        <v>75</v>
      </c>
      <c r="B54" s="6">
        <v>667.00324288573984</v>
      </c>
      <c r="C54" s="1">
        <v>0</v>
      </c>
      <c r="D54" s="1">
        <v>0</v>
      </c>
      <c r="E54" s="1">
        <v>0</v>
      </c>
      <c r="F54" s="1">
        <v>0</v>
      </c>
      <c r="G54" s="9">
        <f>SUM(WA_FINANCIAL)</f>
        <v>667.00324288573984</v>
      </c>
      <c r="L54" s="6"/>
      <c r="V54" s="9"/>
    </row>
    <row r="55" spans="1:22">
      <c r="A55" s="1" t="s">
        <v>76</v>
      </c>
      <c r="B55" s="6">
        <v>153.00074387034212</v>
      </c>
      <c r="C55" s="1">
        <v>0</v>
      </c>
      <c r="D55" s="1">
        <v>0</v>
      </c>
      <c r="E55" s="1">
        <v>0</v>
      </c>
      <c r="F55" s="1">
        <v>0</v>
      </c>
      <c r="G55" s="9">
        <f>SUM(WV_FINANCIAL)</f>
        <v>153.00074387034212</v>
      </c>
      <c r="L55" s="6"/>
      <c r="V55" s="9"/>
    </row>
    <row r="56" spans="1:22">
      <c r="A56" s="1" t="s">
        <v>77</v>
      </c>
      <c r="B56" s="6">
        <v>187.00090917486261</v>
      </c>
      <c r="C56" s="1">
        <v>0</v>
      </c>
      <c r="D56" s="1">
        <v>0</v>
      </c>
      <c r="E56" s="1">
        <v>0</v>
      </c>
      <c r="F56" s="1">
        <v>0</v>
      </c>
      <c r="G56" s="9">
        <f>SUM(WI_FINANCIAL)</f>
        <v>187.00090917486261</v>
      </c>
      <c r="L56" s="6"/>
      <c r="V56" s="9"/>
    </row>
    <row r="57" spans="1:22">
      <c r="A57" s="1" t="s">
        <v>78</v>
      </c>
      <c r="B57" s="6">
        <v>132.00064177049123</v>
      </c>
      <c r="C57" s="1">
        <v>0</v>
      </c>
      <c r="D57" s="1">
        <v>0</v>
      </c>
      <c r="E57" s="1">
        <v>0</v>
      </c>
      <c r="F57" s="1">
        <v>0</v>
      </c>
      <c r="G57" s="9">
        <f>SUM(WY_FINANCIAL)</f>
        <v>132.00064177049123</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366333.17945871997</v>
      </c>
      <c r="C60" s="1">
        <f>SUM(ALLOCATED)</f>
        <v>1431.9459078688583</v>
      </c>
      <c r="D60" s="1">
        <f>SUM(HEALTH)</f>
        <v>405.66463341108988</v>
      </c>
      <c r="E60" s="1">
        <f>SUM(UNALLOCATED)</f>
        <v>0</v>
      </c>
      <c r="F60" s="1">
        <f>SUM(LTC)</f>
        <v>0</v>
      </c>
      <c r="G60" s="9">
        <f>SUM(ALL_BLOCKS)</f>
        <v>368170.78999999992</v>
      </c>
      <c r="L60" s="6">
        <f>SUM(LIFE_CALLED)</f>
        <v>9571</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144</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71298.435572609887</v>
      </c>
      <c r="D6" s="1">
        <v>0</v>
      </c>
      <c r="E6" s="1">
        <v>0</v>
      </c>
      <c r="F6" s="1">
        <v>0</v>
      </c>
      <c r="G6" s="9">
        <f>SUM(AL_FINANCIAL)</f>
        <v>71298.435572609887</v>
      </c>
      <c r="L6" s="6">
        <v>0</v>
      </c>
      <c r="M6" s="1">
        <v>0</v>
      </c>
      <c r="O6" s="1">
        <v>0</v>
      </c>
      <c r="P6" s="1">
        <v>0</v>
      </c>
      <c r="R6" s="1">
        <v>102000</v>
      </c>
      <c r="S6" s="1">
        <v>0</v>
      </c>
      <c r="U6" s="1">
        <v>0</v>
      </c>
      <c r="V6" s="9">
        <v>0</v>
      </c>
    </row>
    <row r="7" spans="1:22">
      <c r="A7" s="1" t="s">
        <v>12</v>
      </c>
      <c r="B7" s="6">
        <v>0</v>
      </c>
      <c r="C7" s="1">
        <v>0</v>
      </c>
      <c r="D7" s="1">
        <v>0</v>
      </c>
      <c r="E7" s="1">
        <v>0</v>
      </c>
      <c r="F7" s="1">
        <v>0</v>
      </c>
      <c r="G7" s="9">
        <f>SUM(AK_FINANCIAL)</f>
        <v>0</v>
      </c>
      <c r="I7" s="12"/>
      <c r="J7" s="15"/>
      <c r="L7" s="6"/>
      <c r="V7" s="9"/>
    </row>
    <row r="8" spans="1:22">
      <c r="A8" s="1" t="s">
        <v>13</v>
      </c>
      <c r="B8" s="6">
        <v>40109.724149901391</v>
      </c>
      <c r="C8" s="1">
        <v>920013.1476465069</v>
      </c>
      <c r="D8" s="1">
        <v>42795.433960229857</v>
      </c>
      <c r="E8" s="1">
        <v>0</v>
      </c>
      <c r="F8" s="1">
        <v>0</v>
      </c>
      <c r="G8" s="9">
        <f>SUM(AZ_FINANCIAL)</f>
        <v>1002918.3057566382</v>
      </c>
      <c r="I8" s="13" t="s">
        <v>14</v>
      </c>
      <c r="J8" s="16"/>
      <c r="L8" s="6">
        <v>281955</v>
      </c>
      <c r="M8" s="1">
        <v>0</v>
      </c>
      <c r="O8" s="1">
        <v>921320</v>
      </c>
      <c r="P8" s="1">
        <v>0</v>
      </c>
      <c r="R8" s="1">
        <v>0</v>
      </c>
      <c r="S8" s="1">
        <v>0</v>
      </c>
      <c r="U8" s="1">
        <v>0</v>
      </c>
      <c r="V8" s="9">
        <v>0</v>
      </c>
    </row>
    <row r="9" spans="1:22">
      <c r="A9" s="1" t="s">
        <v>15</v>
      </c>
      <c r="B9" s="6">
        <v>0</v>
      </c>
      <c r="C9" s="1">
        <v>0</v>
      </c>
      <c r="D9" s="1">
        <v>0</v>
      </c>
      <c r="E9" s="1">
        <v>0</v>
      </c>
      <c r="F9" s="1">
        <v>0</v>
      </c>
      <c r="G9" s="9">
        <f>SUM(AR_FINANCIAL)</f>
        <v>0</v>
      </c>
      <c r="I9" s="13"/>
      <c r="J9" s="16"/>
      <c r="L9" s="6"/>
      <c r="V9" s="9"/>
    </row>
    <row r="10" spans="1:22">
      <c r="A10" s="1" t="s">
        <v>16</v>
      </c>
      <c r="B10" s="6">
        <v>393037.33948592714</v>
      </c>
      <c r="C10" s="1">
        <v>327180.31843990006</v>
      </c>
      <c r="D10" s="1">
        <v>0</v>
      </c>
      <c r="E10" s="1">
        <v>0</v>
      </c>
      <c r="F10" s="1">
        <v>0</v>
      </c>
      <c r="G10" s="9">
        <f>SUM(CA_FINANCIAL)</f>
        <v>720217.6579258272</v>
      </c>
      <c r="I10" s="13" t="s">
        <v>17</v>
      </c>
      <c r="J10" s="16">
        <v>68990674</v>
      </c>
      <c r="L10" s="6">
        <v>250000</v>
      </c>
      <c r="M10" s="1">
        <v>1100000</v>
      </c>
      <c r="O10" s="1">
        <v>1200000</v>
      </c>
      <c r="P10" s="1">
        <v>0</v>
      </c>
      <c r="R10" s="1">
        <v>74000</v>
      </c>
      <c r="S10" s="1">
        <v>0</v>
      </c>
      <c r="U10" s="1">
        <v>0</v>
      </c>
      <c r="V10" s="9">
        <v>0</v>
      </c>
    </row>
    <row r="11" spans="1:22">
      <c r="A11" s="1" t="s">
        <v>18</v>
      </c>
      <c r="B11" s="6">
        <v>0</v>
      </c>
      <c r="C11" s="1">
        <v>707176.26141965762</v>
      </c>
      <c r="D11" s="1">
        <v>0</v>
      </c>
      <c r="E11" s="1">
        <v>0</v>
      </c>
      <c r="F11" s="1">
        <v>0</v>
      </c>
      <c r="G11" s="9">
        <f>SUM(CO_FINANCIAL)</f>
        <v>707176.26141965762</v>
      </c>
      <c r="I11" s="13"/>
      <c r="J11" s="16"/>
      <c r="L11" s="6">
        <v>0</v>
      </c>
      <c r="M11" s="1">
        <v>0</v>
      </c>
      <c r="O11" s="1">
        <v>9207039</v>
      </c>
      <c r="P11" s="1">
        <v>860000</v>
      </c>
      <c r="R11" s="1">
        <v>0</v>
      </c>
      <c r="S11" s="1">
        <v>215835</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48880235</v>
      </c>
      <c r="L13" s="6"/>
      <c r="V13" s="9"/>
    </row>
    <row r="14" spans="1:22">
      <c r="A14" s="1" t="s">
        <v>23</v>
      </c>
      <c r="B14" s="6">
        <v>0</v>
      </c>
      <c r="C14" s="1">
        <v>0</v>
      </c>
      <c r="D14" s="1">
        <v>0</v>
      </c>
      <c r="E14" s="1">
        <v>0</v>
      </c>
      <c r="F14" s="1">
        <v>0</v>
      </c>
      <c r="G14" s="9">
        <f>SUM(DC_FINANCIAL)</f>
        <v>0</v>
      </c>
      <c r="I14" s="13" t="s">
        <v>24</v>
      </c>
      <c r="J14" s="16">
        <v>2934120.9999999995</v>
      </c>
      <c r="L14" s="6"/>
      <c r="V14" s="9"/>
    </row>
    <row r="15" spans="1:22">
      <c r="A15" s="1" t="s">
        <v>25</v>
      </c>
      <c r="B15" s="6">
        <v>2461.8202614291167</v>
      </c>
      <c r="C15" s="1">
        <v>1484008.6299242985</v>
      </c>
      <c r="D15" s="1">
        <v>0</v>
      </c>
      <c r="E15" s="1">
        <v>0</v>
      </c>
      <c r="F15" s="1">
        <v>0</v>
      </c>
      <c r="G15" s="9">
        <f>SUM(FL_FINANCIAL)</f>
        <v>1486470.4501857276</v>
      </c>
      <c r="I15" s="13" t="s">
        <v>26</v>
      </c>
      <c r="J15" s="16">
        <v>776590.49000000046</v>
      </c>
      <c r="L15" s="6">
        <v>100000</v>
      </c>
      <c r="M15" s="1">
        <v>0</v>
      </c>
      <c r="O15" s="1">
        <v>2900000</v>
      </c>
      <c r="P15" s="1">
        <v>0</v>
      </c>
      <c r="R15" s="1">
        <v>0</v>
      </c>
      <c r="S15" s="1">
        <v>0</v>
      </c>
      <c r="U15" s="1">
        <v>0</v>
      </c>
      <c r="V15" s="9">
        <v>0</v>
      </c>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5029</v>
      </c>
      <c r="D17" s="1">
        <v>0</v>
      </c>
      <c r="E17" s="1">
        <v>0</v>
      </c>
      <c r="F17" s="1">
        <v>0</v>
      </c>
      <c r="G17" s="9">
        <f>SUM(HI_FINANCIAL)</f>
        <v>5029</v>
      </c>
      <c r="I17" s="13"/>
      <c r="J17" s="16"/>
      <c r="L17" s="6">
        <v>7301</v>
      </c>
      <c r="M17" s="1">
        <v>0</v>
      </c>
      <c r="O17" s="1">
        <v>0</v>
      </c>
      <c r="P17" s="1">
        <v>0</v>
      </c>
      <c r="R17" s="1">
        <v>0</v>
      </c>
      <c r="S17" s="1">
        <v>0</v>
      </c>
      <c r="U17" s="1">
        <v>0</v>
      </c>
      <c r="V17" s="9">
        <v>0</v>
      </c>
    </row>
    <row r="18" spans="1:22">
      <c r="A18" s="1" t="s">
        <v>30</v>
      </c>
      <c r="B18" s="6">
        <v>0</v>
      </c>
      <c r="C18" s="1">
        <v>117959.60160849406</v>
      </c>
      <c r="D18" s="1">
        <v>0</v>
      </c>
      <c r="E18" s="1">
        <v>0</v>
      </c>
      <c r="F18" s="1">
        <v>0</v>
      </c>
      <c r="G18" s="9">
        <f>SUM(ID_FINANCIAL)</f>
        <v>117959.60160849406</v>
      </c>
      <c r="I18" s="13" t="s">
        <v>31</v>
      </c>
      <c r="J18" s="16"/>
      <c r="L18" s="6">
        <v>0</v>
      </c>
      <c r="M18" s="1">
        <v>0</v>
      </c>
      <c r="O18" s="1">
        <v>113900</v>
      </c>
      <c r="P18" s="1">
        <v>0</v>
      </c>
      <c r="R18" s="1">
        <v>56100</v>
      </c>
      <c r="S18" s="1">
        <v>0</v>
      </c>
      <c r="U18" s="1">
        <v>0</v>
      </c>
      <c r="V18" s="9">
        <v>0</v>
      </c>
    </row>
    <row r="19" spans="1:22">
      <c r="A19" s="1" t="s">
        <v>32</v>
      </c>
      <c r="B19" s="6">
        <v>190.24533267491901</v>
      </c>
      <c r="C19" s="1">
        <v>1060653.8615281815</v>
      </c>
      <c r="D19" s="1">
        <v>39214.134851365088</v>
      </c>
      <c r="E19" s="1">
        <v>0</v>
      </c>
      <c r="F19" s="1">
        <v>0</v>
      </c>
      <c r="G19" s="9">
        <f>SUM(IL_FINANCIAL)</f>
        <v>1100058.2417122214</v>
      </c>
      <c r="I19" s="13" t="s">
        <v>33</v>
      </c>
      <c r="J19" s="16">
        <v>0</v>
      </c>
      <c r="L19" s="6">
        <v>0</v>
      </c>
      <c r="M19" s="1">
        <v>0</v>
      </c>
      <c r="O19" s="1">
        <v>1700000</v>
      </c>
      <c r="P19" s="1">
        <v>750000</v>
      </c>
      <c r="R19" s="1">
        <v>70000</v>
      </c>
      <c r="S19" s="1">
        <v>51000</v>
      </c>
      <c r="U19" s="1">
        <v>0</v>
      </c>
      <c r="V19" s="9">
        <v>0</v>
      </c>
    </row>
    <row r="20" spans="1:22">
      <c r="A20" s="1" t="s">
        <v>34</v>
      </c>
      <c r="B20" s="6">
        <v>401.82730433282302</v>
      </c>
      <c r="C20" s="1">
        <v>167920.86427822936</v>
      </c>
      <c r="D20" s="1">
        <v>0</v>
      </c>
      <c r="E20" s="1">
        <v>0</v>
      </c>
      <c r="F20" s="1">
        <v>0</v>
      </c>
      <c r="G20" s="9">
        <f>SUM(IN_FINANCIAL)</f>
        <v>168322.6915825622</v>
      </c>
      <c r="I20" s="13" t="s">
        <v>35</v>
      </c>
      <c r="J20" s="16">
        <v>46699950.450000003</v>
      </c>
      <c r="L20" s="6">
        <v>0</v>
      </c>
      <c r="M20" s="1">
        <v>0</v>
      </c>
      <c r="O20" s="1">
        <v>0</v>
      </c>
      <c r="P20" s="1">
        <v>0</v>
      </c>
      <c r="R20" s="1">
        <v>69378</v>
      </c>
      <c r="S20" s="1">
        <v>0</v>
      </c>
      <c r="U20" s="1">
        <v>0</v>
      </c>
      <c r="V20" s="9">
        <v>0</v>
      </c>
    </row>
    <row r="21" spans="1:22">
      <c r="A21" s="1" t="s">
        <v>36</v>
      </c>
      <c r="B21" s="6">
        <v>62353.300412474011</v>
      </c>
      <c r="C21" s="1">
        <v>2199634.3777108765</v>
      </c>
      <c r="D21" s="1">
        <v>0</v>
      </c>
      <c r="E21" s="1">
        <v>0</v>
      </c>
      <c r="F21" s="1">
        <v>0</v>
      </c>
      <c r="G21" s="9">
        <f>SUM(IA_FINANCIAL)</f>
        <v>2261987.6781233507</v>
      </c>
      <c r="I21" s="13" t="s">
        <v>37</v>
      </c>
      <c r="J21" s="16"/>
      <c r="L21" s="6">
        <v>0</v>
      </c>
      <c r="M21" s="1">
        <v>0</v>
      </c>
      <c r="O21" s="1">
        <v>6136927</v>
      </c>
      <c r="P21" s="1">
        <v>0</v>
      </c>
      <c r="R21" s="1">
        <v>16840</v>
      </c>
      <c r="S21" s="1">
        <v>0</v>
      </c>
      <c r="U21" s="1">
        <v>0</v>
      </c>
      <c r="V21" s="9">
        <v>0</v>
      </c>
    </row>
    <row r="22" spans="1:22">
      <c r="A22" s="1" t="s">
        <v>38</v>
      </c>
      <c r="B22" s="6">
        <v>0</v>
      </c>
      <c r="C22" s="1">
        <v>1137325</v>
      </c>
      <c r="D22" s="1">
        <v>0</v>
      </c>
      <c r="E22" s="1">
        <v>0</v>
      </c>
      <c r="F22" s="1">
        <v>0</v>
      </c>
      <c r="G22" s="9">
        <f>SUM(KS_FINANCIAL)</f>
        <v>1137325</v>
      </c>
      <c r="I22" s="13" t="s">
        <v>39</v>
      </c>
      <c r="J22" s="16">
        <v>301656</v>
      </c>
      <c r="L22" s="6">
        <v>0</v>
      </c>
      <c r="M22" s="1">
        <v>0</v>
      </c>
      <c r="O22" s="1">
        <v>1700000</v>
      </c>
      <c r="P22" s="1">
        <v>0</v>
      </c>
      <c r="R22" s="1">
        <v>0</v>
      </c>
      <c r="S22" s="1">
        <v>0</v>
      </c>
      <c r="U22" s="1">
        <v>0</v>
      </c>
      <c r="V22" s="9">
        <v>0</v>
      </c>
    </row>
    <row r="23" spans="1:22">
      <c r="A23" s="1" t="s">
        <v>40</v>
      </c>
      <c r="B23" s="6">
        <v>0</v>
      </c>
      <c r="C23" s="1">
        <v>41350</v>
      </c>
      <c r="D23" s="1">
        <v>0</v>
      </c>
      <c r="E23" s="1">
        <v>0</v>
      </c>
      <c r="F23" s="1">
        <v>0</v>
      </c>
      <c r="G23" s="9">
        <f>SUM(KY_FINANCIAL)</f>
        <v>41350</v>
      </c>
      <c r="I23" s="13" t="s">
        <v>41</v>
      </c>
      <c r="J23" s="16"/>
      <c r="L23" s="6">
        <v>0</v>
      </c>
      <c r="M23" s="1">
        <v>0</v>
      </c>
      <c r="O23" s="1">
        <v>48000</v>
      </c>
      <c r="P23" s="1">
        <v>11348</v>
      </c>
      <c r="R23" s="1">
        <v>32000</v>
      </c>
      <c r="S23" s="1">
        <v>17073</v>
      </c>
      <c r="U23" s="1">
        <v>0</v>
      </c>
      <c r="V23" s="9">
        <v>0</v>
      </c>
    </row>
    <row r="24" spans="1:22">
      <c r="A24" s="1" t="s">
        <v>42</v>
      </c>
      <c r="B24" s="6">
        <v>0</v>
      </c>
      <c r="C24" s="1">
        <v>0</v>
      </c>
      <c r="D24" s="1">
        <v>0</v>
      </c>
      <c r="E24" s="1">
        <v>0</v>
      </c>
      <c r="F24" s="1">
        <v>0</v>
      </c>
      <c r="G24" s="9">
        <f>SUM(LA_FINANCIAL)</f>
        <v>0</v>
      </c>
      <c r="I24" s="13" t="s">
        <v>43</v>
      </c>
      <c r="J24" s="16">
        <v>41563304</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33016710.039999992</v>
      </c>
      <c r="L26" s="6"/>
      <c r="V26" s="9"/>
    </row>
    <row r="27" spans="1:22">
      <c r="A27" s="1" t="s">
        <v>47</v>
      </c>
      <c r="B27" s="6">
        <v>0</v>
      </c>
      <c r="C27" s="1">
        <v>0</v>
      </c>
      <c r="D27" s="1">
        <v>0</v>
      </c>
      <c r="E27" s="1">
        <v>0</v>
      </c>
      <c r="F27" s="1">
        <v>0</v>
      </c>
      <c r="G27" s="9">
        <f>SUM(MA_FINANCIAL)</f>
        <v>0</v>
      </c>
      <c r="I27" s="13" t="s">
        <v>48</v>
      </c>
      <c r="J27" s="16">
        <f>SUM(ALL_BLOCKS)</f>
        <v>33016710.039999999</v>
      </c>
      <c r="L27" s="6"/>
      <c r="V27" s="9"/>
    </row>
    <row r="28" spans="1:22">
      <c r="A28" s="1" t="s">
        <v>49</v>
      </c>
      <c r="B28" s="6">
        <v>0</v>
      </c>
      <c r="C28" s="1">
        <v>0</v>
      </c>
      <c r="D28" s="1">
        <v>0</v>
      </c>
      <c r="E28" s="1">
        <v>0</v>
      </c>
      <c r="F28" s="1">
        <v>0</v>
      </c>
      <c r="G28" s="9">
        <f>SUM(MI_FINANCIAL)</f>
        <v>0</v>
      </c>
      <c r="I28" s="14"/>
      <c r="J28" s="17"/>
      <c r="L28" s="6"/>
      <c r="V28" s="9"/>
    </row>
    <row r="29" spans="1:22">
      <c r="A29" s="1" t="s">
        <v>50</v>
      </c>
      <c r="B29" s="6">
        <v>351389.37608616956</v>
      </c>
      <c r="C29" s="1">
        <v>14838876.478022888</v>
      </c>
      <c r="D29" s="1">
        <v>0</v>
      </c>
      <c r="E29" s="1">
        <v>0</v>
      </c>
      <c r="F29" s="1">
        <v>0</v>
      </c>
      <c r="G29" s="9">
        <f>SUM(MN_FINANCIAL)</f>
        <v>15190265.854109058</v>
      </c>
      <c r="L29" s="6">
        <v>1500000</v>
      </c>
      <c r="M29" s="1">
        <v>120000</v>
      </c>
      <c r="O29" s="1">
        <v>35000000</v>
      </c>
      <c r="P29" s="1">
        <v>8480000</v>
      </c>
      <c r="R29" s="1">
        <v>7000</v>
      </c>
      <c r="S29" s="1">
        <v>0</v>
      </c>
      <c r="U29" s="1">
        <v>0</v>
      </c>
      <c r="V29" s="9">
        <v>0</v>
      </c>
    </row>
    <row r="30" spans="1:22">
      <c r="A30" s="1" t="s">
        <v>51</v>
      </c>
      <c r="B30" s="6">
        <v>0</v>
      </c>
      <c r="C30" s="1">
        <v>0</v>
      </c>
      <c r="D30" s="1">
        <v>0</v>
      </c>
      <c r="E30" s="1">
        <v>0</v>
      </c>
      <c r="F30" s="1">
        <v>0</v>
      </c>
      <c r="G30" s="9">
        <f>SUM(MS_FINANCIAL)</f>
        <v>0</v>
      </c>
      <c r="L30" s="6"/>
      <c r="V30" s="9"/>
    </row>
    <row r="31" spans="1:22">
      <c r="A31" s="1" t="s">
        <v>52</v>
      </c>
      <c r="B31" s="6">
        <v>908.16302721447641</v>
      </c>
      <c r="C31" s="1">
        <v>118771.50941911849</v>
      </c>
      <c r="D31" s="1">
        <v>0</v>
      </c>
      <c r="E31" s="1">
        <v>0</v>
      </c>
      <c r="F31" s="1">
        <v>0</v>
      </c>
      <c r="G31" s="9">
        <f>SUM(MO_FINANCIAL)</f>
        <v>119679.67244633297</v>
      </c>
      <c r="L31" s="6">
        <v>40000</v>
      </c>
      <c r="M31" s="1">
        <v>0</v>
      </c>
      <c r="O31" s="1">
        <v>60000</v>
      </c>
      <c r="P31" s="1">
        <v>0</v>
      </c>
      <c r="R31" s="1">
        <v>100000</v>
      </c>
      <c r="S31" s="1">
        <v>0</v>
      </c>
      <c r="U31" s="1">
        <v>0</v>
      </c>
      <c r="V31" s="9">
        <v>0</v>
      </c>
    </row>
    <row r="32" spans="1:22">
      <c r="A32" s="1" t="s">
        <v>53</v>
      </c>
      <c r="B32" s="6">
        <v>7731.1517478010501</v>
      </c>
      <c r="C32" s="1">
        <v>1592136.4363289096</v>
      </c>
      <c r="D32" s="1">
        <v>0</v>
      </c>
      <c r="E32" s="1">
        <v>0</v>
      </c>
      <c r="F32" s="1">
        <v>0</v>
      </c>
      <c r="G32" s="9">
        <f>SUM(MT_FINANCIAL)</f>
        <v>1599867.5880767107</v>
      </c>
      <c r="L32" s="6">
        <v>0</v>
      </c>
      <c r="M32" s="1">
        <v>0</v>
      </c>
      <c r="O32" s="1">
        <v>3803133</v>
      </c>
      <c r="P32" s="1">
        <v>0</v>
      </c>
      <c r="R32" s="1">
        <v>0</v>
      </c>
      <c r="S32" s="1">
        <v>0</v>
      </c>
      <c r="U32" s="1">
        <v>0</v>
      </c>
      <c r="V32" s="9">
        <v>0</v>
      </c>
    </row>
    <row r="33" spans="1:22">
      <c r="A33" s="1" t="s">
        <v>54</v>
      </c>
      <c r="B33" s="6">
        <v>0</v>
      </c>
      <c r="C33" s="1">
        <v>1562241.3695081882</v>
      </c>
      <c r="D33" s="1">
        <v>0</v>
      </c>
      <c r="E33" s="1">
        <v>0</v>
      </c>
      <c r="F33" s="1">
        <v>0</v>
      </c>
      <c r="G33" s="9">
        <f>SUM(NE_FINANCIAL)</f>
        <v>1562241.3695081882</v>
      </c>
      <c r="L33" s="6">
        <v>0</v>
      </c>
      <c r="M33" s="1">
        <v>0</v>
      </c>
      <c r="O33" s="1">
        <v>1746686</v>
      </c>
      <c r="P33" s="1">
        <v>0</v>
      </c>
      <c r="R33" s="1">
        <v>500000</v>
      </c>
      <c r="S33" s="1">
        <v>400000</v>
      </c>
      <c r="U33" s="1">
        <v>0</v>
      </c>
      <c r="V33" s="9">
        <v>0</v>
      </c>
    </row>
    <row r="34" spans="1:22">
      <c r="A34" s="1" t="s">
        <v>55</v>
      </c>
      <c r="B34" s="6">
        <v>0</v>
      </c>
      <c r="C34" s="1">
        <v>115000.84841954004</v>
      </c>
      <c r="D34" s="1">
        <v>0</v>
      </c>
      <c r="E34" s="1">
        <v>0</v>
      </c>
      <c r="F34" s="1">
        <v>0</v>
      </c>
      <c r="G34" s="9">
        <f>SUM(NV_FINANCIAL)</f>
        <v>115000.84841954004</v>
      </c>
      <c r="L34" s="6">
        <v>0</v>
      </c>
      <c r="M34" s="1">
        <v>0</v>
      </c>
      <c r="O34" s="1">
        <v>154836</v>
      </c>
      <c r="P34" s="1">
        <v>14630</v>
      </c>
      <c r="R34" s="1">
        <v>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119300.2408161115</v>
      </c>
      <c r="D37" s="1">
        <v>0</v>
      </c>
      <c r="E37" s="1">
        <v>0</v>
      </c>
      <c r="F37" s="1">
        <v>0</v>
      </c>
      <c r="G37" s="9">
        <f>SUM(NM_FINANCIAL)</f>
        <v>119300.2408161115</v>
      </c>
      <c r="L37" s="6">
        <v>0</v>
      </c>
      <c r="M37" s="1">
        <v>0</v>
      </c>
      <c r="O37" s="1">
        <v>100532</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16766.193853573728</v>
      </c>
      <c r="C40" s="1">
        <v>923974.75732338103</v>
      </c>
      <c r="D40" s="1">
        <v>0</v>
      </c>
      <c r="E40" s="1">
        <v>0</v>
      </c>
      <c r="F40" s="1">
        <v>0</v>
      </c>
      <c r="G40" s="9">
        <f>SUM(ND_FINANCIAL)</f>
        <v>940740.95117695478</v>
      </c>
      <c r="L40" s="6">
        <v>29200</v>
      </c>
      <c r="M40" s="1">
        <v>0</v>
      </c>
      <c r="O40" s="1">
        <v>2132196</v>
      </c>
      <c r="P40" s="1">
        <v>0</v>
      </c>
      <c r="R40" s="1">
        <v>31540</v>
      </c>
      <c r="S40" s="1">
        <v>0</v>
      </c>
      <c r="U40" s="1">
        <v>0</v>
      </c>
      <c r="V40" s="9">
        <v>0</v>
      </c>
    </row>
    <row r="41" spans="1:22">
      <c r="A41" s="1" t="s">
        <v>62</v>
      </c>
      <c r="B41" s="6">
        <v>0</v>
      </c>
      <c r="C41" s="1">
        <v>133289.07378649502</v>
      </c>
      <c r="D41" s="1">
        <v>0</v>
      </c>
      <c r="E41" s="1">
        <v>0</v>
      </c>
      <c r="F41" s="1">
        <v>0</v>
      </c>
      <c r="G41" s="9">
        <f>SUM(OH_FINANCIAL)</f>
        <v>133289.07378649502</v>
      </c>
      <c r="L41" s="6">
        <v>0</v>
      </c>
      <c r="M41" s="1">
        <v>0</v>
      </c>
      <c r="O41" s="1">
        <v>100000</v>
      </c>
      <c r="P41" s="1">
        <v>0</v>
      </c>
      <c r="R41" s="1">
        <v>50000</v>
      </c>
      <c r="S41" s="1">
        <v>0</v>
      </c>
      <c r="U41" s="1">
        <v>0</v>
      </c>
      <c r="V41" s="9">
        <v>0</v>
      </c>
    </row>
    <row r="42" spans="1:22">
      <c r="A42" s="1" t="s">
        <v>63</v>
      </c>
      <c r="B42" s="6">
        <v>6811.4970673146536</v>
      </c>
      <c r="C42" s="1">
        <v>357432.48639217438</v>
      </c>
      <c r="D42" s="1">
        <v>0</v>
      </c>
      <c r="E42" s="1">
        <v>0</v>
      </c>
      <c r="F42" s="1">
        <v>0</v>
      </c>
      <c r="G42" s="9">
        <f>SUM(OK_FINANCIAL)</f>
        <v>364243.98345948901</v>
      </c>
      <c r="L42" s="6">
        <v>1347500</v>
      </c>
      <c r="M42" s="1">
        <v>24000</v>
      </c>
      <c r="O42" s="1">
        <v>828850</v>
      </c>
      <c r="P42" s="1">
        <v>134000</v>
      </c>
      <c r="R42" s="1">
        <v>2018650</v>
      </c>
      <c r="S42" s="1">
        <v>42000</v>
      </c>
      <c r="U42" s="1">
        <v>0</v>
      </c>
      <c r="V42" s="9">
        <v>0</v>
      </c>
    </row>
    <row r="43" spans="1:22">
      <c r="A43" s="1" t="s">
        <v>64</v>
      </c>
      <c r="B43" s="6">
        <v>0</v>
      </c>
      <c r="C43" s="1">
        <v>193706.35931554943</v>
      </c>
      <c r="D43" s="1">
        <v>0</v>
      </c>
      <c r="E43" s="1">
        <v>0</v>
      </c>
      <c r="F43" s="1">
        <v>0</v>
      </c>
      <c r="G43" s="9">
        <f>SUM(OR_FINANCIAL)</f>
        <v>193706.35931554943</v>
      </c>
      <c r="L43" s="6">
        <v>0</v>
      </c>
      <c r="M43" s="1">
        <v>0</v>
      </c>
      <c r="O43" s="1">
        <v>537486</v>
      </c>
      <c r="P43" s="1">
        <v>0</v>
      </c>
      <c r="R43" s="1">
        <v>0</v>
      </c>
      <c r="S43" s="1">
        <v>0</v>
      </c>
      <c r="U43" s="1">
        <v>0</v>
      </c>
      <c r="V43" s="9">
        <v>0</v>
      </c>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1121802.9466913943</v>
      </c>
      <c r="D48" s="1">
        <v>0</v>
      </c>
      <c r="E48" s="1">
        <v>0</v>
      </c>
      <c r="F48" s="1">
        <v>0</v>
      </c>
      <c r="G48" s="9">
        <f>SUM(SD_FINANCIAL)</f>
        <v>1121802.9466913943</v>
      </c>
      <c r="L48" s="6">
        <v>200000</v>
      </c>
      <c r="M48" s="1">
        <v>0</v>
      </c>
      <c r="O48" s="1">
        <v>2109508</v>
      </c>
      <c r="P48" s="1">
        <v>403631</v>
      </c>
      <c r="R48" s="1">
        <v>100000</v>
      </c>
      <c r="S48" s="1">
        <v>0</v>
      </c>
      <c r="U48" s="1">
        <v>0</v>
      </c>
      <c r="V48" s="9">
        <v>0</v>
      </c>
    </row>
    <row r="49" spans="1:22">
      <c r="A49" s="1" t="s">
        <v>70</v>
      </c>
      <c r="B49" s="6">
        <v>3868.3358401074493</v>
      </c>
      <c r="C49" s="1">
        <v>341218.80240381334</v>
      </c>
      <c r="D49" s="1">
        <v>0</v>
      </c>
      <c r="E49" s="1">
        <v>0</v>
      </c>
      <c r="F49" s="1">
        <v>0</v>
      </c>
      <c r="G49" s="9">
        <f>SUM(TN_FINANCIAL)</f>
        <v>345087.13824392081</v>
      </c>
      <c r="L49" s="6">
        <v>25000</v>
      </c>
      <c r="M49" s="1">
        <v>0</v>
      </c>
      <c r="O49" s="1">
        <v>275000</v>
      </c>
      <c r="P49" s="1">
        <v>0</v>
      </c>
      <c r="R49" s="1">
        <v>165000</v>
      </c>
      <c r="S49" s="1">
        <v>0</v>
      </c>
      <c r="U49" s="1">
        <v>0</v>
      </c>
      <c r="V49" s="9">
        <v>0</v>
      </c>
    </row>
    <row r="50" spans="1:22">
      <c r="A50" s="1" t="s">
        <v>71</v>
      </c>
      <c r="B50" s="6">
        <v>0</v>
      </c>
      <c r="C50" s="1">
        <v>0</v>
      </c>
      <c r="D50" s="1">
        <v>0</v>
      </c>
      <c r="E50" s="1">
        <v>0</v>
      </c>
      <c r="F50" s="1">
        <v>0</v>
      </c>
      <c r="G50" s="9">
        <f>SUM(TX_FINANCIAL)</f>
        <v>0</v>
      </c>
      <c r="L50" s="6">
        <v>7602</v>
      </c>
      <c r="M50" s="1">
        <v>0</v>
      </c>
      <c r="O50" s="1">
        <v>21182</v>
      </c>
      <c r="P50" s="1">
        <v>0</v>
      </c>
      <c r="R50" s="1">
        <v>1053560</v>
      </c>
      <c r="S50" s="1">
        <v>0</v>
      </c>
      <c r="U50" s="1">
        <v>0</v>
      </c>
      <c r="V50" s="9">
        <v>0</v>
      </c>
    </row>
    <row r="51" spans="1:22">
      <c r="A51" s="1" t="s">
        <v>72</v>
      </c>
      <c r="B51" s="6">
        <v>0</v>
      </c>
      <c r="C51" s="1">
        <v>116080.26193980532</v>
      </c>
      <c r="D51" s="1">
        <v>0</v>
      </c>
      <c r="E51" s="1">
        <v>0</v>
      </c>
      <c r="F51" s="1">
        <v>0</v>
      </c>
      <c r="G51" s="9">
        <f>SUM(UT_FINANCIAL)</f>
        <v>116080.26193980532</v>
      </c>
      <c r="L51" s="6">
        <v>10000</v>
      </c>
      <c r="M51" s="1">
        <v>0</v>
      </c>
      <c r="O51" s="1">
        <v>140000</v>
      </c>
      <c r="P51" s="1">
        <v>0</v>
      </c>
      <c r="R51" s="1">
        <v>89700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853142.97649835283</v>
      </c>
      <c r="D54" s="1">
        <v>0</v>
      </c>
      <c r="E54" s="1">
        <v>0</v>
      </c>
      <c r="F54" s="1">
        <v>0</v>
      </c>
      <c r="G54" s="9">
        <f>SUM(WA_FINANCIAL)</f>
        <v>853142.97649835283</v>
      </c>
      <c r="L54" s="6">
        <v>0</v>
      </c>
      <c r="M54" s="1">
        <v>0</v>
      </c>
      <c r="O54" s="1">
        <v>2000000</v>
      </c>
      <c r="P54" s="1">
        <v>0</v>
      </c>
      <c r="R54" s="1">
        <v>0</v>
      </c>
      <c r="S54" s="1">
        <v>0</v>
      </c>
      <c r="U54" s="1">
        <v>0</v>
      </c>
      <c r="V54" s="9">
        <v>0</v>
      </c>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1422147.45162501</v>
      </c>
      <c r="D57" s="1">
        <v>0</v>
      </c>
      <c r="E57" s="1">
        <v>0</v>
      </c>
      <c r="F57" s="1">
        <v>0</v>
      </c>
      <c r="G57" s="9">
        <f>SUM(WY_FINANCIAL)</f>
        <v>1422147.45162501</v>
      </c>
      <c r="L57" s="6">
        <v>0</v>
      </c>
      <c r="M57" s="1">
        <v>0</v>
      </c>
      <c r="O57" s="1">
        <v>2300000</v>
      </c>
      <c r="P57" s="1">
        <v>2337876</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886028.97456892044</v>
      </c>
      <c r="C60" s="1">
        <f>SUM(ALLOCATED)</f>
        <v>32048671.496619485</v>
      </c>
      <c r="D60" s="1">
        <f>SUM(HEALTH)</f>
        <v>82009.568811594945</v>
      </c>
      <c r="E60" s="1">
        <f>SUM(UNALLOCATED)</f>
        <v>0</v>
      </c>
      <c r="F60" s="1">
        <f>SUM(LTC)</f>
        <v>0</v>
      </c>
      <c r="G60" s="9">
        <f>SUM(ALL_BLOCKS)</f>
        <v>33016710.039999999</v>
      </c>
      <c r="L60" s="6">
        <f>SUM(LIFE_CALLED)</f>
        <v>3798558</v>
      </c>
      <c r="M60" s="1">
        <f>SUM(LIFE_REFUNDED)</f>
        <v>1244000</v>
      </c>
      <c r="O60" s="1">
        <f>SUM(ALLOC_CALLED)</f>
        <v>75236595</v>
      </c>
      <c r="P60" s="1">
        <f>SUM(ALLOC_REFUNDED)</f>
        <v>12991485</v>
      </c>
      <c r="R60" s="1">
        <f>SUM(HEALTH_CALLED)</f>
        <v>4535768</v>
      </c>
      <c r="S60" s="1">
        <f>SUM(HEALTH_REFUNDED)</f>
        <v>725908</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145</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716.85757678409254</v>
      </c>
      <c r="C6" s="1">
        <v>712.41637412866589</v>
      </c>
      <c r="D6" s="1">
        <v>278.153237583595</v>
      </c>
      <c r="E6" s="1">
        <v>0</v>
      </c>
      <c r="F6" s="1">
        <v>0</v>
      </c>
      <c r="G6" s="9">
        <f>SUM(AL_FINANCIAL)</f>
        <v>1707.4271884963534</v>
      </c>
      <c r="L6" s="6"/>
      <c r="V6" s="9"/>
    </row>
    <row r="7" spans="1:22">
      <c r="A7" s="1" t="s">
        <v>12</v>
      </c>
      <c r="B7" s="6">
        <v>614.19234833766143</v>
      </c>
      <c r="C7" s="1">
        <v>2.6652368420856729</v>
      </c>
      <c r="D7" s="1">
        <v>76.815677703275156</v>
      </c>
      <c r="E7" s="1">
        <v>0</v>
      </c>
      <c r="F7" s="1">
        <v>0</v>
      </c>
      <c r="G7" s="9">
        <f>SUM(AK_FINANCIAL)</f>
        <v>693.67326288302218</v>
      </c>
      <c r="I7" s="12"/>
      <c r="J7" s="15"/>
      <c r="L7" s="6">
        <v>250</v>
      </c>
      <c r="M7" s="1">
        <v>490</v>
      </c>
      <c r="O7" s="1">
        <v>0</v>
      </c>
      <c r="P7" s="1">
        <v>0</v>
      </c>
      <c r="R7" s="1">
        <v>0</v>
      </c>
      <c r="S7" s="1">
        <v>0</v>
      </c>
      <c r="U7" s="1">
        <v>0</v>
      </c>
      <c r="V7" s="9">
        <v>0</v>
      </c>
    </row>
    <row r="8" spans="1:22">
      <c r="A8" s="1" t="s">
        <v>13</v>
      </c>
      <c r="B8" s="6">
        <v>4518.7443822261394</v>
      </c>
      <c r="C8" s="1">
        <v>2000.3773726108168</v>
      </c>
      <c r="D8" s="1">
        <v>2079.4538195001646</v>
      </c>
      <c r="E8" s="1">
        <v>0</v>
      </c>
      <c r="F8" s="1">
        <v>0</v>
      </c>
      <c r="G8" s="9">
        <f>SUM(AZ_FINANCIAL)</f>
        <v>8598.575574337121</v>
      </c>
      <c r="I8" s="13" t="s">
        <v>14</v>
      </c>
      <c r="J8" s="16"/>
      <c r="L8" s="6"/>
      <c r="V8" s="9"/>
    </row>
    <row r="9" spans="1:22">
      <c r="A9" s="1" t="s">
        <v>15</v>
      </c>
      <c r="B9" s="6">
        <v>829.13334191259196</v>
      </c>
      <c r="C9" s="1">
        <v>314.78659604115273</v>
      </c>
      <c r="D9" s="1">
        <v>400.98951466715789</v>
      </c>
      <c r="E9" s="1">
        <v>0</v>
      </c>
      <c r="F9" s="1">
        <v>0</v>
      </c>
      <c r="G9" s="9">
        <f>SUM(AR_FINANCIAL)</f>
        <v>1544.9094526209026</v>
      </c>
      <c r="I9" s="13"/>
      <c r="J9" s="16"/>
      <c r="L9" s="6">
        <v>3367</v>
      </c>
      <c r="M9" s="1">
        <v>0</v>
      </c>
      <c r="O9" s="1">
        <v>0</v>
      </c>
      <c r="P9" s="1">
        <v>0</v>
      </c>
      <c r="R9" s="1">
        <v>0</v>
      </c>
      <c r="S9" s="1">
        <v>0</v>
      </c>
      <c r="U9" s="1">
        <v>0</v>
      </c>
      <c r="V9" s="9">
        <v>0</v>
      </c>
    </row>
    <row r="10" spans="1:22">
      <c r="A10" s="1" t="s">
        <v>16</v>
      </c>
      <c r="B10" s="6">
        <v>23883.763473535946</v>
      </c>
      <c r="C10" s="1">
        <v>4014.352235427657</v>
      </c>
      <c r="D10" s="1">
        <v>23026.420442887309</v>
      </c>
      <c r="E10" s="1">
        <v>0</v>
      </c>
      <c r="F10" s="1">
        <v>0</v>
      </c>
      <c r="G10" s="9">
        <f>SUM(CA_FINANCIAL)</f>
        <v>50924.536151850916</v>
      </c>
      <c r="I10" s="13" t="s">
        <v>17</v>
      </c>
      <c r="J10" s="16">
        <v>789601673</v>
      </c>
      <c r="L10" s="6"/>
      <c r="V10" s="9"/>
    </row>
    <row r="11" spans="1:22">
      <c r="A11" s="1" t="s">
        <v>18</v>
      </c>
      <c r="B11" s="6">
        <v>4521.9305862352239</v>
      </c>
      <c r="C11" s="1">
        <v>1090.1352740976226</v>
      </c>
      <c r="D11" s="1">
        <v>2622.826731892746</v>
      </c>
      <c r="E11" s="1">
        <v>0</v>
      </c>
      <c r="F11" s="1">
        <v>0</v>
      </c>
      <c r="G11" s="9">
        <f>SUM(CO_FINANCIAL)</f>
        <v>8234.892592225593</v>
      </c>
      <c r="I11" s="13"/>
      <c r="J11" s="16"/>
      <c r="L11" s="6"/>
      <c r="V11" s="9"/>
    </row>
    <row r="12" spans="1:22">
      <c r="A12" s="1" t="s">
        <v>19</v>
      </c>
      <c r="B12" s="6">
        <v>5583.9690469360812</v>
      </c>
      <c r="C12" s="1">
        <v>1580.1623546498879</v>
      </c>
      <c r="D12" s="1">
        <v>6715.2796268991888</v>
      </c>
      <c r="E12" s="1">
        <v>0</v>
      </c>
      <c r="F12" s="1">
        <v>0</v>
      </c>
      <c r="G12" s="9">
        <f>SUM(CT_FINANCIAL)</f>
        <v>13879.411028485158</v>
      </c>
      <c r="I12" s="13" t="s">
        <v>20</v>
      </c>
      <c r="J12" s="16"/>
      <c r="L12" s="6"/>
      <c r="V12" s="9"/>
    </row>
    <row r="13" spans="1:22">
      <c r="A13" s="1" t="s">
        <v>21</v>
      </c>
      <c r="B13" s="6">
        <v>383.91796300817265</v>
      </c>
      <c r="C13" s="1">
        <v>153.75012122624136</v>
      </c>
      <c r="D13" s="1">
        <v>337.35118880231272</v>
      </c>
      <c r="E13" s="1">
        <v>0</v>
      </c>
      <c r="F13" s="1">
        <v>0</v>
      </c>
      <c r="G13" s="9">
        <f>SUM(DE_FINANCIAL)</f>
        <v>875.01927303672664</v>
      </c>
      <c r="I13" s="13" t="s">
        <v>22</v>
      </c>
      <c r="J13" s="16">
        <v>0</v>
      </c>
      <c r="L13" s="6"/>
      <c r="V13" s="9"/>
    </row>
    <row r="14" spans="1:22">
      <c r="A14" s="1" t="s">
        <v>23</v>
      </c>
      <c r="B14" s="6">
        <v>671.32080736114619</v>
      </c>
      <c r="C14" s="1">
        <v>146.81545525405431</v>
      </c>
      <c r="D14" s="1">
        <v>543.44525624376058</v>
      </c>
      <c r="E14" s="1">
        <v>0</v>
      </c>
      <c r="F14" s="1">
        <v>0</v>
      </c>
      <c r="G14" s="9">
        <f>SUM(DC_FINANCIAL)</f>
        <v>1361.5815188589611</v>
      </c>
      <c r="I14" s="13" t="s">
        <v>24</v>
      </c>
      <c r="J14" s="16">
        <v>0</v>
      </c>
      <c r="L14" s="6"/>
      <c r="V14" s="9"/>
    </row>
    <row r="15" spans="1:22">
      <c r="A15" s="1" t="s">
        <v>25</v>
      </c>
      <c r="B15" s="6">
        <v>14566.853465609074</v>
      </c>
      <c r="C15" s="1">
        <v>5962.8901926315448</v>
      </c>
      <c r="D15" s="1">
        <v>9471.6249614500994</v>
      </c>
      <c r="E15" s="1">
        <v>0</v>
      </c>
      <c r="F15" s="1">
        <v>0</v>
      </c>
      <c r="G15" s="9">
        <f>SUM(FL_FINANCIAL)</f>
        <v>30001.368619690718</v>
      </c>
      <c r="I15" s="13" t="s">
        <v>26</v>
      </c>
      <c r="J15" s="16">
        <v>510037.13999999984</v>
      </c>
      <c r="L15" s="6"/>
      <c r="V15" s="9"/>
    </row>
    <row r="16" spans="1:22">
      <c r="A16" s="1" t="s">
        <v>27</v>
      </c>
      <c r="B16" s="6">
        <v>1895.6418554509248</v>
      </c>
      <c r="C16" s="1">
        <v>1776.5641991231032</v>
      </c>
      <c r="D16" s="1">
        <v>1307.3770111219535</v>
      </c>
      <c r="E16" s="1">
        <v>0</v>
      </c>
      <c r="F16" s="1">
        <v>0</v>
      </c>
      <c r="G16" s="9">
        <f>SUM(GA_FINANCIAL)</f>
        <v>4979.5830656959815</v>
      </c>
      <c r="I16" s="13" t="s">
        <v>28</v>
      </c>
      <c r="J16" s="16">
        <v>0</v>
      </c>
      <c r="L16" s="6"/>
      <c r="V16" s="9"/>
    </row>
    <row r="17" spans="1:22">
      <c r="A17" s="1" t="s">
        <v>29</v>
      </c>
      <c r="B17" s="6">
        <v>1388.6676065905997</v>
      </c>
      <c r="C17" s="1">
        <v>209.24930700136284</v>
      </c>
      <c r="D17" s="1">
        <v>220.49799696567447</v>
      </c>
      <c r="E17" s="1">
        <v>0</v>
      </c>
      <c r="F17" s="1">
        <v>0</v>
      </c>
      <c r="G17" s="9">
        <f>SUM(HI_FINANCIAL)</f>
        <v>1818.4149105576371</v>
      </c>
      <c r="I17" s="13"/>
      <c r="J17" s="16"/>
      <c r="L17" s="6">
        <v>1521</v>
      </c>
      <c r="M17" s="1">
        <v>0</v>
      </c>
      <c r="O17" s="1">
        <v>228</v>
      </c>
      <c r="P17" s="1">
        <v>0</v>
      </c>
      <c r="R17" s="1">
        <v>304</v>
      </c>
      <c r="S17" s="1">
        <v>0</v>
      </c>
      <c r="U17" s="1">
        <v>0</v>
      </c>
      <c r="V17" s="9">
        <v>0</v>
      </c>
    </row>
    <row r="18" spans="1:22">
      <c r="A18" s="1" t="s">
        <v>30</v>
      </c>
      <c r="B18" s="6">
        <v>521.05674832049124</v>
      </c>
      <c r="C18" s="1">
        <v>0.55641094367877197</v>
      </c>
      <c r="D18" s="1">
        <v>129.44874604175246</v>
      </c>
      <c r="E18" s="1">
        <v>0</v>
      </c>
      <c r="F18" s="1">
        <v>0</v>
      </c>
      <c r="G18" s="9">
        <f>SUM(ID_FINANCIAL)</f>
        <v>651.06190530592244</v>
      </c>
      <c r="I18" s="13" t="s">
        <v>31</v>
      </c>
      <c r="J18" s="16"/>
      <c r="L18" s="6"/>
      <c r="V18" s="9"/>
    </row>
    <row r="19" spans="1:22">
      <c r="A19" s="1" t="s">
        <v>32</v>
      </c>
      <c r="B19" s="6">
        <v>7363.2739786566799</v>
      </c>
      <c r="C19" s="1">
        <v>2761.7794534840332</v>
      </c>
      <c r="D19" s="1">
        <v>6102.9370721055375</v>
      </c>
      <c r="E19" s="1">
        <v>0</v>
      </c>
      <c r="F19" s="1">
        <v>0</v>
      </c>
      <c r="G19" s="9">
        <f>SUM(IL_FINANCIAL)</f>
        <v>16227.990504246252</v>
      </c>
      <c r="I19" s="13" t="s">
        <v>33</v>
      </c>
      <c r="J19" s="16">
        <v>0</v>
      </c>
      <c r="L19" s="6"/>
      <c r="V19" s="9"/>
    </row>
    <row r="20" spans="1:22">
      <c r="A20" s="1" t="s">
        <v>34</v>
      </c>
      <c r="B20" s="6">
        <v>2353.927933405193</v>
      </c>
      <c r="C20" s="1">
        <v>968.4202807223802</v>
      </c>
      <c r="D20" s="1">
        <v>1906.9572262062966</v>
      </c>
      <c r="E20" s="1">
        <v>0</v>
      </c>
      <c r="F20" s="1">
        <v>0</v>
      </c>
      <c r="G20" s="9">
        <f>SUM(IN_FINANCIAL)</f>
        <v>5229.3054403338701</v>
      </c>
      <c r="I20" s="13" t="s">
        <v>35</v>
      </c>
      <c r="J20" s="16">
        <v>789601673</v>
      </c>
      <c r="L20" s="6"/>
      <c r="V20" s="9"/>
    </row>
    <row r="21" spans="1:22">
      <c r="A21" s="1" t="s">
        <v>36</v>
      </c>
      <c r="B21" s="6">
        <v>3139.1115154991403</v>
      </c>
      <c r="C21" s="1">
        <v>1001.3569817393825</v>
      </c>
      <c r="D21" s="1">
        <v>1870.7058065449257</v>
      </c>
      <c r="E21" s="1">
        <v>0</v>
      </c>
      <c r="F21" s="1">
        <v>0</v>
      </c>
      <c r="G21" s="9">
        <f>SUM(IA_FINANCIAL)</f>
        <v>6011.1743037834485</v>
      </c>
      <c r="I21" s="13" t="s">
        <v>37</v>
      </c>
      <c r="J21" s="16"/>
      <c r="L21" s="6"/>
      <c r="V21" s="9"/>
    </row>
    <row r="22" spans="1:22">
      <c r="A22" s="1" t="s">
        <v>38</v>
      </c>
      <c r="B22" s="6">
        <v>2913.3905262885833</v>
      </c>
      <c r="C22" s="1">
        <v>970.02712226240965</v>
      </c>
      <c r="D22" s="1">
        <v>4392.1043776434626</v>
      </c>
      <c r="E22" s="1">
        <v>0</v>
      </c>
      <c r="F22" s="1">
        <v>0</v>
      </c>
      <c r="G22" s="9">
        <f>SUM(KS_FINANCIAL)</f>
        <v>8275.522026194456</v>
      </c>
      <c r="I22" s="13" t="s">
        <v>39</v>
      </c>
      <c r="J22" s="16">
        <v>0</v>
      </c>
      <c r="L22" s="6"/>
      <c r="V22" s="9"/>
    </row>
    <row r="23" spans="1:22">
      <c r="A23" s="1" t="s">
        <v>40</v>
      </c>
      <c r="B23" s="6">
        <v>658.70472017318787</v>
      </c>
      <c r="C23" s="1">
        <v>835.61283235898532</v>
      </c>
      <c r="D23" s="1">
        <v>1197.1347074539535</v>
      </c>
      <c r="E23" s="1">
        <v>0</v>
      </c>
      <c r="F23" s="1">
        <v>0</v>
      </c>
      <c r="G23" s="9">
        <f>SUM(KY_FINANCIAL)</f>
        <v>2691.4522599861266</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1136.691056486432</v>
      </c>
      <c r="C25" s="1">
        <v>766.36476210422688</v>
      </c>
      <c r="D25" s="1">
        <v>666.50813948887946</v>
      </c>
      <c r="E25" s="1">
        <v>0</v>
      </c>
      <c r="F25" s="1">
        <v>0</v>
      </c>
      <c r="G25" s="9">
        <f>SUM(ME_FINANCIAL)</f>
        <v>2569.5639580795382</v>
      </c>
      <c r="I25" s="13"/>
      <c r="J25" s="16"/>
      <c r="L25" s="6"/>
      <c r="V25" s="9"/>
    </row>
    <row r="26" spans="1:22">
      <c r="A26" s="1" t="s">
        <v>45</v>
      </c>
      <c r="B26" s="6">
        <v>4494.5535051173647</v>
      </c>
      <c r="C26" s="1">
        <v>1277.8759987904484</v>
      </c>
      <c r="D26" s="1">
        <v>8041.5780455055183</v>
      </c>
      <c r="E26" s="1">
        <v>0</v>
      </c>
      <c r="F26" s="1">
        <v>0</v>
      </c>
      <c r="G26" s="9">
        <f>SUM(MD_FINANCIAL)</f>
        <v>13814.007549413331</v>
      </c>
      <c r="I26" s="13" t="s">
        <v>46</v>
      </c>
      <c r="J26" s="16">
        <f>SUM(ADD_FINANCIAL)-SUM(LESS_FINANCIAL)</f>
        <v>510037.13999998569</v>
      </c>
      <c r="L26" s="6"/>
      <c r="V26" s="9"/>
    </row>
    <row r="27" spans="1:22">
      <c r="A27" s="1" t="s">
        <v>47</v>
      </c>
      <c r="B27" s="6">
        <v>9857.7795683310542</v>
      </c>
      <c r="C27" s="1">
        <v>17501.327264501575</v>
      </c>
      <c r="D27" s="1">
        <v>6997.5389159593542</v>
      </c>
      <c r="E27" s="1">
        <v>0</v>
      </c>
      <c r="F27" s="1">
        <v>0</v>
      </c>
      <c r="G27" s="9">
        <f>SUM(MA_FINANCIAL)</f>
        <v>34356.645748791983</v>
      </c>
      <c r="I27" s="13" t="s">
        <v>48</v>
      </c>
      <c r="J27" s="16">
        <f>SUM(ALL_BLOCKS)</f>
        <v>510037.13999999984</v>
      </c>
      <c r="L27" s="6"/>
      <c r="V27" s="9"/>
    </row>
    <row r="28" spans="1:22">
      <c r="A28" s="1" t="s">
        <v>49</v>
      </c>
      <c r="B28" s="6">
        <v>10457.470096850535</v>
      </c>
      <c r="C28" s="1">
        <v>2309.8049924249908</v>
      </c>
      <c r="D28" s="1">
        <v>8637.4998796863056</v>
      </c>
      <c r="E28" s="1">
        <v>0</v>
      </c>
      <c r="F28" s="1">
        <v>0</v>
      </c>
      <c r="G28" s="9">
        <f>SUM(MI_FINANCIAL)</f>
        <v>21404.774968961829</v>
      </c>
      <c r="I28" s="14"/>
      <c r="J28" s="17"/>
      <c r="L28" s="6"/>
      <c r="V28" s="9"/>
    </row>
    <row r="29" spans="1:22">
      <c r="A29" s="1" t="s">
        <v>50</v>
      </c>
      <c r="B29" s="6">
        <v>3776.0875114241239</v>
      </c>
      <c r="C29" s="1">
        <v>1818.4939890555024</v>
      </c>
      <c r="D29" s="1">
        <v>5249.5135219902486</v>
      </c>
      <c r="E29" s="1">
        <v>0</v>
      </c>
      <c r="F29" s="1">
        <v>0</v>
      </c>
      <c r="G29" s="9">
        <f>SUM(MN_FINANCIAL)</f>
        <v>10844.095022469875</v>
      </c>
      <c r="L29" s="6"/>
      <c r="V29" s="9"/>
    </row>
    <row r="30" spans="1:22">
      <c r="A30" s="1" t="s">
        <v>51</v>
      </c>
      <c r="B30" s="6">
        <v>298.47532124556477</v>
      </c>
      <c r="C30" s="1">
        <v>510.52113930868143</v>
      </c>
      <c r="D30" s="1">
        <v>295.92595103799653</v>
      </c>
      <c r="E30" s="1">
        <v>0</v>
      </c>
      <c r="F30" s="1">
        <v>0</v>
      </c>
      <c r="G30" s="9">
        <f>SUM(MS_FINANCIAL)</f>
        <v>1104.9224115922427</v>
      </c>
      <c r="L30" s="6"/>
      <c r="V30" s="9"/>
    </row>
    <row r="31" spans="1:22">
      <c r="A31" s="1" t="s">
        <v>52</v>
      </c>
      <c r="B31" s="6">
        <v>3720.541933113615</v>
      </c>
      <c r="C31" s="1">
        <v>780.1814965584698</v>
      </c>
      <c r="D31" s="1">
        <v>3168.3299724017866</v>
      </c>
      <c r="E31" s="1">
        <v>0</v>
      </c>
      <c r="F31" s="1">
        <v>0</v>
      </c>
      <c r="G31" s="9">
        <f>SUM(MO_FINANCIAL)</f>
        <v>7669.0534020738705</v>
      </c>
      <c r="L31" s="6"/>
      <c r="V31" s="9"/>
    </row>
    <row r="32" spans="1:22">
      <c r="A32" s="1" t="s">
        <v>53</v>
      </c>
      <c r="B32" s="6">
        <v>527.25423789615263</v>
      </c>
      <c r="C32" s="1">
        <v>239.75033886654504</v>
      </c>
      <c r="D32" s="1">
        <v>256.65896689181966</v>
      </c>
      <c r="E32" s="1">
        <v>0</v>
      </c>
      <c r="F32" s="1">
        <v>0</v>
      </c>
      <c r="G32" s="9">
        <f>SUM(MT_FINANCIAL)</f>
        <v>1023.6635436545173</v>
      </c>
      <c r="L32" s="6"/>
      <c r="V32" s="9"/>
    </row>
    <row r="33" spans="1:22">
      <c r="A33" s="1" t="s">
        <v>54</v>
      </c>
      <c r="B33" s="6">
        <v>1973.5387042535958</v>
      </c>
      <c r="C33" s="1">
        <v>582.80721493537726</v>
      </c>
      <c r="D33" s="1">
        <v>900.12885357671519</v>
      </c>
      <c r="E33" s="1">
        <v>0</v>
      </c>
      <c r="F33" s="1">
        <v>0</v>
      </c>
      <c r="G33" s="9">
        <f>SUM(NE_FINANCIAL)</f>
        <v>3456.4747727656886</v>
      </c>
      <c r="L33" s="6"/>
      <c r="V33" s="9"/>
    </row>
    <row r="34" spans="1:22">
      <c r="A34" s="1" t="s">
        <v>55</v>
      </c>
      <c r="B34" s="6">
        <v>1604.4208968434129</v>
      </c>
      <c r="C34" s="1">
        <v>456.49758240572999</v>
      </c>
      <c r="D34" s="1">
        <v>607.74165924225588</v>
      </c>
      <c r="E34" s="1">
        <v>0</v>
      </c>
      <c r="F34" s="1">
        <v>0</v>
      </c>
      <c r="G34" s="9">
        <f>SUM(NV_FINANCIAL)</f>
        <v>2668.6601384913988</v>
      </c>
      <c r="L34" s="6"/>
      <c r="V34" s="9"/>
    </row>
    <row r="35" spans="1:22">
      <c r="A35" s="1" t="s">
        <v>56</v>
      </c>
      <c r="B35" s="6">
        <v>1548.9440017210175</v>
      </c>
      <c r="C35" s="1">
        <v>396.61592752390476</v>
      </c>
      <c r="D35" s="1">
        <v>884.62698331780905</v>
      </c>
      <c r="E35" s="1">
        <v>0</v>
      </c>
      <c r="F35" s="1">
        <v>0</v>
      </c>
      <c r="G35" s="9">
        <f>SUM(NH_FINANCIAL)</f>
        <v>2830.1869125627313</v>
      </c>
      <c r="L35" s="6"/>
      <c r="V35" s="9"/>
    </row>
    <row r="36" spans="1:22">
      <c r="A36" s="1" t="s">
        <v>57</v>
      </c>
      <c r="B36" s="6">
        <v>6365.9907327746796</v>
      </c>
      <c r="C36" s="1">
        <v>4756.088166164368</v>
      </c>
      <c r="D36" s="1">
        <v>23797.433154592301</v>
      </c>
      <c r="E36" s="1">
        <v>0</v>
      </c>
      <c r="F36" s="1">
        <v>0</v>
      </c>
      <c r="G36" s="9">
        <f>SUM(NJ_FINANCIAL)</f>
        <v>34919.512053531347</v>
      </c>
      <c r="L36" s="6"/>
      <c r="V36" s="9"/>
    </row>
    <row r="37" spans="1:22">
      <c r="A37" s="1" t="s">
        <v>58</v>
      </c>
      <c r="B37" s="6">
        <v>1826.6295723365595</v>
      </c>
      <c r="C37" s="1">
        <v>354.97298805928648</v>
      </c>
      <c r="D37" s="1">
        <v>330.48561304481331</v>
      </c>
      <c r="E37" s="1">
        <v>0</v>
      </c>
      <c r="F37" s="1">
        <v>0</v>
      </c>
      <c r="G37" s="9">
        <f>SUM(NM_FINANCIAL)</f>
        <v>2512.0881734406594</v>
      </c>
      <c r="L37" s="6"/>
      <c r="V37" s="9"/>
    </row>
    <row r="38" spans="1:22">
      <c r="A38" s="1" t="s">
        <v>59</v>
      </c>
      <c r="B38" s="6">
        <v>26925.403090403644</v>
      </c>
      <c r="C38" s="1">
        <v>16158.977306434506</v>
      </c>
      <c r="D38" s="1">
        <v>39705.52352825056</v>
      </c>
      <c r="E38" s="1">
        <v>0</v>
      </c>
      <c r="F38" s="1">
        <v>0</v>
      </c>
      <c r="G38" s="9">
        <f>SUM(NY_FINANCIAL)</f>
        <v>82789.903925088714</v>
      </c>
      <c r="L38" s="6"/>
      <c r="V38" s="9"/>
    </row>
    <row r="39" spans="1:22">
      <c r="A39" s="1" t="s">
        <v>60</v>
      </c>
      <c r="B39" s="6">
        <v>3093.0978282277169</v>
      </c>
      <c r="C39" s="1">
        <v>1424.5005956819582</v>
      </c>
      <c r="D39" s="1">
        <v>6077.7651857264336</v>
      </c>
      <c r="E39" s="1">
        <v>0</v>
      </c>
      <c r="F39" s="1">
        <v>0</v>
      </c>
      <c r="G39" s="9">
        <f>SUM(NC_FINANCIAL)</f>
        <v>10595.363609636108</v>
      </c>
      <c r="L39" s="6"/>
      <c r="V39" s="9"/>
    </row>
    <row r="40" spans="1:22">
      <c r="A40" s="1" t="s">
        <v>61</v>
      </c>
      <c r="B40" s="6">
        <v>106.08736032296417</v>
      </c>
      <c r="C40" s="1">
        <v>593.56342817047346</v>
      </c>
      <c r="D40" s="1">
        <v>27.715175729617304</v>
      </c>
      <c r="E40" s="1">
        <v>0</v>
      </c>
      <c r="F40" s="1">
        <v>0</v>
      </c>
      <c r="G40" s="9">
        <f>SUM(ND_FINANCIAL)</f>
        <v>727.3659642230549</v>
      </c>
      <c r="L40" s="6"/>
      <c r="V40" s="9"/>
    </row>
    <row r="41" spans="1:22">
      <c r="A41" s="1" t="s">
        <v>62</v>
      </c>
      <c r="B41" s="6">
        <v>6789.3631624933532</v>
      </c>
      <c r="C41" s="1">
        <v>1851.70365903469</v>
      </c>
      <c r="D41" s="1">
        <v>4702.2338709289515</v>
      </c>
      <c r="E41" s="1">
        <v>0</v>
      </c>
      <c r="F41" s="1">
        <v>0</v>
      </c>
      <c r="G41" s="9">
        <f>SUM(OH_FINANCIAL)</f>
        <v>13343.300692456996</v>
      </c>
      <c r="L41" s="6"/>
      <c r="V41" s="9"/>
    </row>
    <row r="42" spans="1:22">
      <c r="A42" s="1" t="s">
        <v>63</v>
      </c>
      <c r="B42" s="6">
        <v>1190.9563868047865</v>
      </c>
      <c r="C42" s="1">
        <v>746.81641021838982</v>
      </c>
      <c r="D42" s="1">
        <v>367.20435935669508</v>
      </c>
      <c r="E42" s="1">
        <v>0</v>
      </c>
      <c r="F42" s="1">
        <v>0</v>
      </c>
      <c r="G42" s="9">
        <f>SUM(OK_FINANCIAL)</f>
        <v>2304.9771563798713</v>
      </c>
      <c r="L42" s="6"/>
      <c r="V42" s="9"/>
    </row>
    <row r="43" spans="1:22">
      <c r="A43" s="1" t="s">
        <v>64</v>
      </c>
      <c r="B43" s="6">
        <v>2156.103113465389</v>
      </c>
      <c r="C43" s="1">
        <v>860.46040138871649</v>
      </c>
      <c r="D43" s="1">
        <v>1571.5896382150283</v>
      </c>
      <c r="E43" s="1">
        <v>0</v>
      </c>
      <c r="F43" s="1">
        <v>0</v>
      </c>
      <c r="G43" s="9">
        <f>SUM(OR_FINANCIAL)</f>
        <v>4588.1531530691336</v>
      </c>
      <c r="L43" s="6"/>
      <c r="V43" s="9"/>
    </row>
    <row r="44" spans="1:22">
      <c r="A44" s="1" t="s">
        <v>65</v>
      </c>
      <c r="B44" s="6">
        <v>12328.186156564565</v>
      </c>
      <c r="C44" s="1">
        <v>3148.8298100653569</v>
      </c>
      <c r="D44" s="1">
        <v>8353.6334988142517</v>
      </c>
      <c r="E44" s="1">
        <v>0</v>
      </c>
      <c r="F44" s="1">
        <v>0</v>
      </c>
      <c r="G44" s="9">
        <f>SUM(PA_FINANCIAL)</f>
        <v>23830.649465444174</v>
      </c>
      <c r="L44" s="6"/>
      <c r="V44" s="9"/>
    </row>
    <row r="45" spans="1:22">
      <c r="A45" s="1" t="s">
        <v>66</v>
      </c>
      <c r="B45" s="6">
        <v>0</v>
      </c>
      <c r="C45" s="1">
        <v>0</v>
      </c>
      <c r="D45" s="1">
        <v>0</v>
      </c>
      <c r="E45" s="1">
        <v>0</v>
      </c>
      <c r="F45" s="1">
        <v>0</v>
      </c>
      <c r="G45" s="9">
        <f>SUM(PR_FINANCIAL)</f>
        <v>0</v>
      </c>
      <c r="L45" s="6"/>
      <c r="V45" s="9"/>
    </row>
    <row r="46" spans="1:22">
      <c r="A46" s="1" t="s">
        <v>67</v>
      </c>
      <c r="B46" s="6">
        <v>745.60491000693912</v>
      </c>
      <c r="C46" s="1">
        <v>471.91536211676117</v>
      </c>
      <c r="D46" s="1">
        <v>1406.5465851823617</v>
      </c>
      <c r="E46" s="1">
        <v>0</v>
      </c>
      <c r="F46" s="1">
        <v>0</v>
      </c>
      <c r="G46" s="9">
        <f>SUM(RI_FINANCIAL)</f>
        <v>2624.066857306062</v>
      </c>
      <c r="L46" s="6"/>
      <c r="V46" s="9"/>
    </row>
    <row r="47" spans="1:22">
      <c r="A47" s="1" t="s">
        <v>68</v>
      </c>
      <c r="B47" s="6">
        <v>1320.5504032556123</v>
      </c>
      <c r="C47" s="1">
        <v>951.67192843508712</v>
      </c>
      <c r="D47" s="1">
        <v>4130.3818847195971</v>
      </c>
      <c r="E47" s="1">
        <v>0</v>
      </c>
      <c r="F47" s="1">
        <v>0</v>
      </c>
      <c r="G47" s="9">
        <f>SUM(SC_FINANCIAL)</f>
        <v>6402.6042164102964</v>
      </c>
      <c r="L47" s="6"/>
      <c r="V47" s="9"/>
    </row>
    <row r="48" spans="1:22">
      <c r="A48" s="1" t="s">
        <v>69</v>
      </c>
      <c r="B48" s="6">
        <v>848.21420279562165</v>
      </c>
      <c r="C48" s="1">
        <v>361.34419852114661</v>
      </c>
      <c r="D48" s="1">
        <v>376.97144707711567</v>
      </c>
      <c r="E48" s="1">
        <v>0</v>
      </c>
      <c r="F48" s="1">
        <v>0</v>
      </c>
      <c r="G48" s="9">
        <f>SUM(SD_FINANCIAL)</f>
        <v>1586.5298483938839</v>
      </c>
      <c r="L48" s="6"/>
      <c r="V48" s="9"/>
    </row>
    <row r="49" spans="1:22">
      <c r="A49" s="1" t="s">
        <v>70</v>
      </c>
      <c r="B49" s="6">
        <v>1231.7101468785718</v>
      </c>
      <c r="C49" s="1">
        <v>1073.2042848413312</v>
      </c>
      <c r="D49" s="1">
        <v>1156.5151500663787</v>
      </c>
      <c r="E49" s="1">
        <v>0</v>
      </c>
      <c r="F49" s="1">
        <v>0</v>
      </c>
      <c r="G49" s="9">
        <f>SUM(TN_FINANCIAL)</f>
        <v>3461.4295817862817</v>
      </c>
      <c r="L49" s="6"/>
      <c r="V49" s="9"/>
    </row>
    <row r="50" spans="1:22">
      <c r="A50" s="1" t="s">
        <v>71</v>
      </c>
      <c r="B50" s="6">
        <v>11261.306160715478</v>
      </c>
      <c r="C50" s="1">
        <v>2379.1294007823108</v>
      </c>
      <c r="D50" s="1">
        <v>3567.6161670217584</v>
      </c>
      <c r="E50" s="1">
        <v>0</v>
      </c>
      <c r="F50" s="1">
        <v>0</v>
      </c>
      <c r="G50" s="9">
        <f>SUM(TX_FINANCIAL)</f>
        <v>17208.051728519546</v>
      </c>
      <c r="L50" s="6"/>
      <c r="V50" s="9"/>
    </row>
    <row r="51" spans="1:22">
      <c r="A51" s="1" t="s">
        <v>72</v>
      </c>
      <c r="B51" s="6">
        <v>1442.3431330245105</v>
      </c>
      <c r="C51" s="1">
        <v>516.7041961946677</v>
      </c>
      <c r="D51" s="1">
        <v>193.32170932642842</v>
      </c>
      <c r="E51" s="1">
        <v>0</v>
      </c>
      <c r="F51" s="1">
        <v>0</v>
      </c>
      <c r="G51" s="9">
        <f>SUM(UT_FINANCIAL)</f>
        <v>2152.3690385456066</v>
      </c>
      <c r="L51" s="6"/>
      <c r="V51" s="9"/>
    </row>
    <row r="52" spans="1:22">
      <c r="A52" s="1" t="s">
        <v>73</v>
      </c>
      <c r="B52" s="6">
        <v>566.77002892529231</v>
      </c>
      <c r="C52" s="1">
        <v>107.99133571914219</v>
      </c>
      <c r="D52" s="1">
        <v>538.17588359673596</v>
      </c>
      <c r="E52" s="1">
        <v>0</v>
      </c>
      <c r="F52" s="1">
        <v>0</v>
      </c>
      <c r="G52" s="9">
        <f>SUM(VT_FINANCIAL)</f>
        <v>1212.9372482411704</v>
      </c>
      <c r="L52" s="6"/>
      <c r="V52" s="9"/>
    </row>
    <row r="53" spans="1:22">
      <c r="A53" s="1" t="s">
        <v>74</v>
      </c>
      <c r="B53" s="6">
        <v>2558.0776924849124</v>
      </c>
      <c r="C53" s="1">
        <v>1195.7997292158043</v>
      </c>
      <c r="D53" s="1">
        <v>1991.719118578945</v>
      </c>
      <c r="E53" s="1">
        <v>0</v>
      </c>
      <c r="F53" s="1">
        <v>0</v>
      </c>
      <c r="G53" s="9">
        <f>SUM(VA_FINANCIAL)</f>
        <v>5745.5965402796619</v>
      </c>
      <c r="L53" s="6"/>
      <c r="V53" s="9"/>
    </row>
    <row r="54" spans="1:22">
      <c r="A54" s="1" t="s">
        <v>75</v>
      </c>
      <c r="B54" s="6">
        <v>7371.8552720731832</v>
      </c>
      <c r="C54" s="1">
        <v>1663.7469866272638</v>
      </c>
      <c r="D54" s="1">
        <v>4958.760339062469</v>
      </c>
      <c r="E54" s="1">
        <v>0</v>
      </c>
      <c r="F54" s="1">
        <v>0</v>
      </c>
      <c r="G54" s="9">
        <f>SUM(WA_FINANCIAL)</f>
        <v>13994.362597762916</v>
      </c>
      <c r="L54" s="6"/>
      <c r="V54" s="9"/>
    </row>
    <row r="55" spans="1:22">
      <c r="A55" s="1" t="s">
        <v>76</v>
      </c>
      <c r="B55" s="6">
        <v>602.65907063569477</v>
      </c>
      <c r="C55" s="1">
        <v>326.41167360363619</v>
      </c>
      <c r="D55" s="1">
        <v>766.46490260759924</v>
      </c>
      <c r="E55" s="1">
        <v>0</v>
      </c>
      <c r="F55" s="1">
        <v>0</v>
      </c>
      <c r="G55" s="9">
        <f>SUM(WV_FINANCIAL)</f>
        <v>1695.5356468469301</v>
      </c>
      <c r="L55" s="6"/>
      <c r="V55" s="9"/>
    </row>
    <row r="56" spans="1:22">
      <c r="A56" s="1" t="s">
        <v>77</v>
      </c>
      <c r="B56" s="6">
        <v>5378.3101664235464</v>
      </c>
      <c r="C56" s="1">
        <v>3030.4374310674975</v>
      </c>
      <c r="D56" s="1">
        <v>4485.6473977002233</v>
      </c>
      <c r="E56" s="1">
        <v>0</v>
      </c>
      <c r="F56" s="1">
        <v>0</v>
      </c>
      <c r="G56" s="9">
        <f>SUM(WI_FINANCIAL)</f>
        <v>12894.394995191269</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210029.4333002269</v>
      </c>
      <c r="C60" s="1">
        <f>SUM(ALLOCATED)</f>
        <v>93116.427799362893</v>
      </c>
      <c r="D60" s="1">
        <f>SUM(HEALTH)</f>
        <v>206891.27890041014</v>
      </c>
      <c r="E60" s="1">
        <f>SUM(UNALLOCATED)</f>
        <v>0</v>
      </c>
      <c r="F60" s="1">
        <f>SUM(LTC)</f>
        <v>0</v>
      </c>
      <c r="G60" s="9">
        <f>SUM(ALL_BLOCKS)</f>
        <v>510037.13999999984</v>
      </c>
      <c r="L60" s="6">
        <f>SUM(LIFE_CALLED)</f>
        <v>5138</v>
      </c>
      <c r="M60" s="1">
        <f>SUM(LIFE_REFUNDED)</f>
        <v>490</v>
      </c>
      <c r="O60" s="1">
        <f>SUM(ALLOC_CALLED)</f>
        <v>228</v>
      </c>
      <c r="P60" s="1">
        <f>SUM(ALLOC_REFUNDED)</f>
        <v>0</v>
      </c>
      <c r="R60" s="1">
        <f>SUM(HEALTH_CALLED)</f>
        <v>304</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146</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-8510.7547463822557</v>
      </c>
      <c r="C6" s="1">
        <v>-3750.1426682008168</v>
      </c>
      <c r="D6" s="1">
        <v>0</v>
      </c>
      <c r="E6" s="1">
        <v>0</v>
      </c>
      <c r="F6" s="1">
        <v>0</v>
      </c>
      <c r="G6" s="9">
        <f>SUM(AL_FINANCIAL)</f>
        <v>-12260.897414583073</v>
      </c>
      <c r="L6" s="6">
        <v>344000</v>
      </c>
      <c r="M6" s="1">
        <v>0</v>
      </c>
      <c r="O6" s="1">
        <v>6060</v>
      </c>
      <c r="P6" s="1">
        <v>0</v>
      </c>
      <c r="R6" s="1">
        <v>0</v>
      </c>
      <c r="S6" s="1">
        <v>0</v>
      </c>
      <c r="U6" s="1">
        <v>0</v>
      </c>
      <c r="V6" s="9">
        <v>0</v>
      </c>
    </row>
    <row r="7" spans="1:22">
      <c r="A7" s="1" t="s">
        <v>12</v>
      </c>
      <c r="B7" s="6">
        <v>-1239.7004073062799</v>
      </c>
      <c r="C7" s="1">
        <v>-553.33325962904109</v>
      </c>
      <c r="D7" s="1">
        <v>0</v>
      </c>
      <c r="E7" s="1">
        <v>-526.53156057171236</v>
      </c>
      <c r="F7" s="1">
        <v>0</v>
      </c>
      <c r="G7" s="9">
        <f>SUM(AK_FINANCIAL)</f>
        <v>-2319.5652275070333</v>
      </c>
      <c r="I7" s="12"/>
      <c r="J7" s="15"/>
      <c r="L7" s="6">
        <v>9158</v>
      </c>
      <c r="M7" s="1">
        <v>0</v>
      </c>
      <c r="O7" s="1">
        <v>5158</v>
      </c>
      <c r="P7" s="1">
        <v>18000</v>
      </c>
      <c r="R7" s="1">
        <v>0</v>
      </c>
      <c r="S7" s="1">
        <v>0</v>
      </c>
      <c r="U7" s="1">
        <v>4558</v>
      </c>
      <c r="V7" s="9">
        <v>0</v>
      </c>
    </row>
    <row r="8" spans="1:22">
      <c r="A8" s="1" t="s">
        <v>13</v>
      </c>
      <c r="B8" s="6">
        <v>-3212.7674113994726</v>
      </c>
      <c r="C8" s="1">
        <v>-8575.5938221942342</v>
      </c>
      <c r="D8" s="1">
        <v>0</v>
      </c>
      <c r="E8" s="1">
        <v>0</v>
      </c>
      <c r="F8" s="1">
        <v>0</v>
      </c>
      <c r="G8" s="9">
        <f>SUM(AZ_FINANCIAL)</f>
        <v>-11788.361233593707</v>
      </c>
      <c r="I8" s="13" t="s">
        <v>14</v>
      </c>
      <c r="J8" s="16"/>
      <c r="L8" s="6"/>
      <c r="V8" s="9"/>
    </row>
    <row r="9" spans="1:22">
      <c r="A9" s="1" t="s">
        <v>15</v>
      </c>
      <c r="B9" s="6">
        <v>-926.91425921570772</v>
      </c>
      <c r="C9" s="1">
        <v>-2959.9942371331708</v>
      </c>
      <c r="D9" s="1">
        <v>0</v>
      </c>
      <c r="E9" s="1">
        <v>-2.0392657506945682</v>
      </c>
      <c r="F9" s="1">
        <v>0</v>
      </c>
      <c r="G9" s="9">
        <f>SUM(AR_FINANCIAL)</f>
        <v>-3888.9477620995731</v>
      </c>
      <c r="I9" s="13"/>
      <c r="J9" s="16"/>
      <c r="L9" s="6">
        <v>88885</v>
      </c>
      <c r="M9" s="1">
        <v>0</v>
      </c>
      <c r="O9" s="1">
        <v>0</v>
      </c>
      <c r="P9" s="1">
        <v>0</v>
      </c>
      <c r="R9" s="1">
        <v>0</v>
      </c>
      <c r="S9" s="1">
        <v>0</v>
      </c>
      <c r="U9" s="1">
        <v>0</v>
      </c>
      <c r="V9" s="9">
        <v>0</v>
      </c>
    </row>
    <row r="10" spans="1:22">
      <c r="A10" s="1" t="s">
        <v>16</v>
      </c>
      <c r="B10" s="6">
        <v>27087.411225065123</v>
      </c>
      <c r="C10" s="1">
        <v>12483.403773282189</v>
      </c>
      <c r="D10" s="1">
        <v>0</v>
      </c>
      <c r="E10" s="1">
        <v>0</v>
      </c>
      <c r="F10" s="1">
        <v>0</v>
      </c>
      <c r="G10" s="9">
        <f>SUM(CA_FINANCIAL)</f>
        <v>39570.814998347312</v>
      </c>
      <c r="I10" s="13" t="s">
        <v>17</v>
      </c>
      <c r="J10" s="16">
        <v>5323073573.2348661</v>
      </c>
      <c r="L10" s="6">
        <v>1212180</v>
      </c>
      <c r="M10" s="1">
        <v>2100000</v>
      </c>
      <c r="O10" s="1">
        <v>554820</v>
      </c>
      <c r="P10" s="1">
        <v>950000</v>
      </c>
      <c r="R10" s="1">
        <v>0</v>
      </c>
      <c r="S10" s="1">
        <v>0</v>
      </c>
      <c r="U10" s="1">
        <v>0</v>
      </c>
      <c r="V10" s="9">
        <v>0</v>
      </c>
    </row>
    <row r="11" spans="1:22">
      <c r="A11" s="1" t="s">
        <v>18</v>
      </c>
      <c r="B11" s="6">
        <v>0</v>
      </c>
      <c r="C11" s="1">
        <v>0</v>
      </c>
      <c r="D11" s="1">
        <v>0</v>
      </c>
      <c r="E11" s="1">
        <v>0</v>
      </c>
      <c r="F11" s="1">
        <v>0</v>
      </c>
      <c r="G11" s="9">
        <f>SUM(CO_FINANCIAL)</f>
        <v>0</v>
      </c>
      <c r="I11" s="13"/>
      <c r="J11" s="16"/>
      <c r="L11" s="6">
        <v>197709</v>
      </c>
      <c r="M11" s="1">
        <v>0</v>
      </c>
      <c r="O11" s="1">
        <v>12260</v>
      </c>
      <c r="P11" s="1">
        <v>0</v>
      </c>
      <c r="R11" s="1">
        <v>0</v>
      </c>
      <c r="S11" s="1">
        <v>0</v>
      </c>
      <c r="U11" s="1">
        <v>0</v>
      </c>
      <c r="V11" s="9">
        <v>0</v>
      </c>
    </row>
    <row r="12" spans="1:22">
      <c r="A12" s="1" t="s">
        <v>19</v>
      </c>
      <c r="B12" s="6">
        <v>-20904.973129012651</v>
      </c>
      <c r="C12" s="1">
        <v>-86221.546988923103</v>
      </c>
      <c r="D12" s="1">
        <v>0</v>
      </c>
      <c r="E12" s="1">
        <v>-1266.4127155924289</v>
      </c>
      <c r="F12" s="1">
        <v>0</v>
      </c>
      <c r="G12" s="9">
        <f>SUM(CT_FINANCIAL)</f>
        <v>-108392.93283352818</v>
      </c>
      <c r="I12" s="13" t="s">
        <v>20</v>
      </c>
      <c r="J12" s="16"/>
      <c r="L12" s="6">
        <v>3223000</v>
      </c>
      <c r="M12" s="1">
        <v>3223000</v>
      </c>
      <c r="O12" s="1">
        <v>2322000</v>
      </c>
      <c r="P12" s="1">
        <v>2322000</v>
      </c>
      <c r="R12" s="1">
        <v>0</v>
      </c>
      <c r="S12" s="1">
        <v>0</v>
      </c>
      <c r="U12" s="1">
        <v>95000</v>
      </c>
      <c r="V12" s="9">
        <v>95000</v>
      </c>
    </row>
    <row r="13" spans="1:22">
      <c r="A13" s="1" t="s">
        <v>21</v>
      </c>
      <c r="B13" s="6">
        <v>2621.9437039570184</v>
      </c>
      <c r="C13" s="1">
        <v>1219.0154545749319</v>
      </c>
      <c r="D13" s="1">
        <v>0</v>
      </c>
      <c r="E13" s="1">
        <v>359.30303777492736</v>
      </c>
      <c r="F13" s="1">
        <v>0</v>
      </c>
      <c r="G13" s="9">
        <f>SUM(DE_FINANCIAL)</f>
        <v>4200.2621963068777</v>
      </c>
      <c r="I13" s="13" t="s">
        <v>22</v>
      </c>
      <c r="J13" s="16">
        <v>0</v>
      </c>
      <c r="L13" s="6">
        <v>109750</v>
      </c>
      <c r="M13" s="1">
        <v>0</v>
      </c>
      <c r="O13" s="1">
        <v>15250</v>
      </c>
      <c r="P13" s="1">
        <v>0</v>
      </c>
      <c r="R13" s="1">
        <v>0</v>
      </c>
      <c r="S13" s="1">
        <v>0</v>
      </c>
      <c r="U13" s="1">
        <v>0</v>
      </c>
      <c r="V13" s="9">
        <v>0</v>
      </c>
    </row>
    <row r="14" spans="1:22">
      <c r="A14" s="1" t="s">
        <v>23</v>
      </c>
      <c r="B14" s="6">
        <v>0</v>
      </c>
      <c r="C14" s="1">
        <v>0</v>
      </c>
      <c r="D14" s="1">
        <v>0</v>
      </c>
      <c r="E14" s="1">
        <v>0</v>
      </c>
      <c r="F14" s="1">
        <v>0</v>
      </c>
      <c r="G14" s="9">
        <f>SUM(DC_FINANCIAL)</f>
        <v>0</v>
      </c>
      <c r="I14" s="13" t="s">
        <v>24</v>
      </c>
      <c r="J14" s="16">
        <v>15185144.999999832</v>
      </c>
      <c r="L14" s="6"/>
      <c r="V14" s="9"/>
    </row>
    <row r="15" spans="1:22">
      <c r="A15" s="1" t="s">
        <v>25</v>
      </c>
      <c r="B15" s="6">
        <v>-26869.927765575121</v>
      </c>
      <c r="C15" s="1">
        <v>-32755.426521028392</v>
      </c>
      <c r="D15" s="1">
        <v>0</v>
      </c>
      <c r="E15" s="1">
        <v>0</v>
      </c>
      <c r="F15" s="1">
        <v>0</v>
      </c>
      <c r="G15" s="9">
        <f>SUM(FL_FINANCIAL)</f>
        <v>-59625.354286603513</v>
      </c>
      <c r="I15" s="13" t="s">
        <v>26</v>
      </c>
      <c r="J15" s="16">
        <v>5610808.5499999477</v>
      </c>
      <c r="L15" s="6"/>
      <c r="V15" s="9"/>
    </row>
    <row r="16" spans="1:22">
      <c r="A16" s="1" t="s">
        <v>27</v>
      </c>
      <c r="B16" s="6">
        <v>37737.269221162423</v>
      </c>
      <c r="C16" s="1">
        <v>18668.173503850354</v>
      </c>
      <c r="D16" s="1">
        <v>0</v>
      </c>
      <c r="E16" s="1">
        <v>2617.4417016977968</v>
      </c>
      <c r="F16" s="1">
        <v>0</v>
      </c>
      <c r="G16" s="9">
        <f>SUM(GA_FINANCIAL)</f>
        <v>59022.884426710574</v>
      </c>
      <c r="I16" s="13" t="s">
        <v>28</v>
      </c>
      <c r="J16" s="16">
        <v>0</v>
      </c>
      <c r="L16" s="6">
        <v>1653345</v>
      </c>
      <c r="M16" s="1">
        <v>0</v>
      </c>
      <c r="O16" s="1">
        <v>242689</v>
      </c>
      <c r="P16" s="1">
        <v>5681.63</v>
      </c>
      <c r="R16" s="1">
        <v>0</v>
      </c>
      <c r="S16" s="1">
        <v>0</v>
      </c>
      <c r="U16" s="1">
        <v>89966</v>
      </c>
      <c r="V16" s="9">
        <v>-271.26</v>
      </c>
    </row>
    <row r="17" spans="1:22">
      <c r="A17" s="1" t="s">
        <v>29</v>
      </c>
      <c r="B17" s="6">
        <v>-947.29205743171042</v>
      </c>
      <c r="C17" s="1">
        <v>-23.788435420103269</v>
      </c>
      <c r="D17" s="1">
        <v>0</v>
      </c>
      <c r="E17" s="1">
        <v>0</v>
      </c>
      <c r="F17" s="1">
        <v>0</v>
      </c>
      <c r="G17" s="9">
        <f>SUM(HI_FINANCIAL)</f>
        <v>-971.08049285181369</v>
      </c>
      <c r="I17" s="13"/>
      <c r="J17" s="16"/>
      <c r="L17" s="6">
        <v>390404</v>
      </c>
      <c r="M17" s="1">
        <v>0</v>
      </c>
      <c r="O17" s="1">
        <v>27611</v>
      </c>
      <c r="P17" s="1">
        <v>0</v>
      </c>
      <c r="R17" s="1">
        <v>128</v>
      </c>
      <c r="S17" s="1">
        <v>0</v>
      </c>
      <c r="U17" s="1">
        <v>0</v>
      </c>
      <c r="V17" s="9">
        <v>0</v>
      </c>
    </row>
    <row r="18" spans="1:22">
      <c r="A18" s="1" t="s">
        <v>30</v>
      </c>
      <c r="B18" s="6">
        <v>129.49603215721072</v>
      </c>
      <c r="C18" s="1">
        <v>30.184921397417384</v>
      </c>
      <c r="D18" s="1">
        <v>0</v>
      </c>
      <c r="E18" s="1">
        <v>0</v>
      </c>
      <c r="F18" s="1">
        <v>0</v>
      </c>
      <c r="G18" s="9">
        <f>SUM(ID_FINANCIAL)</f>
        <v>159.6809535546281</v>
      </c>
      <c r="I18" s="13" t="s">
        <v>31</v>
      </c>
      <c r="J18" s="16"/>
      <c r="L18" s="6">
        <v>97650</v>
      </c>
      <c r="M18" s="1">
        <v>165039</v>
      </c>
      <c r="O18" s="1">
        <v>67350</v>
      </c>
      <c r="P18" s="1">
        <v>0</v>
      </c>
      <c r="R18" s="1">
        <v>0</v>
      </c>
      <c r="S18" s="1">
        <v>0</v>
      </c>
      <c r="U18" s="1">
        <v>0</v>
      </c>
      <c r="V18" s="9">
        <v>0</v>
      </c>
    </row>
    <row r="19" spans="1:22">
      <c r="A19" s="1" t="s">
        <v>32</v>
      </c>
      <c r="B19" s="6">
        <v>-17407.351993518998</v>
      </c>
      <c r="C19" s="1">
        <v>-53738.603760808706</v>
      </c>
      <c r="D19" s="1">
        <v>0</v>
      </c>
      <c r="E19" s="1">
        <v>-4567.7132563201594</v>
      </c>
      <c r="F19" s="1">
        <v>0</v>
      </c>
      <c r="G19" s="9">
        <f>SUM(IL_FINANCIAL)</f>
        <v>-75713.669010647864</v>
      </c>
      <c r="I19" s="13" t="s">
        <v>33</v>
      </c>
      <c r="J19" s="16">
        <v>5160590573.2348652</v>
      </c>
      <c r="L19" s="6">
        <v>2250000</v>
      </c>
      <c r="M19" s="1">
        <v>6218000</v>
      </c>
      <c r="O19" s="1">
        <v>2750000</v>
      </c>
      <c r="P19" s="1">
        <v>3035000</v>
      </c>
      <c r="R19" s="1">
        <v>0</v>
      </c>
      <c r="S19" s="1">
        <v>0</v>
      </c>
      <c r="U19" s="1">
        <v>550000</v>
      </c>
      <c r="V19" s="9">
        <v>1138000</v>
      </c>
    </row>
    <row r="20" spans="1:22">
      <c r="A20" s="1" t="s">
        <v>34</v>
      </c>
      <c r="B20" s="6">
        <v>9988.4201265690499</v>
      </c>
      <c r="C20" s="1">
        <v>24725.829804641195</v>
      </c>
      <c r="D20" s="1">
        <v>0</v>
      </c>
      <c r="E20" s="1">
        <v>1245.2170158551889</v>
      </c>
      <c r="F20" s="1">
        <v>0</v>
      </c>
      <c r="G20" s="9">
        <f>SUM(IN_FINANCIAL)</f>
        <v>35959.466947065433</v>
      </c>
      <c r="I20" s="13" t="s">
        <v>35</v>
      </c>
      <c r="J20" s="16">
        <v>135157780.99999994</v>
      </c>
      <c r="L20" s="6"/>
      <c r="V20" s="9"/>
    </row>
    <row r="21" spans="1:22">
      <c r="A21" s="1" t="s">
        <v>36</v>
      </c>
      <c r="B21" s="6">
        <v>-6233.3549137673253</v>
      </c>
      <c r="C21" s="1">
        <v>-2985.9562257358411</v>
      </c>
      <c r="D21" s="1">
        <v>0</v>
      </c>
      <c r="E21" s="1">
        <v>0</v>
      </c>
      <c r="F21" s="1">
        <v>0</v>
      </c>
      <c r="G21" s="9">
        <f>SUM(IA_FINANCIAL)</f>
        <v>-9219.3111395031665</v>
      </c>
      <c r="I21" s="13" t="s">
        <v>37</v>
      </c>
      <c r="J21" s="16"/>
      <c r="L21" s="6">
        <v>504000</v>
      </c>
      <c r="M21" s="1">
        <v>0</v>
      </c>
      <c r="O21" s="1">
        <v>64000</v>
      </c>
      <c r="P21" s="1">
        <v>0</v>
      </c>
      <c r="R21" s="1">
        <v>0</v>
      </c>
      <c r="S21" s="1">
        <v>0</v>
      </c>
      <c r="U21" s="1">
        <v>0</v>
      </c>
      <c r="V21" s="9">
        <v>0</v>
      </c>
    </row>
    <row r="22" spans="1:22">
      <c r="A22" s="1" t="s">
        <v>38</v>
      </c>
      <c r="B22" s="6">
        <v>2276.9301983073819</v>
      </c>
      <c r="C22" s="1">
        <v>1529.3451733399706</v>
      </c>
      <c r="D22" s="1">
        <v>0</v>
      </c>
      <c r="E22" s="1">
        <v>0</v>
      </c>
      <c r="F22" s="1">
        <v>0</v>
      </c>
      <c r="G22" s="9">
        <f>SUM(KS_FINANCIAL)</f>
        <v>3806.2753716473526</v>
      </c>
      <c r="I22" s="13" t="s">
        <v>39</v>
      </c>
      <c r="J22" s="16">
        <v>0</v>
      </c>
      <c r="L22" s="6">
        <v>184000</v>
      </c>
      <c r="M22" s="1">
        <v>0</v>
      </c>
      <c r="O22" s="1">
        <v>50000</v>
      </c>
      <c r="P22" s="1">
        <v>0</v>
      </c>
      <c r="R22" s="1">
        <v>0</v>
      </c>
      <c r="S22" s="1">
        <v>0</v>
      </c>
      <c r="U22" s="1">
        <v>0</v>
      </c>
      <c r="V22" s="9">
        <v>0</v>
      </c>
    </row>
    <row r="23" spans="1:22">
      <c r="A23" s="1" t="s">
        <v>40</v>
      </c>
      <c r="B23" s="6">
        <v>-15474.015995639958</v>
      </c>
      <c r="C23" s="1">
        <v>-5148.7420727284043</v>
      </c>
      <c r="D23" s="1">
        <v>0</v>
      </c>
      <c r="E23" s="1">
        <v>0</v>
      </c>
      <c r="F23" s="1">
        <v>0</v>
      </c>
      <c r="G23" s="9">
        <f>SUM(KY_FINANCIAL)</f>
        <v>-20622.758068368363</v>
      </c>
      <c r="I23" s="13" t="s">
        <v>41</v>
      </c>
      <c r="J23" s="16"/>
      <c r="L23" s="6">
        <v>694762</v>
      </c>
      <c r="M23" s="1">
        <v>681287</v>
      </c>
      <c r="O23" s="1">
        <v>207259</v>
      </c>
      <c r="P23" s="1">
        <v>203121</v>
      </c>
      <c r="R23" s="1">
        <v>0</v>
      </c>
      <c r="S23" s="1">
        <v>0</v>
      </c>
      <c r="U23" s="1">
        <v>0</v>
      </c>
      <c r="V23" s="9">
        <v>0</v>
      </c>
    </row>
    <row r="24" spans="1:22">
      <c r="A24" s="1" t="s">
        <v>42</v>
      </c>
      <c r="B24" s="6">
        <v>0</v>
      </c>
      <c r="C24" s="1">
        <v>0</v>
      </c>
      <c r="D24" s="1">
        <v>0</v>
      </c>
      <c r="E24" s="1">
        <v>0</v>
      </c>
      <c r="F24" s="1">
        <v>0</v>
      </c>
      <c r="G24" s="9">
        <f>SUM(LA_FINANCIAL)</f>
        <v>0</v>
      </c>
      <c r="I24" s="13" t="s">
        <v>43</v>
      </c>
      <c r="J24" s="16">
        <v>49786580.999999508</v>
      </c>
      <c r="L24" s="6"/>
      <c r="V24" s="9"/>
    </row>
    <row r="25" spans="1:22">
      <c r="A25" s="1" t="s">
        <v>44</v>
      </c>
      <c r="B25" s="6">
        <v>-2564.3169388378883</v>
      </c>
      <c r="C25" s="1">
        <v>-17731.616485516803</v>
      </c>
      <c r="D25" s="1">
        <v>0</v>
      </c>
      <c r="E25" s="1">
        <v>-644.22006928344308</v>
      </c>
      <c r="F25" s="1">
        <v>0</v>
      </c>
      <c r="G25" s="9">
        <f>SUM(ME_FINANCIAL)</f>
        <v>-20940.153493638136</v>
      </c>
      <c r="I25" s="13"/>
      <c r="J25" s="16"/>
      <c r="L25" s="6">
        <v>44800</v>
      </c>
      <c r="M25" s="1">
        <v>0</v>
      </c>
      <c r="O25" s="1">
        <v>200200</v>
      </c>
      <c r="P25" s="1">
        <v>0</v>
      </c>
      <c r="R25" s="1">
        <v>0</v>
      </c>
      <c r="S25" s="1">
        <v>0</v>
      </c>
      <c r="U25" s="1">
        <v>0</v>
      </c>
      <c r="V25" s="9">
        <v>0</v>
      </c>
    </row>
    <row r="26" spans="1:22">
      <c r="A26" s="1" t="s">
        <v>45</v>
      </c>
      <c r="B26" s="6">
        <v>-7204.9778210291406</v>
      </c>
      <c r="C26" s="1">
        <v>-9184.8415691141854</v>
      </c>
      <c r="D26" s="1">
        <v>0</v>
      </c>
      <c r="E26" s="1">
        <v>0</v>
      </c>
      <c r="F26" s="1">
        <v>0</v>
      </c>
      <c r="G26" s="9">
        <f>SUM(MD_FINANCIAL)</f>
        <v>-16389.819390143326</v>
      </c>
      <c r="I26" s="13" t="s">
        <v>46</v>
      </c>
      <c r="J26" s="16">
        <f>SUM(ADD_FINANCIAL)-SUM(LESS_FINANCIAL)</f>
        <v>-1665408.4499979019</v>
      </c>
      <c r="L26" s="6">
        <v>126719</v>
      </c>
      <c r="M26" s="1">
        <v>0</v>
      </c>
      <c r="O26" s="1">
        <v>63281</v>
      </c>
      <c r="P26" s="1">
        <v>0</v>
      </c>
      <c r="R26" s="1">
        <v>0</v>
      </c>
      <c r="S26" s="1">
        <v>0</v>
      </c>
      <c r="U26" s="1">
        <v>0</v>
      </c>
      <c r="V26" s="9">
        <v>0</v>
      </c>
    </row>
    <row r="27" spans="1:22">
      <c r="A27" s="1" t="s">
        <v>47</v>
      </c>
      <c r="B27" s="6">
        <v>-14090.547665252816</v>
      </c>
      <c r="C27" s="1">
        <v>-4560.4072868307994</v>
      </c>
      <c r="D27" s="1">
        <v>0</v>
      </c>
      <c r="E27" s="1">
        <v>0</v>
      </c>
      <c r="F27" s="1">
        <v>0</v>
      </c>
      <c r="G27" s="9">
        <f>SUM(MA_FINANCIAL)</f>
        <v>-18650.954952083615</v>
      </c>
      <c r="I27" s="13" t="s">
        <v>48</v>
      </c>
      <c r="J27" s="16">
        <f>SUM(ALL_BLOCKS)</f>
        <v>-1665408.4499997196</v>
      </c>
      <c r="L27" s="6">
        <v>626000</v>
      </c>
      <c r="M27" s="1">
        <v>0</v>
      </c>
      <c r="O27" s="1">
        <v>189000</v>
      </c>
      <c r="P27" s="1">
        <v>0</v>
      </c>
      <c r="R27" s="1">
        <v>0</v>
      </c>
      <c r="S27" s="1">
        <v>0</v>
      </c>
      <c r="U27" s="1">
        <v>0</v>
      </c>
      <c r="V27" s="9">
        <v>0</v>
      </c>
    </row>
    <row r="28" spans="1:22">
      <c r="A28" s="1" t="s">
        <v>49</v>
      </c>
      <c r="B28" s="6">
        <v>-26281.273525991186</v>
      </c>
      <c r="C28" s="1">
        <v>-215696.91826423816</v>
      </c>
      <c r="D28" s="1">
        <v>0</v>
      </c>
      <c r="E28" s="1">
        <v>-116279.04180746642</v>
      </c>
      <c r="F28" s="1">
        <v>0</v>
      </c>
      <c r="G28" s="9">
        <f>SUM(MI_FINANCIAL)</f>
        <v>-358257.23359769577</v>
      </c>
      <c r="I28" s="14"/>
      <c r="J28" s="17"/>
      <c r="L28" s="6">
        <v>380000</v>
      </c>
      <c r="M28" s="1">
        <v>563200</v>
      </c>
      <c r="O28" s="1">
        <v>3340000</v>
      </c>
      <c r="P28" s="1">
        <v>0</v>
      </c>
      <c r="R28" s="1">
        <v>0</v>
      </c>
      <c r="S28" s="1">
        <v>0</v>
      </c>
      <c r="U28" s="1">
        <v>750000</v>
      </c>
      <c r="V28" s="9">
        <v>0</v>
      </c>
    </row>
    <row r="29" spans="1:22">
      <c r="A29" s="1" t="s">
        <v>50</v>
      </c>
      <c r="B29" s="6">
        <v>-6636.8798366875562</v>
      </c>
      <c r="C29" s="1">
        <v>-6412.2714800821996</v>
      </c>
      <c r="D29" s="1">
        <v>0</v>
      </c>
      <c r="E29" s="1">
        <v>-6934.0996778886329</v>
      </c>
      <c r="F29" s="1">
        <v>0</v>
      </c>
      <c r="G29" s="9">
        <f>SUM(MN_FINANCIAL)</f>
        <v>-19983.250994658389</v>
      </c>
      <c r="L29" s="6">
        <v>927500</v>
      </c>
      <c r="M29" s="1">
        <v>0</v>
      </c>
      <c r="O29" s="1">
        <v>397500</v>
      </c>
      <c r="P29" s="1">
        <v>0</v>
      </c>
      <c r="R29" s="1">
        <v>0</v>
      </c>
      <c r="S29" s="1">
        <v>0</v>
      </c>
      <c r="U29" s="1">
        <v>0</v>
      </c>
      <c r="V29" s="9">
        <v>0</v>
      </c>
    </row>
    <row r="30" spans="1:22">
      <c r="A30" s="1" t="s">
        <v>51</v>
      </c>
      <c r="B30" s="6">
        <v>3002.5079115918634</v>
      </c>
      <c r="C30" s="1">
        <v>2689.4620836847607</v>
      </c>
      <c r="D30" s="1">
        <v>0</v>
      </c>
      <c r="E30" s="1">
        <v>0</v>
      </c>
      <c r="F30" s="1">
        <v>0</v>
      </c>
      <c r="G30" s="9">
        <f>SUM(MS_FINANCIAL)</f>
        <v>5691.9699952766241</v>
      </c>
      <c r="L30" s="6">
        <v>311500</v>
      </c>
      <c r="M30" s="1">
        <v>0</v>
      </c>
      <c r="O30" s="1">
        <v>0</v>
      </c>
      <c r="P30" s="1">
        <v>0</v>
      </c>
      <c r="R30" s="1">
        <v>0</v>
      </c>
      <c r="S30" s="1">
        <v>0</v>
      </c>
      <c r="U30" s="1">
        <v>0</v>
      </c>
      <c r="V30" s="9">
        <v>0</v>
      </c>
    </row>
    <row r="31" spans="1:22">
      <c r="A31" s="1" t="s">
        <v>52</v>
      </c>
      <c r="B31" s="6">
        <v>6467.402166275424</v>
      </c>
      <c r="C31" s="1">
        <v>4246.5007701414288</v>
      </c>
      <c r="D31" s="1">
        <v>0</v>
      </c>
      <c r="E31" s="1">
        <v>0</v>
      </c>
      <c r="F31" s="1">
        <v>0</v>
      </c>
      <c r="G31" s="9">
        <f>SUM(MO_FINANCIAL)</f>
        <v>10713.902936416853</v>
      </c>
      <c r="L31" s="6">
        <v>850104</v>
      </c>
      <c r="M31" s="1">
        <v>0</v>
      </c>
      <c r="O31" s="1">
        <v>11428</v>
      </c>
      <c r="P31" s="1">
        <v>0</v>
      </c>
      <c r="R31" s="1">
        <v>0</v>
      </c>
      <c r="S31" s="1">
        <v>0</v>
      </c>
      <c r="U31" s="1">
        <v>0</v>
      </c>
      <c r="V31" s="9">
        <v>0</v>
      </c>
    </row>
    <row r="32" spans="1:22">
      <c r="A32" s="1" t="s">
        <v>53</v>
      </c>
      <c r="B32" s="6">
        <v>-6489.449534893356</v>
      </c>
      <c r="C32" s="1">
        <v>-2427.5484219762729</v>
      </c>
      <c r="D32" s="1">
        <v>0</v>
      </c>
      <c r="E32" s="1">
        <v>0</v>
      </c>
      <c r="F32" s="1">
        <v>0</v>
      </c>
      <c r="G32" s="9">
        <f>SUM(MT_FINANCIAL)</f>
        <v>-8916.997956869629</v>
      </c>
      <c r="L32" s="6">
        <v>145750</v>
      </c>
      <c r="M32" s="1">
        <v>0</v>
      </c>
      <c r="O32" s="1">
        <v>59660</v>
      </c>
      <c r="P32" s="1">
        <v>0</v>
      </c>
      <c r="R32" s="1">
        <v>0</v>
      </c>
      <c r="S32" s="1">
        <v>0</v>
      </c>
      <c r="U32" s="1">
        <v>0</v>
      </c>
      <c r="V32" s="9">
        <v>0</v>
      </c>
    </row>
    <row r="33" spans="1:22">
      <c r="A33" s="1" t="s">
        <v>54</v>
      </c>
      <c r="B33" s="6">
        <v>-2250.9039080564835</v>
      </c>
      <c r="C33" s="1">
        <v>-6473.0887977689854</v>
      </c>
      <c r="D33" s="1">
        <v>0</v>
      </c>
      <c r="E33" s="1">
        <v>0</v>
      </c>
      <c r="F33" s="1">
        <v>0</v>
      </c>
      <c r="G33" s="9">
        <f>SUM(NE_FINANCIAL)</f>
        <v>-8723.9927058254689</v>
      </c>
      <c r="L33" s="6">
        <v>176300</v>
      </c>
      <c r="M33" s="1">
        <v>0</v>
      </c>
      <c r="O33" s="1">
        <v>40295</v>
      </c>
      <c r="P33" s="1">
        <v>0</v>
      </c>
      <c r="R33" s="1">
        <v>0</v>
      </c>
      <c r="S33" s="1">
        <v>0</v>
      </c>
      <c r="U33" s="1">
        <v>0</v>
      </c>
      <c r="V33" s="9">
        <v>0</v>
      </c>
    </row>
    <row r="34" spans="1:22">
      <c r="A34" s="1" t="s">
        <v>55</v>
      </c>
      <c r="B34" s="6">
        <v>-27.984070952530601</v>
      </c>
      <c r="C34" s="1">
        <v>-15.052563103286957</v>
      </c>
      <c r="D34" s="1">
        <v>0</v>
      </c>
      <c r="E34" s="1">
        <v>0</v>
      </c>
      <c r="F34" s="1">
        <v>0</v>
      </c>
      <c r="G34" s="9">
        <f>SUM(NV_FINANCIAL)</f>
        <v>-43.036634055817558</v>
      </c>
      <c r="L34" s="6">
        <v>75100</v>
      </c>
      <c r="M34" s="1">
        <v>0</v>
      </c>
      <c r="O34" s="1">
        <v>58300</v>
      </c>
      <c r="P34" s="1">
        <v>0</v>
      </c>
      <c r="R34" s="1">
        <v>0</v>
      </c>
      <c r="S34" s="1">
        <v>0</v>
      </c>
      <c r="U34" s="1">
        <v>0</v>
      </c>
      <c r="V34" s="9">
        <v>0</v>
      </c>
    </row>
    <row r="35" spans="1:22">
      <c r="A35" s="1" t="s">
        <v>56</v>
      </c>
      <c r="B35" s="6">
        <v>-8188.309870572004</v>
      </c>
      <c r="C35" s="1">
        <v>-36680.392599245533</v>
      </c>
      <c r="D35" s="1">
        <v>0</v>
      </c>
      <c r="E35" s="1">
        <v>0</v>
      </c>
      <c r="F35" s="1">
        <v>0</v>
      </c>
      <c r="G35" s="9">
        <f>SUM(NH_FINANCIAL)</f>
        <v>-44868.702469817537</v>
      </c>
      <c r="L35" s="6">
        <v>140000</v>
      </c>
      <c r="M35" s="1">
        <v>107002</v>
      </c>
      <c r="O35" s="1">
        <v>360000</v>
      </c>
      <c r="P35" s="1">
        <v>446376</v>
      </c>
      <c r="R35" s="1">
        <v>0</v>
      </c>
      <c r="S35" s="1">
        <v>0</v>
      </c>
      <c r="U35" s="1">
        <v>0</v>
      </c>
      <c r="V35" s="9">
        <v>0</v>
      </c>
    </row>
    <row r="36" spans="1:22">
      <c r="A36" s="1" t="s">
        <v>57</v>
      </c>
      <c r="B36" s="6">
        <v>-51871.711293566739</v>
      </c>
      <c r="C36" s="1">
        <v>-281812.55137302633</v>
      </c>
      <c r="D36" s="1">
        <v>0</v>
      </c>
      <c r="E36" s="1">
        <v>-15919.844581460289</v>
      </c>
      <c r="F36" s="1">
        <v>0</v>
      </c>
      <c r="G36" s="9">
        <f>SUM(NJ_FINANCIAL)</f>
        <v>-349604.10724805336</v>
      </c>
      <c r="L36" s="6">
        <v>1260000</v>
      </c>
      <c r="M36" s="1">
        <v>1627581</v>
      </c>
      <c r="O36" s="1">
        <v>3740000</v>
      </c>
      <c r="P36" s="1">
        <v>4616428</v>
      </c>
      <c r="R36" s="1">
        <v>0</v>
      </c>
      <c r="S36" s="1">
        <v>0</v>
      </c>
      <c r="U36" s="1">
        <v>500000</v>
      </c>
      <c r="V36" s="9">
        <v>610524</v>
      </c>
    </row>
    <row r="37" spans="1:22">
      <c r="A37" s="1" t="s">
        <v>58</v>
      </c>
      <c r="B37" s="6">
        <v>997.58861241524573</v>
      </c>
      <c r="C37" s="1">
        <v>1210.3962298621773</v>
      </c>
      <c r="D37" s="1">
        <v>0</v>
      </c>
      <c r="E37" s="1">
        <v>0</v>
      </c>
      <c r="F37" s="1">
        <v>0</v>
      </c>
      <c r="G37" s="9">
        <f>SUM(NM_FINANCIAL)</f>
        <v>2207.984842277423</v>
      </c>
      <c r="L37" s="6">
        <v>1000000</v>
      </c>
      <c r="M37" s="1">
        <v>0</v>
      </c>
      <c r="O37" s="1">
        <v>302243</v>
      </c>
      <c r="P37" s="1">
        <v>0</v>
      </c>
      <c r="R37" s="1">
        <v>0</v>
      </c>
      <c r="S37" s="1">
        <v>0</v>
      </c>
      <c r="U37" s="1">
        <v>0</v>
      </c>
      <c r="V37" s="9">
        <v>0</v>
      </c>
    </row>
    <row r="38" spans="1:22">
      <c r="A38" s="1" t="s">
        <v>59</v>
      </c>
      <c r="B38" s="6">
        <v>-99386.970106366789</v>
      </c>
      <c r="C38" s="1">
        <v>-265512.21401918307</v>
      </c>
      <c r="D38" s="1">
        <v>0</v>
      </c>
      <c r="E38" s="1">
        <v>-9646.7778394741181</v>
      </c>
      <c r="F38" s="1">
        <v>0</v>
      </c>
      <c r="G38" s="9">
        <f>SUM(NY_FINANCIAL)</f>
        <v>-374545.96196502401</v>
      </c>
      <c r="L38" s="6">
        <v>91500000</v>
      </c>
      <c r="M38" s="1">
        <v>54000000</v>
      </c>
      <c r="O38" s="1">
        <v>0</v>
      </c>
      <c r="P38" s="1">
        <v>0</v>
      </c>
      <c r="R38" s="1">
        <v>0</v>
      </c>
      <c r="S38" s="1">
        <v>0</v>
      </c>
      <c r="U38" s="1">
        <v>0</v>
      </c>
      <c r="V38" s="9">
        <v>0</v>
      </c>
    </row>
    <row r="39" spans="1:22">
      <c r="A39" s="1" t="s">
        <v>60</v>
      </c>
      <c r="B39" s="6">
        <v>-11324.720400752063</v>
      </c>
      <c r="C39" s="1">
        <v>-11110.34497308702</v>
      </c>
      <c r="D39" s="1">
        <v>0</v>
      </c>
      <c r="E39" s="1">
        <v>-648.78369296178244</v>
      </c>
      <c r="F39" s="1">
        <v>0</v>
      </c>
      <c r="G39" s="9">
        <f>SUM(NC_FINANCIAL)</f>
        <v>-23083.849066800867</v>
      </c>
      <c r="L39" s="6">
        <v>250000</v>
      </c>
      <c r="M39" s="1">
        <v>275000</v>
      </c>
      <c r="O39" s="1">
        <v>250000</v>
      </c>
      <c r="P39" s="1">
        <v>275000</v>
      </c>
      <c r="R39" s="1">
        <v>0</v>
      </c>
      <c r="S39" s="1">
        <v>0</v>
      </c>
      <c r="U39" s="1">
        <v>0</v>
      </c>
      <c r="V39" s="9">
        <v>0</v>
      </c>
    </row>
    <row r="40" spans="1:22">
      <c r="A40" s="1" t="s">
        <v>61</v>
      </c>
      <c r="B40" s="6">
        <v>4426.3335341239872</v>
      </c>
      <c r="C40" s="1">
        <v>353.38385212330286</v>
      </c>
      <c r="D40" s="1">
        <v>0</v>
      </c>
      <c r="E40" s="1">
        <v>0</v>
      </c>
      <c r="F40" s="1">
        <v>0</v>
      </c>
      <c r="G40" s="9">
        <f>SUM(ND_FINANCIAL)</f>
        <v>4779.7173862472901</v>
      </c>
      <c r="L40" s="6">
        <v>10253</v>
      </c>
      <c r="M40" s="1">
        <v>0</v>
      </c>
      <c r="O40" s="1">
        <v>502</v>
      </c>
      <c r="P40" s="1">
        <v>0</v>
      </c>
      <c r="R40" s="1">
        <v>0</v>
      </c>
      <c r="S40" s="1">
        <v>0</v>
      </c>
      <c r="U40" s="1">
        <v>0</v>
      </c>
      <c r="V40" s="9">
        <v>0</v>
      </c>
    </row>
    <row r="41" spans="1:22">
      <c r="A41" s="1" t="s">
        <v>62</v>
      </c>
      <c r="B41" s="6">
        <v>-25718.786723923287</v>
      </c>
      <c r="C41" s="1">
        <v>-33373.523756944574</v>
      </c>
      <c r="D41" s="1">
        <v>0</v>
      </c>
      <c r="E41" s="1">
        <v>-5925.4734451940167</v>
      </c>
      <c r="F41" s="1">
        <v>0</v>
      </c>
      <c r="G41" s="9">
        <f>SUM(OH_FINANCIAL)</f>
        <v>-65017.783926061878</v>
      </c>
      <c r="L41" s="6">
        <v>200000</v>
      </c>
      <c r="M41" s="1">
        <v>0</v>
      </c>
      <c r="O41" s="1">
        <v>150000</v>
      </c>
      <c r="P41" s="1">
        <v>0</v>
      </c>
      <c r="R41" s="1">
        <v>0</v>
      </c>
      <c r="S41" s="1">
        <v>0</v>
      </c>
      <c r="U41" s="1">
        <v>150000</v>
      </c>
      <c r="V41" s="9">
        <v>0</v>
      </c>
    </row>
    <row r="42" spans="1:22">
      <c r="A42" s="1" t="s">
        <v>63</v>
      </c>
      <c r="B42" s="6">
        <v>-4677.6324068559043</v>
      </c>
      <c r="C42" s="1">
        <v>-1957.5953304577852</v>
      </c>
      <c r="D42" s="1">
        <v>0</v>
      </c>
      <c r="E42" s="1">
        <v>0</v>
      </c>
      <c r="F42" s="1">
        <v>0</v>
      </c>
      <c r="G42" s="9">
        <f>SUM(OK_FINANCIAL)</f>
        <v>-6635.2277373136894</v>
      </c>
      <c r="L42" s="6">
        <v>155000</v>
      </c>
      <c r="M42" s="1">
        <v>148000</v>
      </c>
      <c r="O42" s="1">
        <v>95000</v>
      </c>
      <c r="P42" s="1">
        <v>92000</v>
      </c>
      <c r="R42" s="1">
        <v>0</v>
      </c>
      <c r="S42" s="1">
        <v>0</v>
      </c>
      <c r="U42" s="1">
        <v>0</v>
      </c>
      <c r="V42" s="9">
        <v>0</v>
      </c>
    </row>
    <row r="43" spans="1:22">
      <c r="A43" s="1" t="s">
        <v>64</v>
      </c>
      <c r="B43" s="6">
        <v>-1405.2318078605531</v>
      </c>
      <c r="C43" s="1">
        <v>-9131.4689069739252</v>
      </c>
      <c r="D43" s="1">
        <v>0</v>
      </c>
      <c r="E43" s="1">
        <v>0</v>
      </c>
      <c r="F43" s="1">
        <v>0</v>
      </c>
      <c r="G43" s="9">
        <f>SUM(OR_FINANCIAL)</f>
        <v>-10536.700714834478</v>
      </c>
      <c r="L43" s="6"/>
      <c r="V43" s="9"/>
    </row>
    <row r="44" spans="1:22">
      <c r="A44" s="1" t="s">
        <v>65</v>
      </c>
      <c r="B44" s="6">
        <v>-43459.785080580506</v>
      </c>
      <c r="C44" s="1">
        <v>-24559.645898175717</v>
      </c>
      <c r="D44" s="1">
        <v>0</v>
      </c>
      <c r="E44" s="1">
        <v>-7192.6298240282485</v>
      </c>
      <c r="F44" s="1">
        <v>0</v>
      </c>
      <c r="G44" s="9">
        <f>SUM(PA_FINANCIAL)</f>
        <v>-75212.060802784472</v>
      </c>
      <c r="L44" s="6">
        <v>500000</v>
      </c>
      <c r="M44" s="1">
        <v>0</v>
      </c>
      <c r="O44" s="1">
        <v>0</v>
      </c>
      <c r="P44" s="1">
        <v>0</v>
      </c>
      <c r="R44" s="1">
        <v>0</v>
      </c>
      <c r="S44" s="1">
        <v>0</v>
      </c>
      <c r="U44" s="1">
        <v>0</v>
      </c>
      <c r="V44" s="9">
        <v>0</v>
      </c>
    </row>
    <row r="45" spans="1:22">
      <c r="A45" s="1" t="s">
        <v>66</v>
      </c>
      <c r="B45" s="6">
        <v>-62.506773424260246</v>
      </c>
      <c r="C45" s="1">
        <v>-163.53660800462512</v>
      </c>
      <c r="D45" s="1">
        <v>0</v>
      </c>
      <c r="E45" s="1">
        <v>0</v>
      </c>
      <c r="F45" s="1">
        <v>0</v>
      </c>
      <c r="G45" s="9">
        <f>SUM(PR_FINANCIAL)</f>
        <v>-226.04338142888537</v>
      </c>
      <c r="L45" s="6"/>
      <c r="V45" s="9"/>
    </row>
    <row r="46" spans="1:22">
      <c r="A46" s="1" t="s">
        <v>67</v>
      </c>
      <c r="B46" s="6">
        <v>-1224.8731052013463</v>
      </c>
      <c r="C46" s="1">
        <v>-511.14761428110069</v>
      </c>
      <c r="D46" s="1">
        <v>0</v>
      </c>
      <c r="E46" s="1">
        <v>0</v>
      </c>
      <c r="F46" s="1">
        <v>0</v>
      </c>
      <c r="G46" s="9">
        <f>SUM(RI_FINANCIAL)</f>
        <v>-1736.020719482447</v>
      </c>
      <c r="L46" s="6">
        <v>66025</v>
      </c>
      <c r="M46" s="1">
        <v>0</v>
      </c>
      <c r="O46" s="1">
        <v>67975</v>
      </c>
      <c r="P46" s="1">
        <v>0</v>
      </c>
      <c r="R46" s="1">
        <v>0</v>
      </c>
      <c r="S46" s="1">
        <v>0</v>
      </c>
      <c r="U46" s="1">
        <v>0</v>
      </c>
      <c r="V46" s="9">
        <v>0</v>
      </c>
    </row>
    <row r="47" spans="1:22">
      <c r="A47" s="1" t="s">
        <v>68</v>
      </c>
      <c r="B47" s="6">
        <v>-8477.5013482101494</v>
      </c>
      <c r="C47" s="1">
        <v>-5447.2942464699881</v>
      </c>
      <c r="D47" s="1">
        <v>0</v>
      </c>
      <c r="E47" s="1">
        <v>0</v>
      </c>
      <c r="F47" s="1">
        <v>0</v>
      </c>
      <c r="G47" s="9">
        <f>SUM(SC_FINANCIAL)</f>
        <v>-13924.795594680138</v>
      </c>
      <c r="L47" s="6"/>
      <c r="V47" s="9"/>
    </row>
    <row r="48" spans="1:22">
      <c r="A48" s="1" t="s">
        <v>69</v>
      </c>
      <c r="B48" s="6">
        <v>-44.354634123359574</v>
      </c>
      <c r="C48" s="1">
        <v>-4.1667831893955736</v>
      </c>
      <c r="D48" s="1">
        <v>0</v>
      </c>
      <c r="E48" s="1">
        <v>0</v>
      </c>
      <c r="F48" s="1">
        <v>0</v>
      </c>
      <c r="G48" s="9">
        <f>SUM(SD_FINANCIAL)</f>
        <v>-48.521417312755148</v>
      </c>
      <c r="L48" s="6">
        <v>1900000</v>
      </c>
      <c r="M48" s="1">
        <v>2065520</v>
      </c>
      <c r="O48" s="1">
        <v>0</v>
      </c>
      <c r="P48" s="1">
        <v>0</v>
      </c>
      <c r="R48" s="1">
        <v>0</v>
      </c>
      <c r="S48" s="1">
        <v>0</v>
      </c>
      <c r="U48" s="1">
        <v>0</v>
      </c>
      <c r="V48" s="9">
        <v>0</v>
      </c>
    </row>
    <row r="49" spans="1:22">
      <c r="A49" s="1" t="s">
        <v>70</v>
      </c>
      <c r="B49" s="6">
        <v>-9513.496351928392</v>
      </c>
      <c r="C49" s="1">
        <v>-1949.3074343806657</v>
      </c>
      <c r="D49" s="1">
        <v>0</v>
      </c>
      <c r="E49" s="1">
        <v>0</v>
      </c>
      <c r="F49" s="1">
        <v>0</v>
      </c>
      <c r="G49" s="9">
        <f>SUM(TN_FINANCIAL)</f>
        <v>-11462.803786309058</v>
      </c>
      <c r="L49" s="6">
        <v>300000</v>
      </c>
      <c r="M49" s="1">
        <v>0</v>
      </c>
      <c r="O49" s="1">
        <v>130000</v>
      </c>
      <c r="P49" s="1">
        <v>0</v>
      </c>
      <c r="R49" s="1">
        <v>0</v>
      </c>
      <c r="S49" s="1">
        <v>0</v>
      </c>
      <c r="U49" s="1">
        <v>0</v>
      </c>
      <c r="V49" s="9">
        <v>0</v>
      </c>
    </row>
    <row r="50" spans="1:22">
      <c r="A50" s="1" t="s">
        <v>71</v>
      </c>
      <c r="B50" s="6">
        <v>-26454.004278681474</v>
      </c>
      <c r="C50" s="1">
        <v>-8146.3219346582191</v>
      </c>
      <c r="D50" s="1">
        <v>0</v>
      </c>
      <c r="E50" s="1">
        <v>-4122.921443226558</v>
      </c>
      <c r="F50" s="1">
        <v>0</v>
      </c>
      <c r="G50" s="9">
        <f>SUM(TX_FINANCIAL)</f>
        <v>-38723.247656566251</v>
      </c>
      <c r="L50" s="6">
        <v>678676</v>
      </c>
      <c r="M50" s="1">
        <v>827199.84725400002</v>
      </c>
      <c r="O50" s="1">
        <v>120850</v>
      </c>
      <c r="P50" s="1">
        <v>147222.508026</v>
      </c>
      <c r="R50" s="1">
        <v>3545420</v>
      </c>
      <c r="S50" s="1">
        <v>4321351.3147200001</v>
      </c>
      <c r="U50" s="1">
        <v>0</v>
      </c>
      <c r="V50" s="9">
        <v>0</v>
      </c>
    </row>
    <row r="51" spans="1:22">
      <c r="A51" s="1" t="s">
        <v>72</v>
      </c>
      <c r="B51" s="6">
        <v>1891.7268221105041</v>
      </c>
      <c r="C51" s="1">
        <v>879.31085820729641</v>
      </c>
      <c r="D51" s="1">
        <v>0</v>
      </c>
      <c r="E51" s="1">
        <v>3055.4325927039899</v>
      </c>
      <c r="F51" s="1">
        <v>0</v>
      </c>
      <c r="G51" s="9">
        <f>SUM(UT_FINANCIAL)</f>
        <v>5826.4702730217905</v>
      </c>
      <c r="L51" s="6">
        <v>373502</v>
      </c>
      <c r="M51" s="1">
        <v>318285</v>
      </c>
      <c r="O51" s="1">
        <v>123276</v>
      </c>
      <c r="P51" s="1">
        <v>106095</v>
      </c>
      <c r="R51" s="1">
        <v>3221</v>
      </c>
      <c r="S51" s="1">
        <v>0</v>
      </c>
      <c r="U51" s="1">
        <v>0</v>
      </c>
      <c r="V51" s="9">
        <v>0</v>
      </c>
    </row>
    <row r="52" spans="1:22">
      <c r="A52" s="1" t="s">
        <v>73</v>
      </c>
      <c r="B52" s="6">
        <v>-1234.1059176188155</v>
      </c>
      <c r="C52" s="1">
        <v>-15956.158169840637</v>
      </c>
      <c r="D52" s="1">
        <v>0</v>
      </c>
      <c r="E52" s="1">
        <v>-3903.7641015315021</v>
      </c>
      <c r="F52" s="1">
        <v>0</v>
      </c>
      <c r="G52" s="9">
        <f>SUM(VT_FINANCIAL)</f>
        <v>-21094.028188990953</v>
      </c>
      <c r="L52" s="6">
        <v>23000</v>
      </c>
      <c r="M52" s="1">
        <v>0</v>
      </c>
      <c r="O52" s="1">
        <v>219500</v>
      </c>
      <c r="P52" s="1">
        <v>0</v>
      </c>
      <c r="R52" s="1">
        <v>0</v>
      </c>
      <c r="S52" s="1">
        <v>0</v>
      </c>
      <c r="U52" s="1">
        <v>0</v>
      </c>
      <c r="V52" s="9">
        <v>0</v>
      </c>
    </row>
    <row r="53" spans="1:22">
      <c r="A53" s="1" t="s">
        <v>74</v>
      </c>
      <c r="B53" s="6">
        <v>-4062.9111771342577</v>
      </c>
      <c r="C53" s="1">
        <v>-3535.2676829569391</v>
      </c>
      <c r="D53" s="1">
        <v>0</v>
      </c>
      <c r="E53" s="1">
        <v>0</v>
      </c>
      <c r="F53" s="1">
        <v>0</v>
      </c>
      <c r="G53" s="9">
        <f>SUM(VA_FINANCIAL)</f>
        <v>-7598.1788600911968</v>
      </c>
      <c r="L53" s="6">
        <v>683540</v>
      </c>
      <c r="M53" s="1">
        <v>1010868</v>
      </c>
      <c r="O53" s="1">
        <v>8711</v>
      </c>
      <c r="P53" s="1">
        <v>7374</v>
      </c>
      <c r="R53" s="1">
        <v>398463</v>
      </c>
      <c r="S53" s="1">
        <v>420000</v>
      </c>
      <c r="U53" s="1">
        <v>0</v>
      </c>
      <c r="V53" s="9">
        <v>0</v>
      </c>
    </row>
    <row r="54" spans="1:22">
      <c r="A54" s="1" t="s">
        <v>75</v>
      </c>
      <c r="B54" s="6">
        <v>-3353.3005562562903</v>
      </c>
      <c r="C54" s="1">
        <v>-19266.876843377133</v>
      </c>
      <c r="D54" s="1">
        <v>0</v>
      </c>
      <c r="E54" s="1">
        <v>-493.73891868887404</v>
      </c>
      <c r="F54" s="1">
        <v>0</v>
      </c>
      <c r="G54" s="9">
        <f>SUM(WA_FINANCIAL)</f>
        <v>-23113.916318322299</v>
      </c>
      <c r="L54" s="6"/>
      <c r="V54" s="9"/>
    </row>
    <row r="55" spans="1:22">
      <c r="A55" s="1" t="s">
        <v>76</v>
      </c>
      <c r="B55" s="6">
        <v>-3377.8716799038375</v>
      </c>
      <c r="C55" s="1">
        <v>-711.88581042809165</v>
      </c>
      <c r="D55" s="1">
        <v>0</v>
      </c>
      <c r="E55" s="1">
        <v>0</v>
      </c>
      <c r="F55" s="1">
        <v>0</v>
      </c>
      <c r="G55" s="9">
        <f>SUM(WV_FINANCIAL)</f>
        <v>-4089.7574903319291</v>
      </c>
      <c r="L55" s="6">
        <v>51698</v>
      </c>
      <c r="M55" s="1">
        <v>63442</v>
      </c>
      <c r="O55" s="1">
        <v>2293</v>
      </c>
      <c r="P55" s="1">
        <v>351</v>
      </c>
      <c r="R55" s="1">
        <v>79100</v>
      </c>
      <c r="S55" s="1">
        <v>95605</v>
      </c>
      <c r="U55" s="1">
        <v>0</v>
      </c>
      <c r="V55" s="9">
        <v>0</v>
      </c>
    </row>
    <row r="56" spans="1:22">
      <c r="A56" s="1" t="s">
        <v>77</v>
      </c>
      <c r="B56" s="6">
        <v>-3104.111186220689</v>
      </c>
      <c r="C56" s="1">
        <v>-1582.1765605368128</v>
      </c>
      <c r="D56" s="1">
        <v>0</v>
      </c>
      <c r="E56" s="1">
        <v>0</v>
      </c>
      <c r="F56" s="1">
        <v>0</v>
      </c>
      <c r="G56" s="9">
        <f>SUM(WI_FINANCIAL)</f>
        <v>-4686.2877467575017</v>
      </c>
      <c r="L56" s="6"/>
      <c r="V56" s="9"/>
    </row>
    <row r="57" spans="1:22">
      <c r="A57" s="1" t="s">
        <v>78</v>
      </c>
      <c r="B57" s="6">
        <v>-4373.6820939973113</v>
      </c>
      <c r="C57" s="1">
        <v>-57.885947374422358</v>
      </c>
      <c r="D57" s="1">
        <v>0</v>
      </c>
      <c r="E57" s="1">
        <v>0</v>
      </c>
      <c r="F57" s="1">
        <v>0</v>
      </c>
      <c r="G57" s="9">
        <f>SUM(WY_FINANCIAL)</f>
        <v>-4431.5680413717337</v>
      </c>
      <c r="L57" s="6">
        <v>214537</v>
      </c>
      <c r="M57" s="1">
        <v>0</v>
      </c>
      <c r="O57" s="1">
        <v>16178</v>
      </c>
      <c r="P57" s="1">
        <v>0</v>
      </c>
      <c r="R57" s="1">
        <v>105957</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-381962.22322039324</v>
      </c>
      <c r="C60" s="1">
        <f>SUM(ALLOCATED)</f>
        <v>-1112649.6289279202</v>
      </c>
      <c r="D60" s="1">
        <f>SUM(HEALTH)</f>
        <v>0</v>
      </c>
      <c r="E60" s="1">
        <f>SUM(UNALLOCATED)</f>
        <v>-170796.59785140699</v>
      </c>
      <c r="F60" s="1">
        <f>SUM(LTC)</f>
        <v>0</v>
      </c>
      <c r="G60" s="9">
        <f>SUM(ALL_BLOCKS)</f>
        <v>-1665408.4499997196</v>
      </c>
      <c r="L60" s="6">
        <f>SUM(LIFE_CALLED)</f>
        <v>113928847</v>
      </c>
      <c r="M60" s="1">
        <f>SUM(LIFE_REFUNDED)</f>
        <v>73393423.847253993</v>
      </c>
      <c r="O60" s="1">
        <f>SUM(ALLOC_CALLED)</f>
        <v>16270649</v>
      </c>
      <c r="P60" s="1">
        <f>SUM(ALLOC_REFUNDED)</f>
        <v>12224649.138025999</v>
      </c>
      <c r="R60" s="1">
        <f>SUM(HEALTH_CALLED)</f>
        <v>4132289</v>
      </c>
      <c r="S60" s="1">
        <f>SUM(HEALTH_REFUNDED)</f>
        <v>4836956.3147200001</v>
      </c>
      <c r="U60" s="1">
        <f>SUM(UNALLOC_CALLED)</f>
        <v>2139524</v>
      </c>
      <c r="V60" s="9">
        <f>SUM(UNALLOC_REFUNDED)</f>
        <v>1843252.74</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147</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186.88310756352439</v>
      </c>
      <c r="C6" s="1">
        <v>223.64903248920746</v>
      </c>
      <c r="D6" s="1">
        <v>-2615.6624283463539</v>
      </c>
      <c r="E6" s="1">
        <v>0</v>
      </c>
      <c r="F6" s="1">
        <v>0</v>
      </c>
      <c r="G6" s="9">
        <f>SUM(AL_FINANCIAL)</f>
        <v>-2205.130288293622</v>
      </c>
      <c r="L6" s="6">
        <v>98826</v>
      </c>
      <c r="M6" s="1">
        <v>0</v>
      </c>
      <c r="O6" s="1">
        <v>81514</v>
      </c>
      <c r="P6" s="1">
        <v>0</v>
      </c>
      <c r="R6" s="1">
        <v>3000</v>
      </c>
      <c r="S6" s="1">
        <v>0</v>
      </c>
      <c r="U6" s="1">
        <v>0</v>
      </c>
      <c r="V6" s="9">
        <v>0</v>
      </c>
    </row>
    <row r="7" spans="1:22">
      <c r="A7" s="1" t="s">
        <v>12</v>
      </c>
      <c r="B7" s="6">
        <v>1495.8023215727917</v>
      </c>
      <c r="C7" s="1">
        <v>6961.8090966739546</v>
      </c>
      <c r="D7" s="1">
        <v>0</v>
      </c>
      <c r="E7" s="1">
        <v>0</v>
      </c>
      <c r="F7" s="1">
        <v>0</v>
      </c>
      <c r="G7" s="9">
        <f>SUM(AK_FINANCIAL)</f>
        <v>8457.6114182467463</v>
      </c>
      <c r="I7" s="12"/>
      <c r="J7" s="15"/>
      <c r="L7" s="6">
        <v>135583</v>
      </c>
      <c r="M7" s="1">
        <v>55200</v>
      </c>
      <c r="O7" s="1">
        <v>33801</v>
      </c>
      <c r="P7" s="1">
        <v>47371</v>
      </c>
      <c r="R7" s="1">
        <v>0</v>
      </c>
      <c r="S7" s="1">
        <v>0</v>
      </c>
      <c r="U7" s="1">
        <v>0</v>
      </c>
      <c r="V7" s="9">
        <v>0</v>
      </c>
    </row>
    <row r="8" spans="1:22">
      <c r="A8" s="1" t="s">
        <v>13</v>
      </c>
      <c r="B8" s="6">
        <v>37302.520993901271</v>
      </c>
      <c r="C8" s="1">
        <v>80567.368927005795</v>
      </c>
      <c r="D8" s="1">
        <v>2037.0828045685594</v>
      </c>
      <c r="E8" s="1">
        <v>0</v>
      </c>
      <c r="F8" s="1">
        <v>0</v>
      </c>
      <c r="G8" s="9">
        <f>SUM(AZ_FINANCIAL)</f>
        <v>119906.97272547563</v>
      </c>
      <c r="I8" s="13" t="s">
        <v>14</v>
      </c>
      <c r="J8" s="16"/>
      <c r="L8" s="6">
        <v>575300</v>
      </c>
      <c r="M8" s="1">
        <v>0</v>
      </c>
      <c r="O8" s="1">
        <v>394119</v>
      </c>
      <c r="P8" s="1">
        <v>0</v>
      </c>
      <c r="R8" s="1">
        <v>0</v>
      </c>
      <c r="S8" s="1">
        <v>0</v>
      </c>
      <c r="U8" s="1">
        <v>0</v>
      </c>
      <c r="V8" s="9">
        <v>0</v>
      </c>
    </row>
    <row r="9" spans="1:22">
      <c r="A9" s="1" t="s">
        <v>15</v>
      </c>
      <c r="B9" s="6">
        <v>32982.439474360799</v>
      </c>
      <c r="C9" s="1">
        <v>38344.448946781529</v>
      </c>
      <c r="D9" s="1">
        <v>-192821.73335806094</v>
      </c>
      <c r="E9" s="1">
        <v>0</v>
      </c>
      <c r="F9" s="1">
        <v>0</v>
      </c>
      <c r="G9" s="9">
        <f>SUM(AR_FINANCIAL)</f>
        <v>-121494.84493691861</v>
      </c>
      <c r="I9" s="13"/>
      <c r="J9" s="16"/>
      <c r="L9" s="6">
        <v>203542</v>
      </c>
      <c r="M9" s="1">
        <v>0</v>
      </c>
      <c r="O9" s="1">
        <v>0</v>
      </c>
      <c r="P9" s="1">
        <v>0</v>
      </c>
      <c r="R9" s="1">
        <v>337005</v>
      </c>
      <c r="S9" s="1">
        <v>0</v>
      </c>
      <c r="U9" s="1">
        <v>0</v>
      </c>
      <c r="V9" s="9">
        <v>0</v>
      </c>
    </row>
    <row r="10" spans="1:22">
      <c r="A10" s="1" t="s">
        <v>16</v>
      </c>
      <c r="B10" s="6">
        <v>-170787.11644173681</v>
      </c>
      <c r="C10" s="1">
        <v>-586711.80739202444</v>
      </c>
      <c r="D10" s="1">
        <v>0</v>
      </c>
      <c r="E10" s="1">
        <v>0</v>
      </c>
      <c r="F10" s="1">
        <v>0</v>
      </c>
      <c r="G10" s="9">
        <f>SUM(CA_FINANCIAL)</f>
        <v>-757498.92383376125</v>
      </c>
      <c r="I10" s="13" t="s">
        <v>17</v>
      </c>
      <c r="J10" s="16">
        <v>250904755.24000001</v>
      </c>
      <c r="L10" s="6">
        <v>1363000</v>
      </c>
      <c r="M10" s="1">
        <v>725000</v>
      </c>
      <c r="O10" s="1">
        <v>3337000</v>
      </c>
      <c r="P10" s="1">
        <v>1400000</v>
      </c>
      <c r="R10" s="1">
        <v>450000</v>
      </c>
      <c r="S10" s="1">
        <v>150000</v>
      </c>
      <c r="U10" s="1">
        <v>0</v>
      </c>
      <c r="V10" s="9">
        <v>0</v>
      </c>
    </row>
    <row r="11" spans="1:22">
      <c r="A11" s="1" t="s">
        <v>18</v>
      </c>
      <c r="B11" s="6">
        <v>0</v>
      </c>
      <c r="C11" s="1">
        <v>0</v>
      </c>
      <c r="D11" s="1">
        <v>0</v>
      </c>
      <c r="E11" s="1">
        <v>0</v>
      </c>
      <c r="F11" s="1">
        <v>0</v>
      </c>
      <c r="G11" s="9">
        <f>SUM(CO_FINANCIAL)</f>
        <v>0</v>
      </c>
      <c r="I11" s="13"/>
      <c r="J11" s="16"/>
      <c r="L11" s="6">
        <v>10025</v>
      </c>
      <c r="M11" s="1">
        <v>0</v>
      </c>
      <c r="O11" s="1">
        <v>245</v>
      </c>
      <c r="P11" s="1">
        <v>0</v>
      </c>
      <c r="R11" s="1">
        <v>39730</v>
      </c>
      <c r="S11" s="1">
        <v>0</v>
      </c>
      <c r="U11" s="1">
        <v>0</v>
      </c>
      <c r="V11" s="9">
        <v>0</v>
      </c>
    </row>
    <row r="12" spans="1:22">
      <c r="A12" s="1" t="s">
        <v>19</v>
      </c>
      <c r="B12" s="6">
        <v>-11010.44126464791</v>
      </c>
      <c r="C12" s="1">
        <v>-16481.686299095949</v>
      </c>
      <c r="D12" s="1">
        <v>0</v>
      </c>
      <c r="E12" s="1">
        <v>0</v>
      </c>
      <c r="F12" s="1">
        <v>0</v>
      </c>
      <c r="G12" s="9">
        <f>SUM(CT_FINANCIAL)</f>
        <v>-27492.127563743859</v>
      </c>
      <c r="I12" s="13" t="s">
        <v>20</v>
      </c>
      <c r="J12" s="16"/>
      <c r="L12" s="6">
        <v>109000</v>
      </c>
      <c r="M12" s="1">
        <v>0</v>
      </c>
      <c r="O12" s="1">
        <v>80000</v>
      </c>
      <c r="P12" s="1">
        <v>0</v>
      </c>
      <c r="R12" s="1">
        <v>0</v>
      </c>
      <c r="S12" s="1">
        <v>0</v>
      </c>
      <c r="U12" s="1">
        <v>0</v>
      </c>
      <c r="V12" s="9">
        <v>0</v>
      </c>
    </row>
    <row r="13" spans="1:22">
      <c r="A13" s="1" t="s">
        <v>21</v>
      </c>
      <c r="B13" s="6">
        <v>8558.2109729127988</v>
      </c>
      <c r="C13" s="1">
        <v>18653.504811255771</v>
      </c>
      <c r="D13" s="1">
        <v>-662.38919556650239</v>
      </c>
      <c r="E13" s="1">
        <v>0</v>
      </c>
      <c r="F13" s="1">
        <v>0</v>
      </c>
      <c r="G13" s="9">
        <f>SUM(DE_FINANCIAL)</f>
        <v>26549.326588602067</v>
      </c>
      <c r="I13" s="13" t="s">
        <v>22</v>
      </c>
      <c r="J13" s="16">
        <v>0</v>
      </c>
      <c r="L13" s="6">
        <v>64500</v>
      </c>
      <c r="M13" s="1">
        <v>0</v>
      </c>
      <c r="O13" s="1">
        <v>85500</v>
      </c>
      <c r="P13" s="1">
        <v>0</v>
      </c>
      <c r="R13" s="1">
        <v>0</v>
      </c>
      <c r="S13" s="1">
        <v>0</v>
      </c>
      <c r="U13" s="1">
        <v>0</v>
      </c>
      <c r="V13" s="9">
        <v>0</v>
      </c>
    </row>
    <row r="14" spans="1:22">
      <c r="A14" s="1" t="s">
        <v>23</v>
      </c>
      <c r="B14" s="6">
        <v>0</v>
      </c>
      <c r="C14" s="1">
        <v>0</v>
      </c>
      <c r="D14" s="1">
        <v>0</v>
      </c>
      <c r="E14" s="1">
        <v>0</v>
      </c>
      <c r="F14" s="1">
        <v>0</v>
      </c>
      <c r="G14" s="9">
        <f>SUM(DC_FINANCIAL)</f>
        <v>0</v>
      </c>
      <c r="I14" s="13" t="s">
        <v>24</v>
      </c>
      <c r="J14" s="16">
        <v>0</v>
      </c>
      <c r="L14" s="6"/>
      <c r="V14" s="9"/>
    </row>
    <row r="15" spans="1:22">
      <c r="A15" s="1" t="s">
        <v>25</v>
      </c>
      <c r="B15" s="6">
        <v>189393.46284711303</v>
      </c>
      <c r="C15" s="1">
        <v>463643.08744483534</v>
      </c>
      <c r="D15" s="1">
        <v>11990.372730636896</v>
      </c>
      <c r="E15" s="1">
        <v>5811.7582404316236</v>
      </c>
      <c r="F15" s="1">
        <v>0</v>
      </c>
      <c r="G15" s="9">
        <f>SUM(FL_FINANCIAL)</f>
        <v>670838.68126301689</v>
      </c>
      <c r="I15" s="13" t="s">
        <v>26</v>
      </c>
      <c r="J15" s="16">
        <v>1567779.4900000005</v>
      </c>
      <c r="L15" s="6">
        <v>1900000</v>
      </c>
      <c r="M15" s="1">
        <v>0</v>
      </c>
      <c r="O15" s="1">
        <v>3800000</v>
      </c>
      <c r="P15" s="1">
        <v>0</v>
      </c>
      <c r="R15" s="1">
        <v>0</v>
      </c>
      <c r="S15" s="1">
        <v>0</v>
      </c>
      <c r="U15" s="1">
        <v>0</v>
      </c>
      <c r="V15" s="9">
        <v>0</v>
      </c>
    </row>
    <row r="16" spans="1:22">
      <c r="A16" s="1" t="s">
        <v>27</v>
      </c>
      <c r="B16" s="6">
        <v>-29566.922384183388</v>
      </c>
      <c r="C16" s="1">
        <v>-63450.048718245002</v>
      </c>
      <c r="D16" s="1">
        <v>-252.96298853885264</v>
      </c>
      <c r="E16" s="1">
        <v>0</v>
      </c>
      <c r="F16" s="1">
        <v>0</v>
      </c>
      <c r="G16" s="9">
        <f>SUM(GA_FINANCIAL)</f>
        <v>-93269.934090967246</v>
      </c>
      <c r="I16" s="13" t="s">
        <v>28</v>
      </c>
      <c r="J16" s="16">
        <v>0</v>
      </c>
      <c r="L16" s="6">
        <v>3053818</v>
      </c>
      <c r="M16" s="1">
        <v>0</v>
      </c>
      <c r="O16" s="1">
        <v>0</v>
      </c>
      <c r="P16" s="1">
        <v>0</v>
      </c>
      <c r="R16" s="1">
        <v>0</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1736.0558910701438</v>
      </c>
      <c r="C18" s="1">
        <v>4443.3815807547071</v>
      </c>
      <c r="D18" s="1">
        <v>0</v>
      </c>
      <c r="E18" s="1">
        <v>0</v>
      </c>
      <c r="F18" s="1">
        <v>0</v>
      </c>
      <c r="G18" s="9">
        <f>SUM(ID_FINANCIAL)</f>
        <v>6179.4374718248509</v>
      </c>
      <c r="I18" s="13" t="s">
        <v>31</v>
      </c>
      <c r="J18" s="16"/>
      <c r="L18" s="6">
        <v>55000</v>
      </c>
      <c r="M18" s="1">
        <v>0</v>
      </c>
      <c r="O18" s="1">
        <v>85000</v>
      </c>
      <c r="P18" s="1">
        <v>0</v>
      </c>
      <c r="R18" s="1">
        <v>0</v>
      </c>
      <c r="S18" s="1">
        <v>0</v>
      </c>
      <c r="U18" s="1">
        <v>0</v>
      </c>
      <c r="V18" s="9">
        <v>0</v>
      </c>
    </row>
    <row r="19" spans="1:22">
      <c r="A19" s="1" t="s">
        <v>32</v>
      </c>
      <c r="B19" s="6">
        <v>-6598.6195370960049</v>
      </c>
      <c r="C19" s="1">
        <v>-36792.617208786774</v>
      </c>
      <c r="D19" s="1">
        <v>-289.58754259457783</v>
      </c>
      <c r="E19" s="1">
        <v>0</v>
      </c>
      <c r="F19" s="1">
        <v>0</v>
      </c>
      <c r="G19" s="9">
        <f>SUM(IL_FINANCIAL)</f>
        <v>-43680.824288477357</v>
      </c>
      <c r="I19" s="13" t="s">
        <v>33</v>
      </c>
      <c r="J19" s="16">
        <v>121248273.15500002</v>
      </c>
      <c r="L19" s="6">
        <v>1100000</v>
      </c>
      <c r="M19" s="1">
        <v>1046000</v>
      </c>
      <c r="O19" s="1">
        <v>4700000</v>
      </c>
      <c r="P19" s="1">
        <v>3988000</v>
      </c>
      <c r="R19" s="1">
        <v>30000</v>
      </c>
      <c r="S19" s="1">
        <v>31000</v>
      </c>
      <c r="U19" s="1">
        <v>30000</v>
      </c>
      <c r="V19" s="9">
        <v>84000</v>
      </c>
    </row>
    <row r="20" spans="1:22">
      <c r="A20" s="1" t="s">
        <v>34</v>
      </c>
      <c r="B20" s="6">
        <v>1660275.1452555358</v>
      </c>
      <c r="C20" s="1">
        <v>6005627.9728038125</v>
      </c>
      <c r="D20" s="1">
        <v>11088.284584327957</v>
      </c>
      <c r="E20" s="1">
        <v>4688188.0256065447</v>
      </c>
      <c r="F20" s="1">
        <v>0</v>
      </c>
      <c r="G20" s="9">
        <f>SUM(IN_FINANCIAL)</f>
        <v>12365179.42825022</v>
      </c>
      <c r="I20" s="13" t="s">
        <v>35</v>
      </c>
      <c r="J20" s="16">
        <v>2469</v>
      </c>
      <c r="L20" s="6">
        <v>16867025</v>
      </c>
      <c r="M20" s="1">
        <v>5000000</v>
      </c>
      <c r="O20" s="1">
        <v>60219197</v>
      </c>
      <c r="P20" s="1">
        <v>0</v>
      </c>
      <c r="R20" s="1">
        <v>17051</v>
      </c>
      <c r="S20" s="1">
        <v>0</v>
      </c>
      <c r="U20" s="1">
        <v>0</v>
      </c>
      <c r="V20" s="9">
        <v>0</v>
      </c>
    </row>
    <row r="21" spans="1:22">
      <c r="A21" s="1" t="s">
        <v>36</v>
      </c>
      <c r="B21" s="6">
        <v>139378.38233708555</v>
      </c>
      <c r="C21" s="1">
        <v>358405.72002563905</v>
      </c>
      <c r="D21" s="1">
        <v>-21573.712194450422</v>
      </c>
      <c r="E21" s="1">
        <v>0</v>
      </c>
      <c r="F21" s="1">
        <v>0</v>
      </c>
      <c r="G21" s="9">
        <f>SUM(IA_FINANCIAL)</f>
        <v>476210.39016827417</v>
      </c>
      <c r="I21" s="13" t="s">
        <v>37</v>
      </c>
      <c r="J21" s="16"/>
      <c r="L21" s="6">
        <v>990079</v>
      </c>
      <c r="M21" s="1">
        <v>0</v>
      </c>
      <c r="O21" s="1">
        <v>1835190</v>
      </c>
      <c r="P21" s="1">
        <v>0</v>
      </c>
      <c r="R21" s="1">
        <v>9720</v>
      </c>
      <c r="S21" s="1">
        <v>0</v>
      </c>
      <c r="U21" s="1">
        <v>0</v>
      </c>
      <c r="V21" s="9">
        <v>0</v>
      </c>
    </row>
    <row r="22" spans="1:22">
      <c r="A22" s="1" t="s">
        <v>38</v>
      </c>
      <c r="B22" s="6">
        <v>75781.837200329406</v>
      </c>
      <c r="C22" s="1">
        <v>125311.03406249522</v>
      </c>
      <c r="D22" s="1">
        <v>-24825.662791541708</v>
      </c>
      <c r="E22" s="1">
        <v>0</v>
      </c>
      <c r="F22" s="1">
        <v>0</v>
      </c>
      <c r="G22" s="9">
        <f>SUM(KS_FINANCIAL)</f>
        <v>176267.20847128291</v>
      </c>
      <c r="I22" s="13" t="s">
        <v>39</v>
      </c>
      <c r="J22" s="16">
        <v>7587731.2300000014</v>
      </c>
      <c r="L22" s="6">
        <v>200000</v>
      </c>
      <c r="M22" s="1">
        <v>0</v>
      </c>
      <c r="O22" s="1">
        <v>2300000</v>
      </c>
      <c r="P22" s="1">
        <v>0</v>
      </c>
      <c r="R22" s="1">
        <v>0</v>
      </c>
      <c r="S22" s="1">
        <v>0</v>
      </c>
      <c r="U22" s="1">
        <v>0</v>
      </c>
      <c r="V22" s="9">
        <v>0</v>
      </c>
    </row>
    <row r="23" spans="1:22">
      <c r="A23" s="1" t="s">
        <v>40</v>
      </c>
      <c r="B23" s="6">
        <v>-6278.5512075998849</v>
      </c>
      <c r="C23" s="1">
        <v>-3661.1380590974804</v>
      </c>
      <c r="D23" s="1">
        <v>-688.60072413175476</v>
      </c>
      <c r="E23" s="1">
        <v>0</v>
      </c>
      <c r="F23" s="1">
        <v>0</v>
      </c>
      <c r="G23" s="9">
        <f>SUM(KY_FINANCIAL)</f>
        <v>-10628.28999082912</v>
      </c>
      <c r="I23" s="13" t="s">
        <v>41</v>
      </c>
      <c r="J23" s="16"/>
      <c r="L23" s="6">
        <v>264400</v>
      </c>
      <c r="M23" s="1">
        <v>175256</v>
      </c>
      <c r="O23" s="1">
        <v>130200</v>
      </c>
      <c r="P23" s="1">
        <v>87747</v>
      </c>
      <c r="R23" s="1">
        <v>25200</v>
      </c>
      <c r="S23" s="1">
        <v>0</v>
      </c>
      <c r="U23" s="1">
        <v>0</v>
      </c>
      <c r="V23" s="9">
        <v>0</v>
      </c>
    </row>
    <row r="24" spans="1:22">
      <c r="A24" s="1" t="s">
        <v>42</v>
      </c>
      <c r="B24" s="6">
        <v>0</v>
      </c>
      <c r="C24" s="1">
        <v>0</v>
      </c>
      <c r="D24" s="1">
        <v>0</v>
      </c>
      <c r="E24" s="1">
        <v>0</v>
      </c>
      <c r="F24" s="1">
        <v>0</v>
      </c>
      <c r="G24" s="9">
        <f>SUM(LA_FINANCIAL)</f>
        <v>0</v>
      </c>
      <c r="I24" s="13" t="s">
        <v>43</v>
      </c>
      <c r="J24" s="16">
        <v>110874057.845</v>
      </c>
      <c r="L24" s="6"/>
      <c r="V24" s="9"/>
    </row>
    <row r="25" spans="1:22">
      <c r="A25" s="1" t="s">
        <v>44</v>
      </c>
      <c r="B25" s="6">
        <v>76308.130681694427</v>
      </c>
      <c r="C25" s="1">
        <v>125843.96966954152</v>
      </c>
      <c r="D25" s="1">
        <v>20.264159405624852</v>
      </c>
      <c r="E25" s="1">
        <v>0</v>
      </c>
      <c r="F25" s="1">
        <v>0</v>
      </c>
      <c r="G25" s="9">
        <f>SUM(ME_FINANCIAL)</f>
        <v>202172.36451064158</v>
      </c>
      <c r="I25" s="13"/>
      <c r="J25" s="16"/>
      <c r="L25" s="6">
        <v>650000</v>
      </c>
      <c r="M25" s="1">
        <v>0</v>
      </c>
      <c r="O25" s="1">
        <v>375000</v>
      </c>
      <c r="P25" s="1">
        <v>0</v>
      </c>
      <c r="R25" s="1">
        <v>0</v>
      </c>
      <c r="S25" s="1">
        <v>0</v>
      </c>
      <c r="U25" s="1">
        <v>0</v>
      </c>
      <c r="V25" s="9">
        <v>0</v>
      </c>
    </row>
    <row r="26" spans="1:22">
      <c r="A26" s="1" t="s">
        <v>45</v>
      </c>
      <c r="B26" s="6">
        <v>22122.032850749674</v>
      </c>
      <c r="C26" s="1">
        <v>54696.6239843269</v>
      </c>
      <c r="D26" s="1">
        <v>-34407.295260335959</v>
      </c>
      <c r="E26" s="1">
        <v>0</v>
      </c>
      <c r="F26" s="1">
        <v>0</v>
      </c>
      <c r="G26" s="9">
        <f>SUM(MD_FINANCIAL)</f>
        <v>42411.361574740615</v>
      </c>
      <c r="I26" s="13" t="s">
        <v>46</v>
      </c>
      <c r="J26" s="16">
        <f>SUM(ADD_FINANCIAL)-SUM(LESS_FINANCIAL)</f>
        <v>12760003.5</v>
      </c>
      <c r="L26" s="6">
        <v>1350000</v>
      </c>
      <c r="M26" s="1">
        <v>0</v>
      </c>
      <c r="O26" s="1">
        <v>0</v>
      </c>
      <c r="P26" s="1">
        <v>0</v>
      </c>
      <c r="R26" s="1">
        <v>0</v>
      </c>
      <c r="S26" s="1">
        <v>0</v>
      </c>
      <c r="U26" s="1">
        <v>0</v>
      </c>
      <c r="V26" s="9">
        <v>0</v>
      </c>
    </row>
    <row r="27" spans="1:22">
      <c r="A27" s="1" t="s">
        <v>47</v>
      </c>
      <c r="B27" s="6">
        <v>-17379.578934084187</v>
      </c>
      <c r="C27" s="1">
        <v>-15188.805018426065</v>
      </c>
      <c r="D27" s="1">
        <v>-1091.3382145511077</v>
      </c>
      <c r="E27" s="1">
        <v>0</v>
      </c>
      <c r="F27" s="1">
        <v>0</v>
      </c>
      <c r="G27" s="9">
        <f>SUM(MA_FINANCIAL)</f>
        <v>-33659.722167061358</v>
      </c>
      <c r="I27" s="13" t="s">
        <v>48</v>
      </c>
      <c r="J27" s="16">
        <f>SUM(ALL_BLOCKS)</f>
        <v>12760003.499999996</v>
      </c>
      <c r="L27" s="6">
        <v>150000</v>
      </c>
      <c r="M27" s="1">
        <v>0</v>
      </c>
      <c r="O27" s="1">
        <v>0</v>
      </c>
      <c r="P27" s="1">
        <v>0</v>
      </c>
      <c r="R27" s="1">
        <v>0</v>
      </c>
      <c r="S27" s="1">
        <v>0</v>
      </c>
      <c r="U27" s="1">
        <v>0</v>
      </c>
      <c r="V27" s="9">
        <v>0</v>
      </c>
    </row>
    <row r="28" spans="1:22">
      <c r="A28" s="1" t="s">
        <v>49</v>
      </c>
      <c r="B28" s="6">
        <v>439071.53926010849</v>
      </c>
      <c r="C28" s="1">
        <v>797723.41487585753</v>
      </c>
      <c r="D28" s="1">
        <v>1346.8103660120278</v>
      </c>
      <c r="E28" s="1">
        <v>0</v>
      </c>
      <c r="F28" s="1">
        <v>0</v>
      </c>
      <c r="G28" s="9">
        <f>SUM(MI_FINANCIAL)</f>
        <v>1238141.7645019779</v>
      </c>
      <c r="I28" s="14"/>
      <c r="J28" s="17"/>
      <c r="L28" s="6">
        <v>4690700</v>
      </c>
      <c r="M28" s="1">
        <v>2950000</v>
      </c>
      <c r="O28" s="1">
        <v>4559300</v>
      </c>
      <c r="P28" s="1">
        <v>708000</v>
      </c>
      <c r="R28" s="1">
        <v>0</v>
      </c>
      <c r="S28" s="1">
        <v>0</v>
      </c>
      <c r="U28" s="1">
        <v>0</v>
      </c>
      <c r="V28" s="9">
        <v>0</v>
      </c>
    </row>
    <row r="29" spans="1:22">
      <c r="A29" s="1" t="s">
        <v>50</v>
      </c>
      <c r="B29" s="6">
        <v>378109.08234880352</v>
      </c>
      <c r="C29" s="1">
        <v>1065773.0305906613</v>
      </c>
      <c r="D29" s="1">
        <v>5862.1024698830006</v>
      </c>
      <c r="E29" s="1">
        <v>0</v>
      </c>
      <c r="F29" s="1">
        <v>0</v>
      </c>
      <c r="G29" s="9">
        <f>SUM(MN_FINANCIAL)</f>
        <v>1449744.2154093478</v>
      </c>
      <c r="L29" s="6">
        <v>3413000</v>
      </c>
      <c r="M29" s="1">
        <v>1670481</v>
      </c>
      <c r="O29" s="1">
        <v>5537000</v>
      </c>
      <c r="P29" s="1">
        <v>2625507</v>
      </c>
      <c r="R29" s="1">
        <v>26500</v>
      </c>
      <c r="S29" s="1">
        <v>0</v>
      </c>
      <c r="U29" s="1">
        <v>0</v>
      </c>
      <c r="V29" s="9">
        <v>0</v>
      </c>
    </row>
    <row r="30" spans="1:22">
      <c r="A30" s="1" t="s">
        <v>51</v>
      </c>
      <c r="B30" s="6">
        <v>4627.8937689592331</v>
      </c>
      <c r="C30" s="1">
        <v>15697.355976600749</v>
      </c>
      <c r="D30" s="1">
        <v>-33355.364115062148</v>
      </c>
      <c r="E30" s="1">
        <v>0</v>
      </c>
      <c r="F30" s="1">
        <v>0</v>
      </c>
      <c r="G30" s="9">
        <f>SUM(MS_FINANCIAL)</f>
        <v>-13030.114369502167</v>
      </c>
      <c r="L30" s="6">
        <v>25000</v>
      </c>
      <c r="M30" s="1">
        <v>0</v>
      </c>
      <c r="O30" s="1">
        <v>50000</v>
      </c>
      <c r="P30" s="1">
        <v>0</v>
      </c>
      <c r="R30" s="1">
        <v>161306</v>
      </c>
      <c r="S30" s="1">
        <v>0</v>
      </c>
      <c r="U30" s="1">
        <v>0</v>
      </c>
      <c r="V30" s="9">
        <v>0</v>
      </c>
    </row>
    <row r="31" spans="1:22">
      <c r="A31" s="1" t="s">
        <v>52</v>
      </c>
      <c r="B31" s="6">
        <v>8218.3973918817646</v>
      </c>
      <c r="C31" s="1">
        <v>23863.307335293182</v>
      </c>
      <c r="D31" s="1">
        <v>-56088.949454425368</v>
      </c>
      <c r="E31" s="1">
        <v>0</v>
      </c>
      <c r="F31" s="1">
        <v>0</v>
      </c>
      <c r="G31" s="9">
        <f>SUM(MO_FINANCIAL)</f>
        <v>-24007.244727250421</v>
      </c>
      <c r="L31" s="6">
        <v>0</v>
      </c>
      <c r="M31" s="1">
        <v>0</v>
      </c>
      <c r="O31" s="1">
        <v>300000</v>
      </c>
      <c r="P31" s="1">
        <v>0</v>
      </c>
      <c r="R31" s="1">
        <v>0</v>
      </c>
      <c r="S31" s="1">
        <v>0</v>
      </c>
      <c r="U31" s="1">
        <v>0</v>
      </c>
      <c r="V31" s="9">
        <v>0</v>
      </c>
    </row>
    <row r="32" spans="1:22">
      <c r="A32" s="1" t="s">
        <v>53</v>
      </c>
      <c r="B32" s="6">
        <v>-9847.3424059351819</v>
      </c>
      <c r="C32" s="1">
        <v>-265.15989239015255</v>
      </c>
      <c r="D32" s="1">
        <v>-195.33458605850436</v>
      </c>
      <c r="E32" s="1">
        <v>0</v>
      </c>
      <c r="F32" s="1">
        <v>0</v>
      </c>
      <c r="G32" s="9">
        <f>SUM(MT_FINANCIAL)</f>
        <v>-10307.83688438384</v>
      </c>
      <c r="L32" s="6">
        <v>60000</v>
      </c>
      <c r="M32" s="1">
        <v>0</v>
      </c>
      <c r="O32" s="1">
        <v>0</v>
      </c>
      <c r="P32" s="1">
        <v>0</v>
      </c>
      <c r="R32" s="1">
        <v>0</v>
      </c>
      <c r="S32" s="1">
        <v>0</v>
      </c>
      <c r="U32" s="1">
        <v>0</v>
      </c>
      <c r="V32" s="9">
        <v>0</v>
      </c>
    </row>
    <row r="33" spans="1:22">
      <c r="A33" s="1" t="s">
        <v>54</v>
      </c>
      <c r="B33" s="6">
        <v>-308271.60349836387</v>
      </c>
      <c r="C33" s="1">
        <v>378798.288370625</v>
      </c>
      <c r="D33" s="1">
        <v>-3388028.2879662104</v>
      </c>
      <c r="E33" s="1">
        <v>0</v>
      </c>
      <c r="F33" s="1">
        <v>0</v>
      </c>
      <c r="G33" s="9">
        <f>SUM(NE_FINANCIAL)</f>
        <v>-3317501.6030939491</v>
      </c>
      <c r="L33" s="6">
        <v>492432</v>
      </c>
      <c r="M33" s="1">
        <v>0</v>
      </c>
      <c r="O33" s="1">
        <v>0</v>
      </c>
      <c r="P33" s="1">
        <v>11100</v>
      </c>
      <c r="R33" s="1">
        <v>50000</v>
      </c>
      <c r="S33" s="1">
        <v>0</v>
      </c>
      <c r="U33" s="1">
        <v>0</v>
      </c>
      <c r="V33" s="9">
        <v>0</v>
      </c>
    </row>
    <row r="34" spans="1:22">
      <c r="A34" s="1" t="s">
        <v>55</v>
      </c>
      <c r="B34" s="6">
        <v>-54410.052308716608</v>
      </c>
      <c r="C34" s="1">
        <v>-57631.253597382085</v>
      </c>
      <c r="D34" s="1">
        <v>-8549.6865397068632</v>
      </c>
      <c r="E34" s="1">
        <v>0</v>
      </c>
      <c r="F34" s="1">
        <v>0</v>
      </c>
      <c r="G34" s="9">
        <f>SUM(NV_FINANCIAL)</f>
        <v>-120590.99244580555</v>
      </c>
      <c r="L34" s="6">
        <v>51500</v>
      </c>
      <c r="M34" s="1">
        <v>0</v>
      </c>
      <c r="O34" s="1">
        <v>87200</v>
      </c>
      <c r="P34" s="1">
        <v>0</v>
      </c>
      <c r="R34" s="1">
        <v>0</v>
      </c>
      <c r="S34" s="1">
        <v>0</v>
      </c>
      <c r="U34" s="1">
        <v>0</v>
      </c>
      <c r="V34" s="9">
        <v>0</v>
      </c>
    </row>
    <row r="35" spans="1:22">
      <c r="A35" s="1" t="s">
        <v>56</v>
      </c>
      <c r="B35" s="6">
        <v>-5468.5119497962696</v>
      </c>
      <c r="C35" s="1">
        <v>-8539.8260477564836</v>
      </c>
      <c r="D35" s="1">
        <v>-49.696259627225402</v>
      </c>
      <c r="E35" s="1">
        <v>0</v>
      </c>
      <c r="F35" s="1">
        <v>0</v>
      </c>
      <c r="G35" s="9">
        <f>SUM(NH_FINANCIAL)</f>
        <v>-14058.034257179979</v>
      </c>
      <c r="L35" s="6">
        <v>50000</v>
      </c>
      <c r="M35" s="1">
        <v>0</v>
      </c>
      <c r="O35" s="1">
        <v>50000</v>
      </c>
      <c r="P35" s="1">
        <v>0</v>
      </c>
      <c r="R35" s="1">
        <v>0</v>
      </c>
      <c r="S35" s="1">
        <v>0</v>
      </c>
      <c r="U35" s="1">
        <v>0</v>
      </c>
      <c r="V35" s="9">
        <v>0</v>
      </c>
    </row>
    <row r="36" spans="1:22">
      <c r="A36" s="1" t="s">
        <v>57</v>
      </c>
      <c r="B36" s="6">
        <v>0</v>
      </c>
      <c r="C36" s="1">
        <v>0</v>
      </c>
      <c r="D36" s="1">
        <v>0</v>
      </c>
      <c r="E36" s="1">
        <v>0</v>
      </c>
      <c r="F36" s="1">
        <v>0</v>
      </c>
      <c r="G36" s="9">
        <f>SUM(NJ_FINANCIAL)</f>
        <v>0</v>
      </c>
      <c r="L36" s="6"/>
      <c r="V36" s="9"/>
    </row>
    <row r="37" spans="1:22">
      <c r="A37" s="1" t="s">
        <v>58</v>
      </c>
      <c r="B37" s="6">
        <v>-30187.264812835281</v>
      </c>
      <c r="C37" s="1">
        <v>-16590.99579736578</v>
      </c>
      <c r="D37" s="1">
        <v>-28836.544691196814</v>
      </c>
      <c r="E37" s="1">
        <v>0</v>
      </c>
      <c r="F37" s="1">
        <v>0</v>
      </c>
      <c r="G37" s="9">
        <f>SUM(NM_FINANCIAL)</f>
        <v>-75614.805301397879</v>
      </c>
      <c r="L37" s="6"/>
      <c r="V37" s="9"/>
    </row>
    <row r="38" spans="1:22">
      <c r="A38" s="1" t="s">
        <v>59</v>
      </c>
      <c r="B38" s="6">
        <v>0</v>
      </c>
      <c r="C38" s="1">
        <v>0</v>
      </c>
      <c r="D38" s="1">
        <v>0</v>
      </c>
      <c r="E38" s="1">
        <v>0</v>
      </c>
      <c r="F38" s="1">
        <v>0</v>
      </c>
      <c r="G38" s="9">
        <f>SUM(NY_FINANCIAL)</f>
        <v>0</v>
      </c>
      <c r="L38" s="6"/>
      <c r="V38" s="9"/>
    </row>
    <row r="39" spans="1:22">
      <c r="A39" s="1" t="s">
        <v>60</v>
      </c>
      <c r="B39" s="6">
        <v>-31355.737315974082</v>
      </c>
      <c r="C39" s="1">
        <v>-39046.35892348655</v>
      </c>
      <c r="D39" s="1">
        <v>-1096.4525577662159</v>
      </c>
      <c r="E39" s="1">
        <v>0</v>
      </c>
      <c r="F39" s="1">
        <v>0</v>
      </c>
      <c r="G39" s="9">
        <f>SUM(NC_FINANCIAL)</f>
        <v>-71498.548797226846</v>
      </c>
      <c r="L39" s="6">
        <v>350000</v>
      </c>
      <c r="M39" s="1">
        <v>289750</v>
      </c>
      <c r="O39" s="1">
        <v>250000</v>
      </c>
      <c r="P39" s="1">
        <v>235250</v>
      </c>
      <c r="R39" s="1">
        <v>0</v>
      </c>
      <c r="S39" s="1">
        <v>0</v>
      </c>
      <c r="U39" s="1">
        <v>0</v>
      </c>
      <c r="V39" s="9">
        <v>0</v>
      </c>
    </row>
    <row r="40" spans="1:22">
      <c r="A40" s="1" t="s">
        <v>61</v>
      </c>
      <c r="B40" s="6">
        <v>-65444.288407243512</v>
      </c>
      <c r="C40" s="1">
        <v>-44442.819796349082</v>
      </c>
      <c r="D40" s="1">
        <v>-1454.3483159333646</v>
      </c>
      <c r="E40" s="1">
        <v>0</v>
      </c>
      <c r="F40" s="1">
        <v>0</v>
      </c>
      <c r="G40" s="9">
        <f>SUM(ND_FINANCIAL)</f>
        <v>-111341.45651952596</v>
      </c>
      <c r="L40" s="6">
        <v>96400</v>
      </c>
      <c r="M40" s="1">
        <v>0</v>
      </c>
      <c r="O40" s="1">
        <v>147500</v>
      </c>
      <c r="P40" s="1">
        <v>0</v>
      </c>
      <c r="R40" s="1">
        <v>0</v>
      </c>
      <c r="S40" s="1">
        <v>0</v>
      </c>
      <c r="U40" s="1">
        <v>66890</v>
      </c>
      <c r="V40" s="9">
        <v>0</v>
      </c>
    </row>
    <row r="41" spans="1:22">
      <c r="A41" s="1" t="s">
        <v>62</v>
      </c>
      <c r="B41" s="6">
        <v>173910.54883989575</v>
      </c>
      <c r="C41" s="1">
        <v>497854.41362456512</v>
      </c>
      <c r="D41" s="1">
        <v>3483.1675583067772</v>
      </c>
      <c r="E41" s="1">
        <v>11438.903533431439</v>
      </c>
      <c r="F41" s="1">
        <v>0</v>
      </c>
      <c r="G41" s="9">
        <f>SUM(OH_FINANCIAL)</f>
        <v>686687.03355619917</v>
      </c>
      <c r="L41" s="6">
        <v>4860000</v>
      </c>
      <c r="M41" s="1">
        <v>0</v>
      </c>
      <c r="O41" s="1">
        <v>8640000</v>
      </c>
      <c r="P41" s="1">
        <v>0</v>
      </c>
      <c r="R41" s="1">
        <v>0</v>
      </c>
      <c r="S41" s="1">
        <v>0</v>
      </c>
      <c r="U41" s="1">
        <v>0</v>
      </c>
      <c r="V41" s="9">
        <v>0</v>
      </c>
    </row>
    <row r="42" spans="1:22">
      <c r="A42" s="1" t="s">
        <v>63</v>
      </c>
      <c r="B42" s="6">
        <v>-82980.673349031538</v>
      </c>
      <c r="C42" s="1">
        <v>-124486.00390926097</v>
      </c>
      <c r="D42" s="1">
        <v>-407658.49542452494</v>
      </c>
      <c r="E42" s="1">
        <v>0</v>
      </c>
      <c r="F42" s="1">
        <v>0</v>
      </c>
      <c r="G42" s="9">
        <f>SUM(OK_FINANCIAL)</f>
        <v>-615125.17268281744</v>
      </c>
      <c r="L42" s="6">
        <v>666000</v>
      </c>
      <c r="M42" s="1">
        <v>432900</v>
      </c>
      <c r="O42" s="1">
        <v>721000</v>
      </c>
      <c r="P42" s="1">
        <v>468000</v>
      </c>
      <c r="R42" s="1">
        <v>414000</v>
      </c>
      <c r="S42" s="1">
        <v>269100</v>
      </c>
      <c r="U42" s="1">
        <v>0</v>
      </c>
      <c r="V42" s="9">
        <v>0</v>
      </c>
    </row>
    <row r="43" spans="1:22">
      <c r="A43" s="1" t="s">
        <v>64</v>
      </c>
      <c r="B43" s="6">
        <v>-5191.8490080028278</v>
      </c>
      <c r="C43" s="1">
        <v>-19453.446786187764</v>
      </c>
      <c r="D43" s="1">
        <v>-20.068906851282861</v>
      </c>
      <c r="E43" s="1">
        <v>0</v>
      </c>
      <c r="F43" s="1">
        <v>0</v>
      </c>
      <c r="G43" s="9">
        <f>SUM(OR_FINANCIAL)</f>
        <v>-24665.364701041875</v>
      </c>
      <c r="L43" s="6">
        <v>166015</v>
      </c>
      <c r="M43" s="1">
        <v>0</v>
      </c>
      <c r="O43" s="1">
        <v>738136</v>
      </c>
      <c r="P43" s="1">
        <v>0</v>
      </c>
      <c r="R43" s="1">
        <v>0</v>
      </c>
      <c r="S43" s="1">
        <v>0</v>
      </c>
      <c r="U43" s="1">
        <v>0</v>
      </c>
      <c r="V43" s="9">
        <v>0</v>
      </c>
    </row>
    <row r="44" spans="1:22">
      <c r="A44" s="1" t="s">
        <v>65</v>
      </c>
      <c r="B44" s="6">
        <v>299302.13858891861</v>
      </c>
      <c r="C44" s="1">
        <v>1031941.9077955522</v>
      </c>
      <c r="D44" s="1">
        <v>6745.9693798064691</v>
      </c>
      <c r="E44" s="1">
        <v>0</v>
      </c>
      <c r="F44" s="1">
        <v>0</v>
      </c>
      <c r="G44" s="9">
        <f>SUM(PA_FINANCIAL)</f>
        <v>1337990.0157642772</v>
      </c>
      <c r="L44" s="6">
        <v>2700000</v>
      </c>
      <c r="M44" s="1">
        <v>0</v>
      </c>
      <c r="O44" s="1">
        <v>8300000</v>
      </c>
      <c r="P44" s="1">
        <v>0</v>
      </c>
      <c r="R44" s="1">
        <v>0</v>
      </c>
      <c r="S44" s="1">
        <v>0</v>
      </c>
      <c r="U44" s="1">
        <v>0</v>
      </c>
      <c r="V44" s="9">
        <v>0</v>
      </c>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58123.038212561223</v>
      </c>
      <c r="C47" s="1">
        <v>20048.862237735244</v>
      </c>
      <c r="D47" s="1">
        <v>-503.67295264158304</v>
      </c>
      <c r="E47" s="1">
        <v>0</v>
      </c>
      <c r="F47" s="1">
        <v>0</v>
      </c>
      <c r="G47" s="9">
        <f>SUM(SC_FINANCIAL)</f>
        <v>77668.22749765488</v>
      </c>
      <c r="L47" s="6">
        <v>519500</v>
      </c>
      <c r="M47" s="1">
        <v>0</v>
      </c>
      <c r="O47" s="1">
        <v>80500</v>
      </c>
      <c r="P47" s="1">
        <v>0</v>
      </c>
      <c r="R47" s="1">
        <v>0</v>
      </c>
      <c r="S47" s="1">
        <v>0</v>
      </c>
      <c r="U47" s="1">
        <v>0</v>
      </c>
      <c r="V47" s="9">
        <v>0</v>
      </c>
    </row>
    <row r="48" spans="1:22">
      <c r="A48" s="1" t="s">
        <v>69</v>
      </c>
      <c r="B48" s="6">
        <v>58216.103826197563</v>
      </c>
      <c r="C48" s="1">
        <v>95627.756164336228</v>
      </c>
      <c r="D48" s="1">
        <v>2210.395021056589</v>
      </c>
      <c r="E48" s="1">
        <v>0</v>
      </c>
      <c r="F48" s="1">
        <v>0</v>
      </c>
      <c r="G48" s="9">
        <f>SUM(SD_FINANCIAL)</f>
        <v>156054.25501159037</v>
      </c>
      <c r="L48" s="6">
        <v>342154</v>
      </c>
      <c r="M48" s="1">
        <v>0</v>
      </c>
      <c r="O48" s="1">
        <v>692351</v>
      </c>
      <c r="P48" s="1">
        <v>528151</v>
      </c>
      <c r="R48" s="1">
        <v>57868</v>
      </c>
      <c r="S48" s="1">
        <v>0</v>
      </c>
      <c r="U48" s="1">
        <v>0</v>
      </c>
      <c r="V48" s="9">
        <v>0</v>
      </c>
    </row>
    <row r="49" spans="1:22">
      <c r="A49" s="1" t="s">
        <v>70</v>
      </c>
      <c r="B49" s="6">
        <v>25729.668151394144</v>
      </c>
      <c r="C49" s="1">
        <v>46569.846868887311</v>
      </c>
      <c r="D49" s="1">
        <v>-7802.1777959438841</v>
      </c>
      <c r="E49" s="1">
        <v>0</v>
      </c>
      <c r="F49" s="1">
        <v>0</v>
      </c>
      <c r="G49" s="9">
        <f>SUM(TN_FINANCIAL)</f>
        <v>64497.337224337571</v>
      </c>
      <c r="L49" s="6">
        <v>375000</v>
      </c>
      <c r="M49" s="1">
        <v>0</v>
      </c>
      <c r="O49" s="1">
        <v>600000</v>
      </c>
      <c r="P49" s="1">
        <v>0</v>
      </c>
      <c r="R49" s="1">
        <v>0</v>
      </c>
      <c r="S49" s="1">
        <v>0</v>
      </c>
      <c r="U49" s="1">
        <v>0</v>
      </c>
      <c r="V49" s="9">
        <v>0</v>
      </c>
    </row>
    <row r="50" spans="1:22">
      <c r="A50" s="1" t="s">
        <v>71</v>
      </c>
      <c r="B50" s="6">
        <v>103300.36328828876</v>
      </c>
      <c r="C50" s="1">
        <v>72811.623648613575</v>
      </c>
      <c r="D50" s="1">
        <v>-2239209.2565708389</v>
      </c>
      <c r="E50" s="1">
        <v>12549.438508991581</v>
      </c>
      <c r="F50" s="1">
        <v>0</v>
      </c>
      <c r="G50" s="9">
        <f>SUM(TX_FINANCIAL)</f>
        <v>-2050547.8311249448</v>
      </c>
      <c r="L50" s="6">
        <v>2050596</v>
      </c>
      <c r="M50" s="1">
        <v>1352869.3488</v>
      </c>
      <c r="O50" s="1">
        <v>53829</v>
      </c>
      <c r="P50" s="1">
        <v>35582.820800000001</v>
      </c>
      <c r="R50" s="1">
        <v>2245379</v>
      </c>
      <c r="S50" s="1">
        <v>1481437.8303999999</v>
      </c>
      <c r="U50" s="1">
        <v>0</v>
      </c>
      <c r="V50" s="9">
        <v>0</v>
      </c>
    </row>
    <row r="51" spans="1:22">
      <c r="A51" s="1" t="s">
        <v>72</v>
      </c>
      <c r="B51" s="6">
        <v>-26758.909047053814</v>
      </c>
      <c r="C51" s="1">
        <v>-3910.7300734674836</v>
      </c>
      <c r="D51" s="1">
        <v>0</v>
      </c>
      <c r="E51" s="1">
        <v>0</v>
      </c>
      <c r="F51" s="1">
        <v>0</v>
      </c>
      <c r="G51" s="9">
        <f>SUM(UT_FINANCIAL)</f>
        <v>-30669.639120521297</v>
      </c>
      <c r="L51" s="6">
        <v>23475</v>
      </c>
      <c r="M51" s="1">
        <v>0</v>
      </c>
      <c r="O51" s="1">
        <v>0</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172744.09225102933</v>
      </c>
      <c r="C53" s="1">
        <v>806538.35561187845</v>
      </c>
      <c r="D53" s="1">
        <v>171.96100499915974</v>
      </c>
      <c r="E53" s="1">
        <v>0</v>
      </c>
      <c r="F53" s="1">
        <v>0</v>
      </c>
      <c r="G53" s="9">
        <f>SUM(VA_FINANCIAL)</f>
        <v>979454.4088679069</v>
      </c>
      <c r="L53" s="6">
        <v>2600000</v>
      </c>
      <c r="M53" s="1">
        <v>1639270</v>
      </c>
      <c r="O53" s="1">
        <v>8600000</v>
      </c>
      <c r="P53" s="1">
        <v>12272233</v>
      </c>
      <c r="R53" s="1">
        <v>25500</v>
      </c>
      <c r="S53" s="1">
        <v>0</v>
      </c>
      <c r="U53" s="1">
        <v>0</v>
      </c>
      <c r="V53" s="9">
        <v>0</v>
      </c>
    </row>
    <row r="54" spans="1:22">
      <c r="A54" s="1" t="s">
        <v>75</v>
      </c>
      <c r="B54" s="6">
        <v>29734.264872057538</v>
      </c>
      <c r="C54" s="1">
        <v>151884.11028400576</v>
      </c>
      <c r="D54" s="1">
        <v>261.9219238312578</v>
      </c>
      <c r="E54" s="1">
        <v>701.13090579386699</v>
      </c>
      <c r="F54" s="1">
        <v>0</v>
      </c>
      <c r="G54" s="9">
        <f>SUM(WA_FINANCIAL)</f>
        <v>182581.42798568841</v>
      </c>
      <c r="L54" s="6">
        <v>250000</v>
      </c>
      <c r="M54" s="1">
        <v>298366</v>
      </c>
      <c r="O54" s="1">
        <v>700000</v>
      </c>
      <c r="P54" s="1">
        <v>396051</v>
      </c>
      <c r="R54" s="1">
        <v>0</v>
      </c>
      <c r="S54" s="1">
        <v>0</v>
      </c>
      <c r="U54" s="1">
        <v>0</v>
      </c>
      <c r="V54" s="9">
        <v>0</v>
      </c>
    </row>
    <row r="55" spans="1:22">
      <c r="A55" s="1" t="s">
        <v>76</v>
      </c>
      <c r="B55" s="6">
        <v>7864.3156726769666</v>
      </c>
      <c r="C55" s="1">
        <v>17698.381353603181</v>
      </c>
      <c r="D55" s="1">
        <v>0</v>
      </c>
      <c r="E55" s="1">
        <v>0</v>
      </c>
      <c r="F55" s="1">
        <v>0</v>
      </c>
      <c r="G55" s="9">
        <f>SUM(WV_FINANCIAL)</f>
        <v>25562.697026280148</v>
      </c>
      <c r="L55" s="6">
        <v>332438</v>
      </c>
      <c r="M55" s="1">
        <v>235821</v>
      </c>
      <c r="O55" s="1">
        <v>4165</v>
      </c>
      <c r="P55" s="1">
        <v>4869</v>
      </c>
      <c r="R55" s="1">
        <v>79887</v>
      </c>
      <c r="S55" s="1">
        <v>100588</v>
      </c>
      <c r="U55" s="1">
        <v>0</v>
      </c>
      <c r="V55" s="9">
        <v>0</v>
      </c>
    </row>
    <row r="56" spans="1:22">
      <c r="A56" s="1" t="s">
        <v>77</v>
      </c>
      <c r="B56" s="6">
        <v>4595.5933621714357</v>
      </c>
      <c r="C56" s="1">
        <v>4679.1649107092235</v>
      </c>
      <c r="D56" s="1">
        <v>892.0176251292105</v>
      </c>
      <c r="E56" s="1">
        <v>0</v>
      </c>
      <c r="F56" s="1">
        <v>0</v>
      </c>
      <c r="G56" s="9">
        <f>SUM(WI_FINANCIAL)</f>
        <v>10166.77589800987</v>
      </c>
      <c r="L56" s="6">
        <v>180000</v>
      </c>
      <c r="M56" s="1">
        <v>0</v>
      </c>
      <c r="O56" s="1">
        <v>80000</v>
      </c>
      <c r="P56" s="1">
        <v>0</v>
      </c>
      <c r="R56" s="1">
        <v>0</v>
      </c>
      <c r="S56" s="1">
        <v>0</v>
      </c>
      <c r="U56" s="1">
        <v>0</v>
      </c>
      <c r="V56" s="9">
        <v>0</v>
      </c>
    </row>
    <row r="57" spans="1:22">
      <c r="A57" s="1" t="s">
        <v>78</v>
      </c>
      <c r="B57" s="6">
        <v>9312.8478393583973</v>
      </c>
      <c r="C57" s="1">
        <v>16858.152160641832</v>
      </c>
      <c r="D57" s="1">
        <v>0</v>
      </c>
      <c r="E57" s="1">
        <v>0</v>
      </c>
      <c r="F57" s="1">
        <v>0</v>
      </c>
      <c r="G57" s="9">
        <f>SUM(WY_FINANCIAL)</f>
        <v>26171.000000000229</v>
      </c>
      <c r="L57" s="6">
        <v>0</v>
      </c>
      <c r="M57" s="1">
        <v>389762</v>
      </c>
      <c r="O57" s="1">
        <v>0</v>
      </c>
      <c r="P57" s="1">
        <v>389761</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3156843.32973589</v>
      </c>
      <c r="C60" s="1">
        <f>SUM(ALLOCATED)</f>
        <v>11290437.844675858</v>
      </c>
      <c r="D60" s="1">
        <f>SUM(HEALTH)</f>
        <v>-6405966.9312069416</v>
      </c>
      <c r="E60" s="1">
        <f>SUM(UNALLOCATED)</f>
        <v>4718689.2567951931</v>
      </c>
      <c r="F60" s="1">
        <f>SUM(LTC)</f>
        <v>0</v>
      </c>
      <c r="G60" s="9">
        <f>SUM(ALL_BLOCKS)</f>
        <v>12760003.499999996</v>
      </c>
      <c r="L60" s="6">
        <f>SUM(LIFE_CALLED)</f>
        <v>53434308</v>
      </c>
      <c r="M60" s="1">
        <f>SUM(LIFE_REFUNDED)</f>
        <v>16260675.3488</v>
      </c>
      <c r="O60" s="1">
        <f>SUM(ALLOC_CALLED)</f>
        <v>117647747</v>
      </c>
      <c r="P60" s="1">
        <f>SUM(ALLOC_REFUNDED)</f>
        <v>23197622.820799999</v>
      </c>
      <c r="R60" s="1">
        <f>SUM(HEALTH_CALLED)</f>
        <v>3972146</v>
      </c>
      <c r="S60" s="1">
        <f>SUM(HEALTH_REFUNDED)</f>
        <v>2032125.8303999999</v>
      </c>
      <c r="U60" s="1">
        <f>SUM(UNALLOC_CALLED)</f>
        <v>96890</v>
      </c>
      <c r="V60" s="9">
        <f>SUM(UNALLOC_REFUNDED)</f>
        <v>84000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148</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34184.238043767786</v>
      </c>
      <c r="C6" s="1">
        <v>0</v>
      </c>
      <c r="D6" s="1">
        <v>3559.4864104407725</v>
      </c>
      <c r="E6" s="1">
        <v>0</v>
      </c>
      <c r="F6" s="1">
        <v>0</v>
      </c>
      <c r="G6" s="9">
        <f>SUM(AL_FINANCIAL)</f>
        <v>37743.724454208561</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3559238</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6291</v>
      </c>
      <c r="L13" s="6"/>
      <c r="V13" s="9"/>
    </row>
    <row r="14" spans="1:22">
      <c r="A14" s="1" t="s">
        <v>23</v>
      </c>
      <c r="B14" s="6">
        <v>31017.068603495085</v>
      </c>
      <c r="C14" s="1">
        <v>0</v>
      </c>
      <c r="D14" s="1">
        <v>0</v>
      </c>
      <c r="E14" s="1">
        <v>0</v>
      </c>
      <c r="F14" s="1">
        <v>0</v>
      </c>
      <c r="G14" s="9">
        <f>SUM(DC_FINANCIAL)</f>
        <v>31017.068603495085</v>
      </c>
      <c r="I14" s="13" t="s">
        <v>24</v>
      </c>
      <c r="J14" s="16">
        <v>260012.00000000003</v>
      </c>
      <c r="L14" s="6">
        <v>51000</v>
      </c>
      <c r="M14" s="1">
        <v>18927</v>
      </c>
      <c r="O14" s="1">
        <v>0</v>
      </c>
      <c r="P14" s="1">
        <v>0</v>
      </c>
      <c r="R14" s="1">
        <v>0</v>
      </c>
      <c r="S14" s="1">
        <v>1257</v>
      </c>
      <c r="U14" s="1">
        <v>0</v>
      </c>
      <c r="V14" s="9">
        <v>0</v>
      </c>
    </row>
    <row r="15" spans="1:22">
      <c r="A15" s="1" t="s">
        <v>25</v>
      </c>
      <c r="B15" s="6">
        <v>56630.919449818437</v>
      </c>
      <c r="C15" s="1">
        <v>61.011392140270431</v>
      </c>
      <c r="D15" s="1">
        <v>0</v>
      </c>
      <c r="E15" s="1">
        <v>0</v>
      </c>
      <c r="F15" s="1">
        <v>0</v>
      </c>
      <c r="G15" s="9">
        <f>SUM(FL_FINANCIAL)</f>
        <v>56691.930841958711</v>
      </c>
      <c r="I15" s="13" t="s">
        <v>26</v>
      </c>
      <c r="J15" s="16">
        <v>399603.27999999991</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809429</v>
      </c>
      <c r="L19" s="6"/>
      <c r="V19" s="9"/>
    </row>
    <row r="20" spans="1:22">
      <c r="A20" s="1" t="s">
        <v>34</v>
      </c>
      <c r="B20" s="6">
        <v>1629.3945315993642</v>
      </c>
      <c r="C20" s="1">
        <v>0</v>
      </c>
      <c r="D20" s="1">
        <v>274.89376697325861</v>
      </c>
      <c r="E20" s="1">
        <v>0</v>
      </c>
      <c r="F20" s="1">
        <v>0</v>
      </c>
      <c r="G20" s="9">
        <f>SUM(IN_FINANCIAL)</f>
        <v>1904.2882985726228</v>
      </c>
      <c r="I20" s="13" t="s">
        <v>35</v>
      </c>
      <c r="J20" s="16">
        <v>-5909.8728585120343</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355362</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731221.15143802366</v>
      </c>
      <c r="C24" s="1">
        <v>114506.94213649716</v>
      </c>
      <c r="D24" s="1">
        <v>1412.181655125926</v>
      </c>
      <c r="E24" s="1">
        <v>0</v>
      </c>
      <c r="F24" s="1">
        <v>0</v>
      </c>
      <c r="G24" s="9">
        <f>SUM(LA_FINANCIAL)</f>
        <v>847140.27522964671</v>
      </c>
      <c r="I24" s="13" t="s">
        <v>43</v>
      </c>
      <c r="J24" s="16">
        <v>1757175.0000000002</v>
      </c>
      <c r="L24" s="6">
        <v>1022989</v>
      </c>
      <c r="M24" s="1">
        <v>0</v>
      </c>
      <c r="O24" s="1">
        <v>35389</v>
      </c>
      <c r="P24" s="1">
        <v>0</v>
      </c>
      <c r="R24" s="1">
        <v>587622</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76632.289400443231</v>
      </c>
      <c r="C26" s="1">
        <v>24.577172916140665</v>
      </c>
      <c r="D26" s="1">
        <v>292.93333124373066</v>
      </c>
      <c r="E26" s="1">
        <v>0</v>
      </c>
      <c r="F26" s="1">
        <v>0</v>
      </c>
      <c r="G26" s="9">
        <f>SUM(MD_FINANCIAL)</f>
        <v>76949.799904603104</v>
      </c>
      <c r="I26" s="13" t="s">
        <v>46</v>
      </c>
      <c r="J26" s="16">
        <f>SUM(ADD_FINANCIAL)-SUM(LESS_FINANCIAL)</f>
        <v>1309088.152858512</v>
      </c>
      <c r="L26" s="6"/>
      <c r="V26" s="9"/>
    </row>
    <row r="27" spans="1:22">
      <c r="A27" s="1" t="s">
        <v>47</v>
      </c>
      <c r="B27" s="6">
        <v>0</v>
      </c>
      <c r="C27" s="1">
        <v>0</v>
      </c>
      <c r="D27" s="1">
        <v>0</v>
      </c>
      <c r="E27" s="1">
        <v>0</v>
      </c>
      <c r="F27" s="1">
        <v>0</v>
      </c>
      <c r="G27" s="9">
        <f>SUM(MA_FINANCIAL)</f>
        <v>0</v>
      </c>
      <c r="I27" s="13" t="s">
        <v>48</v>
      </c>
      <c r="J27" s="16">
        <f>SUM(ALL_BLOCKS)</f>
        <v>1309088.1528585118</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7642.3368316237274</v>
      </c>
      <c r="C30" s="1">
        <v>1778.2004135559041</v>
      </c>
      <c r="D30" s="1">
        <v>1560.6652338953049</v>
      </c>
      <c r="E30" s="1">
        <v>0</v>
      </c>
      <c r="F30" s="1">
        <v>0</v>
      </c>
      <c r="G30" s="9">
        <f>SUM(MS_FINANCIAL)</f>
        <v>10981.202479074936</v>
      </c>
      <c r="L30" s="6"/>
      <c r="V30" s="9"/>
    </row>
    <row r="31" spans="1:22">
      <c r="A31" s="1" t="s">
        <v>52</v>
      </c>
      <c r="B31" s="6">
        <v>0</v>
      </c>
      <c r="C31" s="1">
        <v>0</v>
      </c>
      <c r="D31" s="1">
        <v>0</v>
      </c>
      <c r="E31" s="1">
        <v>0</v>
      </c>
      <c r="F31" s="1">
        <v>0</v>
      </c>
      <c r="G31" s="9">
        <f>SUM(MO_FINANCIAL)</f>
        <v>0</v>
      </c>
      <c r="L31" s="6"/>
      <c r="V31" s="9"/>
    </row>
    <row r="32" spans="1:22">
      <c r="A32" s="1" t="s">
        <v>53</v>
      </c>
      <c r="B32" s="6">
        <v>-1012</v>
      </c>
      <c r="C32" s="1">
        <v>0</v>
      </c>
      <c r="D32" s="1">
        <v>0</v>
      </c>
      <c r="E32" s="1">
        <v>0</v>
      </c>
      <c r="F32" s="1">
        <v>0</v>
      </c>
      <c r="G32" s="9">
        <f>SUM(MT_FINANCIAL)</f>
        <v>-1012</v>
      </c>
      <c r="L32" s="6"/>
      <c r="V32" s="9"/>
    </row>
    <row r="33" spans="1:22">
      <c r="A33" s="1" t="s">
        <v>54</v>
      </c>
      <c r="B33" s="6">
        <v>5353.1020387688059</v>
      </c>
      <c r="C33" s="1">
        <v>0</v>
      </c>
      <c r="D33" s="1">
        <v>0</v>
      </c>
      <c r="E33" s="1">
        <v>0</v>
      </c>
      <c r="F33" s="1">
        <v>0</v>
      </c>
      <c r="G33" s="9">
        <f>SUM(NE_FINANCIAL)</f>
        <v>5353.1020387688059</v>
      </c>
      <c r="L33" s="6"/>
      <c r="V33" s="9"/>
    </row>
    <row r="34" spans="1:22">
      <c r="A34" s="1" t="s">
        <v>55</v>
      </c>
      <c r="B34" s="6">
        <v>-1559</v>
      </c>
      <c r="C34" s="1">
        <v>0</v>
      </c>
      <c r="D34" s="1">
        <v>0</v>
      </c>
      <c r="E34" s="1">
        <v>0</v>
      </c>
      <c r="F34" s="1">
        <v>0</v>
      </c>
      <c r="G34" s="9">
        <f>SUM(NV_FINANCIAL)</f>
        <v>-1559</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67264.517523129412</v>
      </c>
      <c r="C37" s="1">
        <v>0</v>
      </c>
      <c r="D37" s="1">
        <v>2534.9068877856935</v>
      </c>
      <c r="E37" s="1">
        <v>0</v>
      </c>
      <c r="F37" s="1">
        <v>0</v>
      </c>
      <c r="G37" s="9">
        <f>SUM(NM_FINANCIAL)</f>
        <v>69799.424410915104</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2522.4714453297092</v>
      </c>
      <c r="C42" s="1">
        <v>0</v>
      </c>
      <c r="D42" s="1">
        <v>0</v>
      </c>
      <c r="E42" s="1">
        <v>0</v>
      </c>
      <c r="F42" s="1">
        <v>0</v>
      </c>
      <c r="G42" s="9">
        <f>SUM(OK_FINANCIAL)</f>
        <v>2522.4714453297092</v>
      </c>
      <c r="L42" s="6">
        <v>31000</v>
      </c>
      <c r="M42" s="1">
        <v>0</v>
      </c>
      <c r="O42" s="1">
        <v>0</v>
      </c>
      <c r="P42" s="1">
        <v>0</v>
      </c>
      <c r="R42" s="1">
        <v>19000</v>
      </c>
      <c r="S42" s="1">
        <v>0</v>
      </c>
      <c r="U42" s="1">
        <v>0</v>
      </c>
      <c r="V42" s="9">
        <v>0</v>
      </c>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179806.64730371768</v>
      </c>
      <c r="C47" s="1">
        <v>0</v>
      </c>
      <c r="D47" s="1">
        <v>0</v>
      </c>
      <c r="E47" s="1">
        <v>0</v>
      </c>
      <c r="F47" s="1">
        <v>0</v>
      </c>
      <c r="G47" s="9">
        <f>SUM(SC_FINANCIAL)</f>
        <v>179806.64730371768</v>
      </c>
      <c r="L47" s="6"/>
      <c r="V47" s="9"/>
    </row>
    <row r="48" spans="1:22">
      <c r="A48" s="1" t="s">
        <v>69</v>
      </c>
      <c r="B48" s="6">
        <v>-39798</v>
      </c>
      <c r="C48" s="1">
        <v>0</v>
      </c>
      <c r="D48" s="1">
        <v>0</v>
      </c>
      <c r="E48" s="1">
        <v>0</v>
      </c>
      <c r="F48" s="1">
        <v>0</v>
      </c>
      <c r="G48" s="9">
        <f>SUM(SD_FINANCIAL)</f>
        <v>-39798</v>
      </c>
      <c r="L48" s="6"/>
      <c r="V48" s="9"/>
    </row>
    <row r="49" spans="1:22">
      <c r="A49" s="1" t="s">
        <v>70</v>
      </c>
      <c r="B49" s="6">
        <v>8511.2144964711097</v>
      </c>
      <c r="C49" s="1">
        <v>6498.5305469191553</v>
      </c>
      <c r="D49" s="1">
        <v>0</v>
      </c>
      <c r="E49" s="1">
        <v>0</v>
      </c>
      <c r="F49" s="1">
        <v>0</v>
      </c>
      <c r="G49" s="9">
        <f>SUM(TN_FINANCIAL)</f>
        <v>15009.745043390265</v>
      </c>
      <c r="L49" s="6"/>
      <c r="V49" s="9"/>
    </row>
    <row r="50" spans="1:22">
      <c r="A50" s="1" t="s">
        <v>71</v>
      </c>
      <c r="B50" s="6">
        <v>17992.472804830657</v>
      </c>
      <c r="C50" s="1">
        <v>0</v>
      </c>
      <c r="D50" s="1">
        <v>0</v>
      </c>
      <c r="E50" s="1">
        <v>0</v>
      </c>
      <c r="F50" s="1">
        <v>0</v>
      </c>
      <c r="G50" s="9">
        <f>SUM(TX_FINANCIAL)</f>
        <v>17992.472804830657</v>
      </c>
      <c r="L50" s="6">
        <v>40003</v>
      </c>
      <c r="M50" s="1">
        <v>22198</v>
      </c>
      <c r="O50" s="1">
        <v>0</v>
      </c>
      <c r="P50" s="1">
        <v>0</v>
      </c>
      <c r="R50" s="1">
        <v>0</v>
      </c>
      <c r="S50" s="1">
        <v>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-1455</v>
      </c>
      <c r="C57" s="1">
        <v>0</v>
      </c>
      <c r="D57" s="1">
        <v>0</v>
      </c>
      <c r="E57" s="1">
        <v>0</v>
      </c>
      <c r="F57" s="1">
        <v>0</v>
      </c>
      <c r="G57" s="9">
        <f>SUM(WY_FINANCIAL)</f>
        <v>-1455</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1176583.8239110187</v>
      </c>
      <c r="C60" s="1">
        <f>SUM(ALLOCATED)</f>
        <v>122869.26166202863</v>
      </c>
      <c r="D60" s="1">
        <f>SUM(HEALTH)</f>
        <v>9635.0672854646855</v>
      </c>
      <c r="E60" s="1">
        <f>SUM(UNALLOCATED)</f>
        <v>0</v>
      </c>
      <c r="F60" s="1">
        <f>SUM(LTC)</f>
        <v>0</v>
      </c>
      <c r="G60" s="9">
        <f>SUM(ALL_BLOCKS)</f>
        <v>1309088.1528585118</v>
      </c>
      <c r="L60" s="6">
        <f>SUM(LIFE_CALLED)</f>
        <v>1144992</v>
      </c>
      <c r="M60" s="1">
        <f>SUM(LIFE_REFUNDED)</f>
        <v>41125</v>
      </c>
      <c r="O60" s="1">
        <f>SUM(ALLOC_CALLED)</f>
        <v>35389</v>
      </c>
      <c r="P60" s="1">
        <f>SUM(ALLOC_REFUNDED)</f>
        <v>0</v>
      </c>
      <c r="R60" s="1">
        <f>SUM(HEALTH_CALLED)</f>
        <v>606622</v>
      </c>
      <c r="S60" s="1">
        <f>SUM(HEALTH_REFUNDED)</f>
        <v>1257</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86</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8157.5821310384099</v>
      </c>
      <c r="E6" s="1">
        <v>0</v>
      </c>
      <c r="F6" s="1">
        <v>0</v>
      </c>
      <c r="G6" s="9">
        <f>SUM(AL_FINANCIAL)</f>
        <v>8157.5821310384099</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12408.486319198577</v>
      </c>
      <c r="E8" s="1">
        <v>0</v>
      </c>
      <c r="F8" s="1">
        <v>0</v>
      </c>
      <c r="G8" s="9">
        <f>SUM(AZ_FINANCIAL)</f>
        <v>12408.486319198577</v>
      </c>
      <c r="I8" s="13" t="s">
        <v>14</v>
      </c>
      <c r="J8" s="16"/>
      <c r="L8" s="6"/>
      <c r="V8" s="9"/>
    </row>
    <row r="9" spans="1:22">
      <c r="A9" s="1" t="s">
        <v>15</v>
      </c>
      <c r="B9" s="6">
        <v>0</v>
      </c>
      <c r="C9" s="1">
        <v>0</v>
      </c>
      <c r="D9" s="1">
        <v>5015.9061738797282</v>
      </c>
      <c r="E9" s="1">
        <v>0</v>
      </c>
      <c r="F9" s="1">
        <v>0</v>
      </c>
      <c r="G9" s="9">
        <f>SUM(AR_FINANCIAL)</f>
        <v>5015.9061738797282</v>
      </c>
      <c r="I9" s="13"/>
      <c r="J9" s="16"/>
      <c r="L9" s="6"/>
      <c r="V9" s="9"/>
    </row>
    <row r="10" spans="1:22">
      <c r="A10" s="1" t="s">
        <v>16</v>
      </c>
      <c r="B10" s="6">
        <v>0</v>
      </c>
      <c r="C10" s="1">
        <v>0</v>
      </c>
      <c r="D10" s="1">
        <v>0</v>
      </c>
      <c r="E10" s="1">
        <v>0</v>
      </c>
      <c r="F10" s="1">
        <v>0</v>
      </c>
      <c r="G10" s="9">
        <f>SUM(CA_FINANCIAL)</f>
        <v>0</v>
      </c>
      <c r="I10" s="13" t="s">
        <v>17</v>
      </c>
      <c r="J10" s="16">
        <v>0</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230.42844614995221</v>
      </c>
      <c r="E12" s="1">
        <v>0</v>
      </c>
      <c r="F12" s="1">
        <v>0</v>
      </c>
      <c r="G12" s="9">
        <f>SUM(CT_FINANCIAL)</f>
        <v>230.42844614995221</v>
      </c>
      <c r="I12" s="13" t="s">
        <v>20</v>
      </c>
      <c r="J12" s="16"/>
      <c r="L12" s="6"/>
      <c r="V12" s="9"/>
    </row>
    <row r="13" spans="1:22">
      <c r="A13" s="1" t="s">
        <v>21</v>
      </c>
      <c r="B13" s="6">
        <v>0</v>
      </c>
      <c r="C13" s="1">
        <v>0</v>
      </c>
      <c r="D13" s="1">
        <v>2258.7128299569717</v>
      </c>
      <c r="E13" s="1">
        <v>0</v>
      </c>
      <c r="F13" s="1">
        <v>0</v>
      </c>
      <c r="G13" s="9">
        <f>SUM(DE_FINANCIAL)</f>
        <v>2258.7128299569717</v>
      </c>
      <c r="I13" s="13" t="s">
        <v>22</v>
      </c>
      <c r="J13" s="16">
        <v>0</v>
      </c>
      <c r="L13" s="6"/>
      <c r="V13" s="9"/>
    </row>
    <row r="14" spans="1:22">
      <c r="A14" s="1" t="s">
        <v>23</v>
      </c>
      <c r="B14" s="6">
        <v>0</v>
      </c>
      <c r="C14" s="1">
        <v>0</v>
      </c>
      <c r="D14" s="1">
        <v>263.07822502513761</v>
      </c>
      <c r="E14" s="1">
        <v>0</v>
      </c>
      <c r="F14" s="1">
        <v>0</v>
      </c>
      <c r="G14" s="9">
        <f>SUM(DC_FINANCIAL)</f>
        <v>263.07822502513761</v>
      </c>
      <c r="I14" s="13" t="s">
        <v>24</v>
      </c>
      <c r="J14" s="16">
        <v>0</v>
      </c>
      <c r="L14" s="6"/>
      <c r="V14" s="9"/>
    </row>
    <row r="15" spans="1:22">
      <c r="A15" s="1" t="s">
        <v>25</v>
      </c>
      <c r="B15" s="6">
        <v>0</v>
      </c>
      <c r="C15" s="1">
        <v>0</v>
      </c>
      <c r="D15" s="1">
        <v>45186.925266100239</v>
      </c>
      <c r="E15" s="1">
        <v>0</v>
      </c>
      <c r="F15" s="1">
        <v>0</v>
      </c>
      <c r="G15" s="9">
        <f>SUM(FL_FINANCIAL)</f>
        <v>45186.925266100239</v>
      </c>
      <c r="I15" s="13" t="s">
        <v>26</v>
      </c>
      <c r="J15" s="16">
        <v>500433.00922114402</v>
      </c>
      <c r="L15" s="6"/>
      <c r="V15" s="9"/>
    </row>
    <row r="16" spans="1:22">
      <c r="A16" s="1" t="s">
        <v>27</v>
      </c>
      <c r="B16" s="6">
        <v>0</v>
      </c>
      <c r="C16" s="1">
        <v>0</v>
      </c>
      <c r="D16" s="1">
        <v>17512.15190142002</v>
      </c>
      <c r="E16" s="1">
        <v>0</v>
      </c>
      <c r="F16" s="1">
        <v>0</v>
      </c>
      <c r="G16" s="9">
        <f>SUM(GA_FINANCIAL)</f>
        <v>17512.15190142002</v>
      </c>
      <c r="I16" s="13" t="s">
        <v>28</v>
      </c>
      <c r="J16" s="16">
        <v>0</v>
      </c>
      <c r="L16" s="6"/>
      <c r="V16" s="9"/>
    </row>
    <row r="17" spans="1:22">
      <c r="A17" s="1" t="s">
        <v>29</v>
      </c>
      <c r="B17" s="6">
        <v>0</v>
      </c>
      <c r="C17" s="1">
        <v>0</v>
      </c>
      <c r="D17" s="1">
        <v>212.71856567687891</v>
      </c>
      <c r="E17" s="1">
        <v>0</v>
      </c>
      <c r="F17" s="1">
        <v>0</v>
      </c>
      <c r="G17" s="9">
        <f>SUM(HI_FINANCIAL)</f>
        <v>212.71856567687891</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21564.589730747684</v>
      </c>
      <c r="E19" s="1">
        <v>0</v>
      </c>
      <c r="F19" s="1">
        <v>0</v>
      </c>
      <c r="G19" s="9">
        <f>SUM(IL_FINANCIAL)</f>
        <v>21564.589730747684</v>
      </c>
      <c r="I19" s="13" t="s">
        <v>33</v>
      </c>
      <c r="J19" s="16">
        <v>0</v>
      </c>
      <c r="L19" s="6"/>
      <c r="V19" s="9"/>
    </row>
    <row r="20" spans="1:22">
      <c r="A20" s="1" t="s">
        <v>34</v>
      </c>
      <c r="B20" s="6">
        <v>0</v>
      </c>
      <c r="C20" s="1">
        <v>0</v>
      </c>
      <c r="D20" s="1">
        <v>8885.73007517527</v>
      </c>
      <c r="E20" s="1">
        <v>0</v>
      </c>
      <c r="F20" s="1">
        <v>0</v>
      </c>
      <c r="G20" s="9">
        <f>SUM(IN_FINANCIAL)</f>
        <v>8885.73007517527</v>
      </c>
      <c r="I20" s="13" t="s">
        <v>35</v>
      </c>
      <c r="J20" s="16">
        <v>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36.419754969800145</v>
      </c>
      <c r="E22" s="1">
        <v>0</v>
      </c>
      <c r="F22" s="1">
        <v>0</v>
      </c>
      <c r="G22" s="9">
        <f>SUM(KS_FINANCIAL)</f>
        <v>36.419754969800145</v>
      </c>
      <c r="I22" s="13" t="s">
        <v>39</v>
      </c>
      <c r="J22" s="16">
        <v>0</v>
      </c>
      <c r="L22" s="6"/>
      <c r="V22" s="9"/>
    </row>
    <row r="23" spans="1:22">
      <c r="A23" s="1" t="s">
        <v>40</v>
      </c>
      <c r="B23" s="6">
        <v>0</v>
      </c>
      <c r="C23" s="1">
        <v>0</v>
      </c>
      <c r="D23" s="1">
        <v>4755.3679309255513</v>
      </c>
      <c r="E23" s="1">
        <v>0</v>
      </c>
      <c r="F23" s="1">
        <v>0</v>
      </c>
      <c r="G23" s="9">
        <f>SUM(KY_FINANCIAL)</f>
        <v>4755.3679309255513</v>
      </c>
      <c r="I23" s="13" t="s">
        <v>41</v>
      </c>
      <c r="J23" s="16"/>
      <c r="L23" s="6"/>
      <c r="V23" s="9"/>
    </row>
    <row r="24" spans="1:22">
      <c r="A24" s="1" t="s">
        <v>42</v>
      </c>
      <c r="B24" s="6">
        <v>0</v>
      </c>
      <c r="C24" s="1">
        <v>0</v>
      </c>
      <c r="D24" s="1">
        <v>8607.9230111338984</v>
      </c>
      <c r="E24" s="1">
        <v>0</v>
      </c>
      <c r="F24" s="1">
        <v>0</v>
      </c>
      <c r="G24" s="9">
        <f>SUM(LA_FINANCIAL)</f>
        <v>8607.9230111338984</v>
      </c>
      <c r="I24" s="13" t="s">
        <v>43</v>
      </c>
      <c r="J24" s="16">
        <v>59999.999999999993</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8972.7294894933293</v>
      </c>
      <c r="E26" s="1">
        <v>0</v>
      </c>
      <c r="F26" s="1">
        <v>0</v>
      </c>
      <c r="G26" s="9">
        <f>SUM(MD_FINANCIAL)</f>
        <v>8972.7294894933293</v>
      </c>
      <c r="I26" s="13" t="s">
        <v>46</v>
      </c>
      <c r="J26" s="16">
        <f>SUM(ADD_FINANCIAL)-SUM(LESS_FINANCIAL)</f>
        <v>440433.00922114402</v>
      </c>
      <c r="L26" s="6"/>
      <c r="V26" s="9"/>
    </row>
    <row r="27" spans="1:22">
      <c r="A27" s="1" t="s">
        <v>47</v>
      </c>
      <c r="B27" s="6">
        <v>0</v>
      </c>
      <c r="C27" s="1">
        <v>0</v>
      </c>
      <c r="D27" s="1">
        <v>0</v>
      </c>
      <c r="E27" s="1">
        <v>0</v>
      </c>
      <c r="F27" s="1">
        <v>0</v>
      </c>
      <c r="G27" s="9">
        <f>SUM(MA_FINANCIAL)</f>
        <v>0</v>
      </c>
      <c r="I27" s="13" t="s">
        <v>48</v>
      </c>
      <c r="J27" s="16">
        <f>SUM(ALL_BLOCKS)</f>
        <v>440433.00922114414</v>
      </c>
      <c r="L27" s="6"/>
      <c r="V27" s="9"/>
    </row>
    <row r="28" spans="1:22">
      <c r="A28" s="1" t="s">
        <v>49</v>
      </c>
      <c r="B28" s="6">
        <v>0</v>
      </c>
      <c r="C28" s="1">
        <v>0</v>
      </c>
      <c r="D28" s="1">
        <v>8638.654278119322</v>
      </c>
      <c r="E28" s="1">
        <v>0</v>
      </c>
      <c r="F28" s="1">
        <v>0</v>
      </c>
      <c r="G28" s="9">
        <f>SUM(MI_FINANCIAL)</f>
        <v>8638.654278119322</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10044.202264090607</v>
      </c>
      <c r="E30" s="1">
        <v>0</v>
      </c>
      <c r="F30" s="1">
        <v>0</v>
      </c>
      <c r="G30" s="9">
        <f>SUM(MS_FINANCIAL)</f>
        <v>10044.202264090607</v>
      </c>
      <c r="L30" s="6"/>
      <c r="V30" s="9"/>
    </row>
    <row r="31" spans="1:22">
      <c r="A31" s="1" t="s">
        <v>52</v>
      </c>
      <c r="B31" s="6">
        <v>0</v>
      </c>
      <c r="C31" s="1">
        <v>0</v>
      </c>
      <c r="D31" s="1">
        <v>15124.618001697052</v>
      </c>
      <c r="E31" s="1">
        <v>0</v>
      </c>
      <c r="F31" s="1">
        <v>0</v>
      </c>
      <c r="G31" s="9">
        <f>SUM(MO_FINANCIAL)</f>
        <v>15124.618001697052</v>
      </c>
      <c r="L31" s="6"/>
      <c r="V31" s="9"/>
    </row>
    <row r="32" spans="1:22">
      <c r="A32" s="1" t="s">
        <v>53</v>
      </c>
      <c r="B32" s="6">
        <v>0</v>
      </c>
      <c r="C32" s="1">
        <v>0</v>
      </c>
      <c r="D32" s="1">
        <v>-66.602641545081326</v>
      </c>
      <c r="E32" s="1">
        <v>0</v>
      </c>
      <c r="F32" s="1">
        <v>0</v>
      </c>
      <c r="G32" s="9">
        <f>SUM(MT_FINANCIAL)</f>
        <v>-66.602641545081326</v>
      </c>
      <c r="L32" s="6"/>
      <c r="V32" s="9"/>
    </row>
    <row r="33" spans="1:22">
      <c r="A33" s="1" t="s">
        <v>54</v>
      </c>
      <c r="B33" s="6">
        <v>0</v>
      </c>
      <c r="C33" s="1">
        <v>0</v>
      </c>
      <c r="D33" s="1">
        <v>3307.2576962754674</v>
      </c>
      <c r="E33" s="1">
        <v>0</v>
      </c>
      <c r="F33" s="1">
        <v>0</v>
      </c>
      <c r="G33" s="9">
        <f>SUM(NE_FINANCIAL)</f>
        <v>3307.2576962754674</v>
      </c>
      <c r="L33" s="6"/>
      <c r="V33" s="9"/>
    </row>
    <row r="34" spans="1:22">
      <c r="A34" s="1" t="s">
        <v>55</v>
      </c>
      <c r="B34" s="6">
        <v>0</v>
      </c>
      <c r="C34" s="1">
        <v>0</v>
      </c>
      <c r="D34" s="1">
        <v>3808.0843196397868</v>
      </c>
      <c r="E34" s="1">
        <v>0</v>
      </c>
      <c r="F34" s="1">
        <v>0</v>
      </c>
      <c r="G34" s="9">
        <f>SUM(NV_FINANCIAL)</f>
        <v>3808.0843196397868</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6002.1495222062549</v>
      </c>
      <c r="E36" s="1">
        <v>0</v>
      </c>
      <c r="F36" s="1">
        <v>0</v>
      </c>
      <c r="G36" s="9">
        <f>SUM(NJ_FINANCIAL)</f>
        <v>6002.1495222062549</v>
      </c>
      <c r="L36" s="6"/>
      <c r="V36" s="9"/>
    </row>
    <row r="37" spans="1:22">
      <c r="A37" s="1" t="s">
        <v>58</v>
      </c>
      <c r="B37" s="6">
        <v>0</v>
      </c>
      <c r="C37" s="1">
        <v>0</v>
      </c>
      <c r="D37" s="1">
        <v>1976.2566727476665</v>
      </c>
      <c r="E37" s="1">
        <v>0</v>
      </c>
      <c r="F37" s="1">
        <v>0</v>
      </c>
      <c r="G37" s="9">
        <f>SUM(NM_FINANCIAL)</f>
        <v>1976.2566727476665</v>
      </c>
      <c r="L37" s="6"/>
      <c r="V37" s="9"/>
    </row>
    <row r="38" spans="1:22">
      <c r="A38" s="1" t="s">
        <v>59</v>
      </c>
      <c r="B38" s="6">
        <v>0</v>
      </c>
      <c r="C38" s="1">
        <v>0</v>
      </c>
      <c r="D38" s="1">
        <v>70397.445250999619</v>
      </c>
      <c r="E38" s="1">
        <v>0</v>
      </c>
      <c r="F38" s="1">
        <v>0</v>
      </c>
      <c r="G38" s="9">
        <f>SUM(NY_FINANCIAL)</f>
        <v>70397.445250999619</v>
      </c>
      <c r="L38" s="6"/>
      <c r="V38" s="9"/>
    </row>
    <row r="39" spans="1:22">
      <c r="A39" s="1" t="s">
        <v>60</v>
      </c>
      <c r="B39" s="6">
        <v>0</v>
      </c>
      <c r="C39" s="1">
        <v>0</v>
      </c>
      <c r="D39" s="1">
        <v>10706.157799759891</v>
      </c>
      <c r="E39" s="1">
        <v>0</v>
      </c>
      <c r="F39" s="1">
        <v>0</v>
      </c>
      <c r="G39" s="9">
        <f>SUM(NC_FINANCIAL)</f>
        <v>10706.157799759891</v>
      </c>
      <c r="L39" s="6"/>
      <c r="V39" s="9"/>
    </row>
    <row r="40" spans="1:22">
      <c r="A40" s="1" t="s">
        <v>61</v>
      </c>
      <c r="B40" s="6">
        <v>0</v>
      </c>
      <c r="C40" s="1">
        <v>0</v>
      </c>
      <c r="D40" s="1">
        <v>701.3751412304274</v>
      </c>
      <c r="E40" s="1">
        <v>0</v>
      </c>
      <c r="F40" s="1">
        <v>0</v>
      </c>
      <c r="G40" s="9">
        <f>SUM(ND_FINANCIAL)</f>
        <v>701.3751412304274</v>
      </c>
      <c r="L40" s="6"/>
      <c r="V40" s="9"/>
    </row>
    <row r="41" spans="1:22">
      <c r="A41" s="1" t="s">
        <v>62</v>
      </c>
      <c r="B41" s="6">
        <v>0</v>
      </c>
      <c r="C41" s="1">
        <v>0</v>
      </c>
      <c r="D41" s="1">
        <v>20430.392221311526</v>
      </c>
      <c r="E41" s="1">
        <v>0</v>
      </c>
      <c r="F41" s="1">
        <v>0</v>
      </c>
      <c r="G41" s="9">
        <f>SUM(OH_FINANCIAL)</f>
        <v>20430.392221311526</v>
      </c>
      <c r="L41" s="6"/>
      <c r="V41" s="9"/>
    </row>
    <row r="42" spans="1:22">
      <c r="A42" s="1" t="s">
        <v>63</v>
      </c>
      <c r="B42" s="6">
        <v>0</v>
      </c>
      <c r="C42" s="1">
        <v>0</v>
      </c>
      <c r="D42" s="1">
        <v>7911.8866431798961</v>
      </c>
      <c r="E42" s="1">
        <v>0</v>
      </c>
      <c r="F42" s="1">
        <v>0</v>
      </c>
      <c r="G42" s="9">
        <f>SUM(OK_FINANCIAL)</f>
        <v>7911.8866431798961</v>
      </c>
      <c r="L42" s="6"/>
      <c r="V42" s="9"/>
    </row>
    <row r="43" spans="1:22">
      <c r="A43" s="1" t="s">
        <v>64</v>
      </c>
      <c r="B43" s="6">
        <v>0</v>
      </c>
      <c r="C43" s="1">
        <v>0</v>
      </c>
      <c r="D43" s="1">
        <v>-314.16181680928668</v>
      </c>
      <c r="E43" s="1">
        <v>0</v>
      </c>
      <c r="F43" s="1">
        <v>0</v>
      </c>
      <c r="G43" s="9">
        <f>SUM(OR_FINANCIAL)</f>
        <v>-314.16181680928668</v>
      </c>
      <c r="L43" s="6"/>
      <c r="V43" s="9"/>
    </row>
    <row r="44" spans="1:22">
      <c r="A44" s="1" t="s">
        <v>65</v>
      </c>
      <c r="B44" s="6">
        <v>0</v>
      </c>
      <c r="C44" s="1">
        <v>0</v>
      </c>
      <c r="D44" s="1">
        <v>30952.931258175115</v>
      </c>
      <c r="E44" s="1">
        <v>0</v>
      </c>
      <c r="F44" s="1">
        <v>0</v>
      </c>
      <c r="G44" s="9">
        <f>SUM(PA_FINANCIAL)</f>
        <v>30952.931258175115</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3963.1432737791765</v>
      </c>
      <c r="E46" s="1">
        <v>0</v>
      </c>
      <c r="F46" s="1">
        <v>0</v>
      </c>
      <c r="G46" s="9">
        <f>SUM(RI_FINANCIAL)</f>
        <v>3963.1432737791765</v>
      </c>
      <c r="L46" s="6"/>
      <c r="V46" s="9"/>
    </row>
    <row r="47" spans="1:22">
      <c r="A47" s="1" t="s">
        <v>68</v>
      </c>
      <c r="B47" s="6">
        <v>0</v>
      </c>
      <c r="C47" s="1">
        <v>0</v>
      </c>
      <c r="D47" s="1">
        <v>16443.901724960819</v>
      </c>
      <c r="E47" s="1">
        <v>0</v>
      </c>
      <c r="F47" s="1">
        <v>0</v>
      </c>
      <c r="G47" s="9">
        <f>SUM(SC_FINANCIAL)</f>
        <v>16443.901724960819</v>
      </c>
      <c r="L47" s="6"/>
      <c r="V47" s="9"/>
    </row>
    <row r="48" spans="1:22">
      <c r="A48" s="1" t="s">
        <v>69</v>
      </c>
      <c r="B48" s="6">
        <v>0</v>
      </c>
      <c r="C48" s="1">
        <v>0</v>
      </c>
      <c r="D48" s="1">
        <v>191.47870910919102</v>
      </c>
      <c r="E48" s="1">
        <v>0</v>
      </c>
      <c r="F48" s="1">
        <v>0</v>
      </c>
      <c r="G48" s="9">
        <f>SUM(SD_FINANCIAL)</f>
        <v>191.47870910919102</v>
      </c>
      <c r="L48" s="6"/>
      <c r="V48" s="9"/>
    </row>
    <row r="49" spans="1:22">
      <c r="A49" s="1" t="s">
        <v>70</v>
      </c>
      <c r="B49" s="6">
        <v>0</v>
      </c>
      <c r="C49" s="1">
        <v>0</v>
      </c>
      <c r="D49" s="1">
        <v>12885.283103924248</v>
      </c>
      <c r="E49" s="1">
        <v>0</v>
      </c>
      <c r="F49" s="1">
        <v>0</v>
      </c>
      <c r="G49" s="9">
        <f>SUM(TN_FINANCIAL)</f>
        <v>12885.283103924248</v>
      </c>
      <c r="L49" s="6"/>
      <c r="V49" s="9"/>
    </row>
    <row r="50" spans="1:22">
      <c r="A50" s="1" t="s">
        <v>71</v>
      </c>
      <c r="B50" s="6">
        <v>0</v>
      </c>
      <c r="C50" s="1">
        <v>0</v>
      </c>
      <c r="D50" s="1">
        <v>50938.386479612498</v>
      </c>
      <c r="E50" s="1">
        <v>0</v>
      </c>
      <c r="F50" s="1">
        <v>0</v>
      </c>
      <c r="G50" s="9">
        <f>SUM(TX_FINANCIAL)</f>
        <v>50938.386479612498</v>
      </c>
      <c r="L50" s="6"/>
      <c r="V50" s="9"/>
    </row>
    <row r="51" spans="1:22">
      <c r="A51" s="1" t="s">
        <v>72</v>
      </c>
      <c r="B51" s="6">
        <v>0</v>
      </c>
      <c r="C51" s="1">
        <v>0</v>
      </c>
      <c r="D51" s="1">
        <v>2114.3757404376379</v>
      </c>
      <c r="E51" s="1">
        <v>0</v>
      </c>
      <c r="F51" s="1">
        <v>0</v>
      </c>
      <c r="G51" s="9">
        <f>SUM(UT_FINANCIAL)</f>
        <v>2114.3757404376379</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145.20901987920058</v>
      </c>
      <c r="E54" s="1">
        <v>0</v>
      </c>
      <c r="F54" s="1">
        <v>0</v>
      </c>
      <c r="G54" s="9">
        <f>SUM(WA_FINANCIAL)</f>
        <v>145.20901987920058</v>
      </c>
      <c r="L54" s="6"/>
      <c r="V54" s="9"/>
    </row>
    <row r="55" spans="1:22">
      <c r="A55" s="1" t="s">
        <v>76</v>
      </c>
      <c r="B55" s="6">
        <v>0</v>
      </c>
      <c r="C55" s="1">
        <v>0</v>
      </c>
      <c r="D55" s="1">
        <v>5345.4939506788896</v>
      </c>
      <c r="E55" s="1">
        <v>0</v>
      </c>
      <c r="F55" s="1">
        <v>0</v>
      </c>
      <c r="G55" s="9">
        <f>SUM(WV_FINANCIAL)</f>
        <v>5345.4939506788896</v>
      </c>
      <c r="L55" s="6"/>
      <c r="V55" s="9"/>
    </row>
    <row r="56" spans="1:22">
      <c r="A56" s="1" t="s">
        <v>77</v>
      </c>
      <c r="B56" s="6">
        <v>0</v>
      </c>
      <c r="C56" s="1">
        <v>0</v>
      </c>
      <c r="D56" s="1">
        <v>13219.42085084168</v>
      </c>
      <c r="E56" s="1">
        <v>0</v>
      </c>
      <c r="F56" s="1">
        <v>0</v>
      </c>
      <c r="G56" s="9">
        <f>SUM(WI_FINANCIAL)</f>
        <v>13219.42085084168</v>
      </c>
      <c r="L56" s="6"/>
      <c r="V56" s="9"/>
    </row>
    <row r="57" spans="1:22">
      <c r="A57" s="1" t="s">
        <v>78</v>
      </c>
      <c r="B57" s="6">
        <v>0</v>
      </c>
      <c r="C57" s="1">
        <v>0</v>
      </c>
      <c r="D57" s="1">
        <v>1496.9199059510354</v>
      </c>
      <c r="E57" s="1">
        <v>0</v>
      </c>
      <c r="F57" s="1">
        <v>0</v>
      </c>
      <c r="G57" s="9">
        <f>SUM(WY_FINANCIAL)</f>
        <v>1496.9199059510354</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440433.00922114414</v>
      </c>
      <c r="E60" s="1">
        <f>SUM(UNALLOCATED)</f>
        <v>0</v>
      </c>
      <c r="F60" s="1">
        <f>SUM(LTC)</f>
        <v>0</v>
      </c>
      <c r="G60" s="9">
        <f>SUM(ALL_BLOCKS)</f>
        <v>440433.00922114414</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149</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12091.022601349927</v>
      </c>
      <c r="D6" s="1">
        <v>0</v>
      </c>
      <c r="E6" s="1">
        <v>0</v>
      </c>
      <c r="F6" s="1">
        <v>0</v>
      </c>
      <c r="G6" s="9">
        <f>SUM(AL_FINANCIAL)</f>
        <v>12091.022601349927</v>
      </c>
      <c r="L6" s="6"/>
      <c r="V6" s="9"/>
    </row>
    <row r="7" spans="1:22">
      <c r="A7" s="1" t="s">
        <v>12</v>
      </c>
      <c r="B7" s="6">
        <v>0</v>
      </c>
      <c r="C7" s="1">
        <v>0</v>
      </c>
      <c r="D7" s="1">
        <v>0</v>
      </c>
      <c r="E7" s="1">
        <v>0</v>
      </c>
      <c r="F7" s="1">
        <v>0</v>
      </c>
      <c r="G7" s="9">
        <f>SUM(AK_FINANCIAL)</f>
        <v>0</v>
      </c>
      <c r="I7" s="12"/>
      <c r="J7" s="15"/>
      <c r="L7" s="6"/>
      <c r="V7" s="9"/>
    </row>
    <row r="8" spans="1:22">
      <c r="A8" s="1" t="s">
        <v>13</v>
      </c>
      <c r="B8" s="6">
        <v>0</v>
      </c>
      <c r="C8" s="1">
        <v>742927.39241458219</v>
      </c>
      <c r="D8" s="1">
        <v>0</v>
      </c>
      <c r="E8" s="1">
        <v>0</v>
      </c>
      <c r="F8" s="1">
        <v>0</v>
      </c>
      <c r="G8" s="9">
        <f>SUM(AZ_FINANCIAL)</f>
        <v>742927.39241458219</v>
      </c>
      <c r="I8" s="13" t="s">
        <v>14</v>
      </c>
      <c r="J8" s="16"/>
      <c r="L8" s="6">
        <v>0</v>
      </c>
      <c r="M8" s="1">
        <v>0</v>
      </c>
      <c r="O8" s="1">
        <v>644884</v>
      </c>
      <c r="P8" s="1">
        <v>0</v>
      </c>
      <c r="R8" s="1">
        <v>0</v>
      </c>
      <c r="S8" s="1">
        <v>0</v>
      </c>
      <c r="U8" s="1">
        <v>0</v>
      </c>
      <c r="V8" s="9">
        <v>0</v>
      </c>
    </row>
    <row r="9" spans="1:22">
      <c r="A9" s="1" t="s">
        <v>15</v>
      </c>
      <c r="B9" s="6">
        <v>0</v>
      </c>
      <c r="C9" s="1">
        <v>186986.0746837609</v>
      </c>
      <c r="D9" s="1">
        <v>0</v>
      </c>
      <c r="E9" s="1">
        <v>0</v>
      </c>
      <c r="F9" s="1">
        <v>0</v>
      </c>
      <c r="G9" s="9">
        <f>SUM(AR_FINANCIAL)</f>
        <v>186986.0746837609</v>
      </c>
      <c r="I9" s="13"/>
      <c r="J9" s="16"/>
      <c r="L9" s="6">
        <v>123926</v>
      </c>
      <c r="M9" s="1">
        <v>0</v>
      </c>
      <c r="O9" s="1">
        <v>0</v>
      </c>
      <c r="P9" s="1">
        <v>0</v>
      </c>
      <c r="R9" s="1">
        <v>0</v>
      </c>
      <c r="S9" s="1">
        <v>0</v>
      </c>
      <c r="U9" s="1">
        <v>0</v>
      </c>
      <c r="V9" s="9">
        <v>0</v>
      </c>
    </row>
    <row r="10" spans="1:22">
      <c r="A10" s="1" t="s">
        <v>16</v>
      </c>
      <c r="B10" s="6">
        <v>591.7989819193491</v>
      </c>
      <c r="C10" s="1">
        <v>3738210.144872711</v>
      </c>
      <c r="D10" s="1">
        <v>3230.6939813131739</v>
      </c>
      <c r="E10" s="1">
        <v>0</v>
      </c>
      <c r="F10" s="1">
        <v>0</v>
      </c>
      <c r="G10" s="9">
        <f>SUM(CA_FINANCIAL)</f>
        <v>3742032.6378359436</v>
      </c>
      <c r="I10" s="13" t="s">
        <v>17</v>
      </c>
      <c r="J10" s="16">
        <v>110355316</v>
      </c>
      <c r="L10" s="6">
        <v>97750</v>
      </c>
      <c r="M10" s="1">
        <v>150000</v>
      </c>
      <c r="O10" s="1">
        <v>9531750</v>
      </c>
      <c r="P10" s="1">
        <v>4870000</v>
      </c>
      <c r="R10" s="1">
        <v>627500</v>
      </c>
      <c r="S10" s="1">
        <v>900000</v>
      </c>
      <c r="U10" s="1">
        <v>0</v>
      </c>
      <c r="V10" s="9">
        <v>0</v>
      </c>
    </row>
    <row r="11" spans="1:22">
      <c r="A11" s="1" t="s">
        <v>18</v>
      </c>
      <c r="B11" s="6">
        <v>0</v>
      </c>
      <c r="C11" s="1">
        <v>2440607.4554233905</v>
      </c>
      <c r="D11" s="1">
        <v>0</v>
      </c>
      <c r="E11" s="1">
        <v>0</v>
      </c>
      <c r="F11" s="1">
        <v>0</v>
      </c>
      <c r="G11" s="9">
        <f>SUM(CO_FINANCIAL)</f>
        <v>2440607.4554233905</v>
      </c>
      <c r="I11" s="13"/>
      <c r="J11" s="16"/>
      <c r="L11" s="6">
        <v>0</v>
      </c>
      <c r="M11" s="1">
        <v>0</v>
      </c>
      <c r="O11" s="1">
        <v>4750000</v>
      </c>
      <c r="P11" s="1">
        <v>36245050</v>
      </c>
      <c r="R11" s="1">
        <v>0</v>
      </c>
      <c r="S11" s="1">
        <v>0</v>
      </c>
      <c r="U11" s="1">
        <v>0</v>
      </c>
      <c r="V11" s="9">
        <v>0</v>
      </c>
    </row>
    <row r="12" spans="1:22">
      <c r="A12" s="1" t="s">
        <v>19</v>
      </c>
      <c r="B12" s="6">
        <v>0</v>
      </c>
      <c r="C12" s="1">
        <v>9547.2925326373479</v>
      </c>
      <c r="D12" s="1">
        <v>0</v>
      </c>
      <c r="E12" s="1">
        <v>0</v>
      </c>
      <c r="F12" s="1">
        <v>0</v>
      </c>
      <c r="G12" s="9">
        <f>SUM(CT_FINANCIAL)</f>
        <v>9547.2925326373479</v>
      </c>
      <c r="I12" s="13" t="s">
        <v>20</v>
      </c>
      <c r="J12" s="16"/>
      <c r="L12" s="6"/>
      <c r="V12" s="9"/>
    </row>
    <row r="13" spans="1:22">
      <c r="A13" s="1" t="s">
        <v>21</v>
      </c>
      <c r="B13" s="6">
        <v>0</v>
      </c>
      <c r="C13" s="1">
        <v>0</v>
      </c>
      <c r="D13" s="1">
        <v>0</v>
      </c>
      <c r="E13" s="1">
        <v>0</v>
      </c>
      <c r="F13" s="1">
        <v>0</v>
      </c>
      <c r="G13" s="9">
        <f>SUM(DE_FINANCIAL)</f>
        <v>0</v>
      </c>
      <c r="I13" s="13" t="s">
        <v>22</v>
      </c>
      <c r="J13" s="16">
        <v>669896</v>
      </c>
      <c r="L13" s="6"/>
      <c r="V13" s="9"/>
    </row>
    <row r="14" spans="1:22">
      <c r="A14" s="1" t="s">
        <v>23</v>
      </c>
      <c r="B14" s="6">
        <v>0</v>
      </c>
      <c r="C14" s="1">
        <v>0</v>
      </c>
      <c r="D14" s="1">
        <v>0</v>
      </c>
      <c r="E14" s="1">
        <v>0</v>
      </c>
      <c r="F14" s="1">
        <v>0</v>
      </c>
      <c r="G14" s="9">
        <f>SUM(DC_FINANCIAL)</f>
        <v>0</v>
      </c>
      <c r="I14" s="13" t="s">
        <v>24</v>
      </c>
      <c r="J14" s="16">
        <v>784288</v>
      </c>
      <c r="L14" s="6"/>
      <c r="V14" s="9"/>
    </row>
    <row r="15" spans="1:22">
      <c r="A15" s="1" t="s">
        <v>25</v>
      </c>
      <c r="B15" s="6">
        <v>1409.5105336718602</v>
      </c>
      <c r="C15" s="1">
        <v>2373393.5665416829</v>
      </c>
      <c r="D15" s="1">
        <v>0</v>
      </c>
      <c r="E15" s="1">
        <v>0</v>
      </c>
      <c r="F15" s="1">
        <v>0</v>
      </c>
      <c r="G15" s="9">
        <f>SUM(FL_FINANCIAL)</f>
        <v>2374803.0770753548</v>
      </c>
      <c r="I15" s="13" t="s">
        <v>26</v>
      </c>
      <c r="J15" s="16">
        <v>590262.02999999956</v>
      </c>
      <c r="L15" s="6">
        <v>0</v>
      </c>
      <c r="M15" s="1">
        <v>0</v>
      </c>
      <c r="O15" s="1">
        <v>5300000</v>
      </c>
      <c r="P15" s="1">
        <v>142450</v>
      </c>
      <c r="R15" s="1">
        <v>0</v>
      </c>
      <c r="S15" s="1">
        <v>0</v>
      </c>
      <c r="U15" s="1">
        <v>0</v>
      </c>
      <c r="V15" s="9">
        <v>0</v>
      </c>
    </row>
    <row r="16" spans="1:22">
      <c r="A16" s="1" t="s">
        <v>27</v>
      </c>
      <c r="B16" s="6">
        <v>440.00652362093956</v>
      </c>
      <c r="C16" s="1">
        <v>216462.37733216991</v>
      </c>
      <c r="D16" s="1">
        <v>2817.1996630782805</v>
      </c>
      <c r="E16" s="1">
        <v>0</v>
      </c>
      <c r="F16" s="1">
        <v>0</v>
      </c>
      <c r="G16" s="9">
        <f>SUM(GA_FINANCIAL)</f>
        <v>219719.58351886913</v>
      </c>
      <c r="I16" s="13" t="s">
        <v>28</v>
      </c>
      <c r="J16" s="16">
        <v>0</v>
      </c>
      <c r="L16" s="6">
        <v>664</v>
      </c>
      <c r="M16" s="1">
        <v>0</v>
      </c>
      <c r="O16" s="1">
        <v>380963</v>
      </c>
      <c r="P16" s="1">
        <v>1461.13</v>
      </c>
      <c r="R16" s="1">
        <v>0</v>
      </c>
      <c r="S16" s="1">
        <v>0</v>
      </c>
      <c r="U16" s="1">
        <v>0</v>
      </c>
      <c r="V16" s="9">
        <v>0</v>
      </c>
    </row>
    <row r="17" spans="1:22">
      <c r="A17" s="1" t="s">
        <v>29</v>
      </c>
      <c r="B17" s="6">
        <v>0</v>
      </c>
      <c r="C17" s="1">
        <v>9925.8612108935122</v>
      </c>
      <c r="D17" s="1">
        <v>0</v>
      </c>
      <c r="E17" s="1">
        <v>0</v>
      </c>
      <c r="F17" s="1">
        <v>0</v>
      </c>
      <c r="G17" s="9">
        <f>SUM(HI_FINANCIAL)</f>
        <v>9925.8612108935122</v>
      </c>
      <c r="I17" s="13"/>
      <c r="J17" s="16"/>
      <c r="L17" s="6">
        <v>0</v>
      </c>
      <c r="M17" s="1">
        <v>0</v>
      </c>
      <c r="O17" s="1">
        <v>23025</v>
      </c>
      <c r="P17" s="1">
        <v>0</v>
      </c>
      <c r="R17" s="1">
        <v>33</v>
      </c>
      <c r="S17" s="1">
        <v>0</v>
      </c>
      <c r="U17" s="1">
        <v>0</v>
      </c>
      <c r="V17" s="9">
        <v>0</v>
      </c>
    </row>
    <row r="18" spans="1:22">
      <c r="A18" s="1" t="s">
        <v>30</v>
      </c>
      <c r="B18" s="6">
        <v>0</v>
      </c>
      <c r="C18" s="1">
        <v>16726.614513525499</v>
      </c>
      <c r="D18" s="1">
        <v>0</v>
      </c>
      <c r="E18" s="1">
        <v>0</v>
      </c>
      <c r="F18" s="1">
        <v>0</v>
      </c>
      <c r="G18" s="9">
        <f>SUM(ID_FINANCIAL)</f>
        <v>16726.614513525499</v>
      </c>
      <c r="I18" s="13" t="s">
        <v>31</v>
      </c>
      <c r="J18" s="16"/>
      <c r="L18" s="6">
        <v>0</v>
      </c>
      <c r="M18" s="1">
        <v>0</v>
      </c>
      <c r="O18" s="1">
        <v>20000</v>
      </c>
      <c r="P18" s="1">
        <v>0</v>
      </c>
      <c r="R18" s="1">
        <v>0</v>
      </c>
      <c r="S18" s="1">
        <v>0</v>
      </c>
      <c r="U18" s="1">
        <v>0</v>
      </c>
      <c r="V18" s="9">
        <v>0</v>
      </c>
    </row>
    <row r="19" spans="1:22">
      <c r="A19" s="1" t="s">
        <v>32</v>
      </c>
      <c r="B19" s="6">
        <v>0</v>
      </c>
      <c r="C19" s="1">
        <v>19658.363204731722</v>
      </c>
      <c r="D19" s="1">
        <v>0</v>
      </c>
      <c r="E19" s="1">
        <v>0</v>
      </c>
      <c r="F19" s="1">
        <v>0</v>
      </c>
      <c r="G19" s="9">
        <f>SUM(IL_FINANCIAL)</f>
        <v>19658.363204731722</v>
      </c>
      <c r="I19" s="13" t="s">
        <v>33</v>
      </c>
      <c r="J19" s="16">
        <v>81145732</v>
      </c>
      <c r="L19" s="6">
        <v>0</v>
      </c>
      <c r="M19" s="1">
        <v>0</v>
      </c>
      <c r="O19" s="1">
        <v>75000</v>
      </c>
      <c r="P19" s="1">
        <v>0</v>
      </c>
      <c r="R19" s="1">
        <v>0</v>
      </c>
      <c r="S19" s="1">
        <v>0</v>
      </c>
      <c r="U19" s="1">
        <v>0</v>
      </c>
      <c r="V19" s="9">
        <v>0</v>
      </c>
    </row>
    <row r="20" spans="1:22">
      <c r="A20" s="1" t="s">
        <v>34</v>
      </c>
      <c r="B20" s="6">
        <v>0</v>
      </c>
      <c r="C20" s="1">
        <v>76898.382198956475</v>
      </c>
      <c r="D20" s="1">
        <v>0</v>
      </c>
      <c r="E20" s="1">
        <v>0</v>
      </c>
      <c r="F20" s="1">
        <v>0</v>
      </c>
      <c r="G20" s="9">
        <f>SUM(IN_FINANCIAL)</f>
        <v>76898.382198956475</v>
      </c>
      <c r="I20" s="13" t="s">
        <v>35</v>
      </c>
      <c r="J20" s="16">
        <v>-1295162.1681421685</v>
      </c>
      <c r="L20" s="6"/>
      <c r="V20" s="9"/>
    </row>
    <row r="21" spans="1:22">
      <c r="A21" s="1" t="s">
        <v>36</v>
      </c>
      <c r="B21" s="6">
        <v>0</v>
      </c>
      <c r="C21" s="1">
        <v>10536.329283769355</v>
      </c>
      <c r="D21" s="1">
        <v>0</v>
      </c>
      <c r="E21" s="1">
        <v>0</v>
      </c>
      <c r="F21" s="1">
        <v>0</v>
      </c>
      <c r="G21" s="9">
        <f>SUM(IA_FINANCIAL)</f>
        <v>10536.329283769355</v>
      </c>
      <c r="I21" s="13" t="s">
        <v>37</v>
      </c>
      <c r="J21" s="16"/>
      <c r="L21" s="6"/>
      <c r="V21" s="9"/>
    </row>
    <row r="22" spans="1:22">
      <c r="A22" s="1" t="s">
        <v>38</v>
      </c>
      <c r="B22" s="6">
        <v>0</v>
      </c>
      <c r="C22" s="1">
        <v>41181.128435729042</v>
      </c>
      <c r="D22" s="1">
        <v>0</v>
      </c>
      <c r="E22" s="1">
        <v>0</v>
      </c>
      <c r="F22" s="1">
        <v>0</v>
      </c>
      <c r="G22" s="9">
        <f>SUM(KS_FINANCIAL)</f>
        <v>41181.128435729042</v>
      </c>
      <c r="I22" s="13" t="s">
        <v>39</v>
      </c>
      <c r="J22" s="16">
        <v>3477487</v>
      </c>
      <c r="L22" s="6"/>
      <c r="V22" s="9"/>
    </row>
    <row r="23" spans="1:22">
      <c r="A23" s="1" t="s">
        <v>40</v>
      </c>
      <c r="B23" s="6">
        <v>0</v>
      </c>
      <c r="C23" s="1">
        <v>4606.3948058370079</v>
      </c>
      <c r="D23" s="1">
        <v>0</v>
      </c>
      <c r="E23" s="1">
        <v>0</v>
      </c>
      <c r="F23" s="1">
        <v>0</v>
      </c>
      <c r="G23" s="9">
        <f>SUM(KY_FINANCIAL)</f>
        <v>4606.3948058370079</v>
      </c>
      <c r="I23" s="13" t="s">
        <v>41</v>
      </c>
      <c r="J23" s="16"/>
      <c r="L23" s="6"/>
      <c r="V23" s="9"/>
    </row>
    <row r="24" spans="1:22">
      <c r="A24" s="1" t="s">
        <v>42</v>
      </c>
      <c r="B24" s="6">
        <v>37.503581925921424</v>
      </c>
      <c r="C24" s="1">
        <v>105691.68233434166</v>
      </c>
      <c r="D24" s="1">
        <v>0</v>
      </c>
      <c r="E24" s="1">
        <v>0</v>
      </c>
      <c r="F24" s="1">
        <v>0</v>
      </c>
      <c r="G24" s="9">
        <f>SUM(LA_FINANCIAL)</f>
        <v>105729.18591626758</v>
      </c>
      <c r="I24" s="13" t="s">
        <v>43</v>
      </c>
      <c r="J24" s="16">
        <v>15938260.882711198</v>
      </c>
      <c r="L24" s="6">
        <v>3050</v>
      </c>
      <c r="M24" s="1">
        <v>0</v>
      </c>
      <c r="O24" s="1">
        <v>301950</v>
      </c>
      <c r="P24" s="1">
        <v>0</v>
      </c>
      <c r="R24" s="1">
        <v>0</v>
      </c>
      <c r="S24" s="1">
        <v>0</v>
      </c>
      <c r="U24" s="1">
        <v>0</v>
      </c>
      <c r="V24" s="9">
        <v>0</v>
      </c>
    </row>
    <row r="25" spans="1:22">
      <c r="A25" s="1" t="s">
        <v>44</v>
      </c>
      <c r="B25" s="6">
        <v>0</v>
      </c>
      <c r="C25" s="1">
        <v>7400.8863082567514</v>
      </c>
      <c r="D25" s="1">
        <v>0</v>
      </c>
      <c r="E25" s="1">
        <v>0</v>
      </c>
      <c r="F25" s="1">
        <v>0</v>
      </c>
      <c r="G25" s="9">
        <f>SUM(ME_FINANCIAL)</f>
        <v>7400.8863082567514</v>
      </c>
      <c r="I25" s="13"/>
      <c r="J25" s="16"/>
      <c r="L25" s="6">
        <v>0</v>
      </c>
      <c r="M25" s="1">
        <v>0</v>
      </c>
      <c r="O25" s="1">
        <v>0</v>
      </c>
      <c r="P25" s="1">
        <v>0</v>
      </c>
      <c r="R25" s="1">
        <v>0</v>
      </c>
      <c r="S25" s="1">
        <v>0</v>
      </c>
      <c r="U25" s="1">
        <v>0</v>
      </c>
      <c r="V25" s="9">
        <v>0</v>
      </c>
    </row>
    <row r="26" spans="1:22">
      <c r="A26" s="1" t="s">
        <v>45</v>
      </c>
      <c r="B26" s="6">
        <v>0</v>
      </c>
      <c r="C26" s="1">
        <v>37899.479761373979</v>
      </c>
      <c r="D26" s="1">
        <v>0</v>
      </c>
      <c r="E26" s="1">
        <v>0</v>
      </c>
      <c r="F26" s="1">
        <v>0</v>
      </c>
      <c r="G26" s="9">
        <f>SUM(MD_FINANCIAL)</f>
        <v>37899.479761373979</v>
      </c>
      <c r="I26" s="13" t="s">
        <v>46</v>
      </c>
      <c r="J26" s="16">
        <f>SUM(ADD_FINANCIAL)-SUM(LESS_FINANCIAL)</f>
        <v>13133444.315430969</v>
      </c>
      <c r="L26" s="6">
        <v>0</v>
      </c>
      <c r="M26" s="1">
        <v>0</v>
      </c>
      <c r="O26" s="1">
        <v>79000</v>
      </c>
      <c r="P26" s="1">
        <v>0</v>
      </c>
      <c r="R26" s="1">
        <v>0</v>
      </c>
      <c r="S26" s="1">
        <v>0</v>
      </c>
      <c r="U26" s="1">
        <v>0</v>
      </c>
      <c r="V26" s="9">
        <v>0</v>
      </c>
    </row>
    <row r="27" spans="1:22">
      <c r="A27" s="1" t="s">
        <v>47</v>
      </c>
      <c r="B27" s="6">
        <v>0</v>
      </c>
      <c r="C27" s="1">
        <v>0</v>
      </c>
      <c r="D27" s="1">
        <v>0</v>
      </c>
      <c r="E27" s="1">
        <v>0</v>
      </c>
      <c r="F27" s="1">
        <v>0</v>
      </c>
      <c r="G27" s="9">
        <f>SUM(MA_FINANCIAL)</f>
        <v>0</v>
      </c>
      <c r="I27" s="13" t="s">
        <v>48</v>
      </c>
      <c r="J27" s="16">
        <f>SUM(ALL_BLOCKS)</f>
        <v>13133444.315430962</v>
      </c>
      <c r="L27" s="6"/>
      <c r="V27" s="9"/>
    </row>
    <row r="28" spans="1:22">
      <c r="A28" s="1" t="s">
        <v>49</v>
      </c>
      <c r="B28" s="6">
        <v>0</v>
      </c>
      <c r="C28" s="1">
        <v>27886.549318686863</v>
      </c>
      <c r="D28" s="1">
        <v>0</v>
      </c>
      <c r="E28" s="1">
        <v>0</v>
      </c>
      <c r="F28" s="1">
        <v>0</v>
      </c>
      <c r="G28" s="9">
        <f>SUM(MI_FINANCIAL)</f>
        <v>27886.549318686863</v>
      </c>
      <c r="I28" s="14"/>
      <c r="J28" s="17"/>
      <c r="L28" s="6"/>
      <c r="V28" s="9"/>
    </row>
    <row r="29" spans="1:22">
      <c r="A29" s="1" t="s">
        <v>50</v>
      </c>
      <c r="B29" s="6">
        <v>0</v>
      </c>
      <c r="C29" s="1">
        <v>55630.540694449141</v>
      </c>
      <c r="D29" s="1">
        <v>0</v>
      </c>
      <c r="E29" s="1">
        <v>0</v>
      </c>
      <c r="F29" s="1">
        <v>0</v>
      </c>
      <c r="G29" s="9">
        <f>SUM(MN_FINANCIAL)</f>
        <v>55630.540694449141</v>
      </c>
      <c r="L29" s="6">
        <v>0</v>
      </c>
      <c r="M29" s="1">
        <v>0</v>
      </c>
      <c r="O29" s="1">
        <v>125000</v>
      </c>
      <c r="P29" s="1">
        <v>0</v>
      </c>
      <c r="R29" s="1">
        <v>0</v>
      </c>
      <c r="S29" s="1">
        <v>0</v>
      </c>
      <c r="U29" s="1">
        <v>0</v>
      </c>
      <c r="V29" s="9">
        <v>0</v>
      </c>
    </row>
    <row r="30" spans="1:22">
      <c r="A30" s="1" t="s">
        <v>51</v>
      </c>
      <c r="B30" s="6">
        <v>0</v>
      </c>
      <c r="C30" s="1">
        <v>103740.3287881471</v>
      </c>
      <c r="D30" s="1">
        <v>0</v>
      </c>
      <c r="E30" s="1">
        <v>0</v>
      </c>
      <c r="F30" s="1">
        <v>0</v>
      </c>
      <c r="G30" s="9">
        <f>SUM(MS_FINANCIAL)</f>
        <v>103740.3287881471</v>
      </c>
      <c r="L30" s="6">
        <v>288530</v>
      </c>
      <c r="M30" s="1">
        <v>0</v>
      </c>
      <c r="O30" s="1">
        <v>0</v>
      </c>
      <c r="P30" s="1">
        <v>0</v>
      </c>
      <c r="R30" s="1">
        <v>0</v>
      </c>
      <c r="S30" s="1">
        <v>0</v>
      </c>
      <c r="U30" s="1">
        <v>0</v>
      </c>
      <c r="V30" s="9">
        <v>0</v>
      </c>
    </row>
    <row r="31" spans="1:22">
      <c r="A31" s="1" t="s">
        <v>52</v>
      </c>
      <c r="B31" s="6">
        <v>0</v>
      </c>
      <c r="C31" s="1">
        <v>30577.759439716261</v>
      </c>
      <c r="D31" s="1">
        <v>0</v>
      </c>
      <c r="E31" s="1">
        <v>0</v>
      </c>
      <c r="F31" s="1">
        <v>0</v>
      </c>
      <c r="G31" s="9">
        <f>SUM(MO_FINANCIAL)</f>
        <v>30577.759439716261</v>
      </c>
      <c r="L31" s="6"/>
      <c r="V31" s="9"/>
    </row>
    <row r="32" spans="1:22">
      <c r="A32" s="1" t="s">
        <v>53</v>
      </c>
      <c r="B32" s="6">
        <v>0</v>
      </c>
      <c r="C32" s="1">
        <v>21667.005071138585</v>
      </c>
      <c r="D32" s="1">
        <v>0</v>
      </c>
      <c r="E32" s="1">
        <v>0</v>
      </c>
      <c r="F32" s="1">
        <v>0</v>
      </c>
      <c r="G32" s="9">
        <f>SUM(MT_FINANCIAL)</f>
        <v>21667.005071138585</v>
      </c>
      <c r="L32" s="6"/>
      <c r="V32" s="9"/>
    </row>
    <row r="33" spans="1:22">
      <c r="A33" s="1" t="s">
        <v>54</v>
      </c>
      <c r="B33" s="6">
        <v>0</v>
      </c>
      <c r="C33" s="1">
        <v>324355.70437298086</v>
      </c>
      <c r="D33" s="1">
        <v>0</v>
      </c>
      <c r="E33" s="1">
        <v>0</v>
      </c>
      <c r="F33" s="1">
        <v>0</v>
      </c>
      <c r="G33" s="9">
        <f>SUM(NE_FINANCIAL)</f>
        <v>324355.70437298086</v>
      </c>
      <c r="L33" s="6">
        <v>0</v>
      </c>
      <c r="M33" s="1">
        <v>0</v>
      </c>
      <c r="O33" s="1">
        <v>831523</v>
      </c>
      <c r="P33" s="1">
        <v>0</v>
      </c>
      <c r="R33" s="1">
        <v>0</v>
      </c>
      <c r="S33" s="1">
        <v>0</v>
      </c>
      <c r="U33" s="1">
        <v>0</v>
      </c>
      <c r="V33" s="9">
        <v>0</v>
      </c>
    </row>
    <row r="34" spans="1:22">
      <c r="A34" s="1" t="s">
        <v>55</v>
      </c>
      <c r="B34" s="6">
        <v>0</v>
      </c>
      <c r="C34" s="1">
        <v>271397.49351701094</v>
      </c>
      <c r="D34" s="1">
        <v>0</v>
      </c>
      <c r="E34" s="1">
        <v>0</v>
      </c>
      <c r="F34" s="1">
        <v>0</v>
      </c>
      <c r="G34" s="9">
        <f>SUM(NV_FINANCIAL)</f>
        <v>271397.49351701094</v>
      </c>
      <c r="L34" s="6">
        <v>0</v>
      </c>
      <c r="M34" s="1">
        <v>0</v>
      </c>
      <c r="O34" s="1">
        <v>604300</v>
      </c>
      <c r="P34" s="1">
        <v>0</v>
      </c>
      <c r="R34" s="1">
        <v>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1589.7852731383782</v>
      </c>
      <c r="D36" s="1">
        <v>0</v>
      </c>
      <c r="E36" s="1">
        <v>0</v>
      </c>
      <c r="F36" s="1">
        <v>0</v>
      </c>
      <c r="G36" s="9">
        <f>SUM(NJ_FINANCIAL)</f>
        <v>1589.7852731383782</v>
      </c>
      <c r="L36" s="6"/>
      <c r="V36" s="9"/>
    </row>
    <row r="37" spans="1:22">
      <c r="A37" s="1" t="s">
        <v>58</v>
      </c>
      <c r="B37" s="6">
        <v>0</v>
      </c>
      <c r="C37" s="1">
        <v>322942.05497610546</v>
      </c>
      <c r="D37" s="1">
        <v>0</v>
      </c>
      <c r="E37" s="1">
        <v>0</v>
      </c>
      <c r="F37" s="1">
        <v>0</v>
      </c>
      <c r="G37" s="9">
        <f>SUM(NM_FINANCIAL)</f>
        <v>322942.05497610546</v>
      </c>
      <c r="L37" s="6"/>
      <c r="V37" s="9"/>
    </row>
    <row r="38" spans="1:22">
      <c r="A38" s="1" t="s">
        <v>59</v>
      </c>
      <c r="B38" s="6">
        <v>0</v>
      </c>
      <c r="C38" s="1">
        <v>0</v>
      </c>
      <c r="D38" s="1">
        <v>0</v>
      </c>
      <c r="E38" s="1">
        <v>0</v>
      </c>
      <c r="F38" s="1">
        <v>0</v>
      </c>
      <c r="G38" s="9">
        <f>SUM(NY_FINANCIAL)</f>
        <v>0</v>
      </c>
      <c r="L38" s="6"/>
      <c r="V38" s="9"/>
    </row>
    <row r="39" spans="1:22">
      <c r="A39" s="1" t="s">
        <v>60</v>
      </c>
      <c r="B39" s="6">
        <v>0</v>
      </c>
      <c r="C39" s="1">
        <v>556557.90700398572</v>
      </c>
      <c r="D39" s="1">
        <v>0</v>
      </c>
      <c r="E39" s="1">
        <v>0</v>
      </c>
      <c r="F39" s="1">
        <v>0</v>
      </c>
      <c r="G39" s="9">
        <f>SUM(NC_FINANCIAL)</f>
        <v>556557.90700398572</v>
      </c>
      <c r="L39" s="6">
        <v>0</v>
      </c>
      <c r="M39" s="1">
        <v>0</v>
      </c>
      <c r="O39" s="1">
        <v>275000</v>
      </c>
      <c r="P39" s="1">
        <v>175000</v>
      </c>
      <c r="R39" s="1">
        <v>0</v>
      </c>
      <c r="S39" s="1">
        <v>0</v>
      </c>
      <c r="U39" s="1">
        <v>0</v>
      </c>
      <c r="V39" s="9">
        <v>0</v>
      </c>
    </row>
    <row r="40" spans="1:22">
      <c r="A40" s="1" t="s">
        <v>61</v>
      </c>
      <c r="B40" s="6">
        <v>0</v>
      </c>
      <c r="C40" s="1">
        <v>22493.881040071414</v>
      </c>
      <c r="D40" s="1">
        <v>0</v>
      </c>
      <c r="E40" s="1">
        <v>0</v>
      </c>
      <c r="F40" s="1">
        <v>0</v>
      </c>
      <c r="G40" s="9">
        <f>SUM(ND_FINANCIAL)</f>
        <v>22493.881040071414</v>
      </c>
      <c r="L40" s="6">
        <v>0</v>
      </c>
      <c r="M40" s="1">
        <v>0</v>
      </c>
      <c r="O40" s="1">
        <v>86000</v>
      </c>
      <c r="P40" s="1">
        <v>63400</v>
      </c>
      <c r="R40" s="1">
        <v>0</v>
      </c>
      <c r="S40" s="1">
        <v>0</v>
      </c>
      <c r="U40" s="1">
        <v>0</v>
      </c>
      <c r="V40" s="9">
        <v>0</v>
      </c>
    </row>
    <row r="41" spans="1:22">
      <c r="A41" s="1" t="s">
        <v>62</v>
      </c>
      <c r="B41" s="6">
        <v>0</v>
      </c>
      <c r="C41" s="1">
        <v>60393.786333887634</v>
      </c>
      <c r="D41" s="1">
        <v>0</v>
      </c>
      <c r="E41" s="1">
        <v>0</v>
      </c>
      <c r="F41" s="1">
        <v>0</v>
      </c>
      <c r="G41" s="9">
        <f>SUM(OH_FINANCIAL)</f>
        <v>60393.786333887634</v>
      </c>
      <c r="L41" s="6">
        <v>0</v>
      </c>
      <c r="M41" s="1">
        <v>0</v>
      </c>
      <c r="O41" s="1">
        <v>150000</v>
      </c>
      <c r="P41" s="1">
        <v>0</v>
      </c>
      <c r="R41" s="1">
        <v>0</v>
      </c>
      <c r="S41" s="1">
        <v>0</v>
      </c>
      <c r="U41" s="1">
        <v>0</v>
      </c>
      <c r="V41" s="9">
        <v>0</v>
      </c>
    </row>
    <row r="42" spans="1:22">
      <c r="A42" s="1" t="s">
        <v>63</v>
      </c>
      <c r="B42" s="6">
        <v>0</v>
      </c>
      <c r="C42" s="1">
        <v>180263.73770215566</v>
      </c>
      <c r="D42" s="1">
        <v>0</v>
      </c>
      <c r="E42" s="1">
        <v>0</v>
      </c>
      <c r="F42" s="1">
        <v>0</v>
      </c>
      <c r="G42" s="9">
        <f>SUM(OK_FINANCIAL)</f>
        <v>180263.73770215566</v>
      </c>
      <c r="L42" s="6">
        <v>0</v>
      </c>
      <c r="M42" s="1">
        <v>0</v>
      </c>
      <c r="O42" s="1">
        <v>550000</v>
      </c>
      <c r="P42" s="1">
        <v>225000</v>
      </c>
      <c r="R42" s="1">
        <v>0</v>
      </c>
      <c r="S42" s="1">
        <v>0</v>
      </c>
      <c r="U42" s="1">
        <v>0</v>
      </c>
      <c r="V42" s="9">
        <v>0</v>
      </c>
    </row>
    <row r="43" spans="1:22">
      <c r="A43" s="1" t="s">
        <v>64</v>
      </c>
      <c r="B43" s="6">
        <v>0</v>
      </c>
      <c r="C43" s="1">
        <v>42705.059315762992</v>
      </c>
      <c r="D43" s="1">
        <v>0</v>
      </c>
      <c r="E43" s="1">
        <v>0</v>
      </c>
      <c r="F43" s="1">
        <v>0</v>
      </c>
      <c r="G43" s="9">
        <f>SUM(OR_FINANCIAL)</f>
        <v>42705.059315762992</v>
      </c>
      <c r="L43" s="6"/>
      <c r="V43" s="9"/>
    </row>
    <row r="44" spans="1:22">
      <c r="A44" s="1" t="s">
        <v>65</v>
      </c>
      <c r="B44" s="6">
        <v>0</v>
      </c>
      <c r="C44" s="1">
        <v>47280.00365285491</v>
      </c>
      <c r="D44" s="1">
        <v>0</v>
      </c>
      <c r="E44" s="1">
        <v>0</v>
      </c>
      <c r="F44" s="1">
        <v>0</v>
      </c>
      <c r="G44" s="9">
        <f>SUM(PA_FINANCIAL)</f>
        <v>47280.00365285491</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2412.1394232961061</v>
      </c>
      <c r="D48" s="1">
        <v>0</v>
      </c>
      <c r="E48" s="1">
        <v>0</v>
      </c>
      <c r="F48" s="1">
        <v>0</v>
      </c>
      <c r="G48" s="9">
        <f>SUM(SD_FINANCIAL)</f>
        <v>2412.1394232961061</v>
      </c>
      <c r="L48" s="6"/>
      <c r="V48" s="9"/>
    </row>
    <row r="49" spans="1:22">
      <c r="A49" s="1" t="s">
        <v>70</v>
      </c>
      <c r="B49" s="6">
        <v>0</v>
      </c>
      <c r="C49" s="1">
        <v>16853.52908917785</v>
      </c>
      <c r="D49" s="1">
        <v>0</v>
      </c>
      <c r="E49" s="1">
        <v>0</v>
      </c>
      <c r="F49" s="1">
        <v>0</v>
      </c>
      <c r="G49" s="9">
        <f>SUM(TN_FINANCIAL)</f>
        <v>16853.52908917785</v>
      </c>
      <c r="L49" s="6"/>
      <c r="V49" s="9"/>
    </row>
    <row r="50" spans="1:22">
      <c r="A50" s="1" t="s">
        <v>71</v>
      </c>
      <c r="B50" s="6">
        <v>125.51916455641128</v>
      </c>
      <c r="C50" s="1">
        <v>658641.78635584994</v>
      </c>
      <c r="D50" s="1">
        <v>0</v>
      </c>
      <c r="E50" s="1">
        <v>0</v>
      </c>
      <c r="F50" s="1">
        <v>0</v>
      </c>
      <c r="G50" s="9">
        <f>SUM(TX_FINANCIAL)</f>
        <v>658767.30552040634</v>
      </c>
      <c r="L50" s="6">
        <v>62251</v>
      </c>
      <c r="M50" s="1">
        <v>35418.761199999994</v>
      </c>
      <c r="O50" s="1">
        <v>389989</v>
      </c>
      <c r="P50" s="1">
        <v>221890.79959999997</v>
      </c>
      <c r="R50" s="1">
        <v>1148044</v>
      </c>
      <c r="S50" s="1">
        <v>653198.43920000002</v>
      </c>
      <c r="U50" s="1">
        <v>0</v>
      </c>
      <c r="V50" s="9">
        <v>0</v>
      </c>
    </row>
    <row r="51" spans="1:22">
      <c r="A51" s="1" t="s">
        <v>72</v>
      </c>
      <c r="B51" s="6">
        <v>0</v>
      </c>
      <c r="C51" s="1">
        <v>45108.249398668566</v>
      </c>
      <c r="D51" s="1">
        <v>0</v>
      </c>
      <c r="E51" s="1">
        <v>0</v>
      </c>
      <c r="F51" s="1">
        <v>0</v>
      </c>
      <c r="G51" s="9">
        <f>SUM(UT_FINANCIAL)</f>
        <v>45108.249398668566</v>
      </c>
      <c r="L51" s="6">
        <v>0</v>
      </c>
      <c r="M51" s="1">
        <v>0</v>
      </c>
      <c r="O51" s="1">
        <v>95000</v>
      </c>
      <c r="P51" s="1">
        <v>0</v>
      </c>
      <c r="R51" s="1">
        <v>0</v>
      </c>
      <c r="S51" s="1">
        <v>0</v>
      </c>
      <c r="U51" s="1">
        <v>0</v>
      </c>
      <c r="V51" s="9">
        <v>0</v>
      </c>
    </row>
    <row r="52" spans="1:22">
      <c r="A52" s="1" t="s">
        <v>73</v>
      </c>
      <c r="B52" s="6">
        <v>0</v>
      </c>
      <c r="C52" s="1">
        <v>10523.23076014031</v>
      </c>
      <c r="D52" s="1">
        <v>0</v>
      </c>
      <c r="E52" s="1">
        <v>0</v>
      </c>
      <c r="F52" s="1">
        <v>0</v>
      </c>
      <c r="G52" s="9">
        <f>SUM(VT_FINANCIAL)</f>
        <v>10523.23076014031</v>
      </c>
      <c r="L52" s="6">
        <v>0</v>
      </c>
      <c r="M52" s="1">
        <v>0</v>
      </c>
      <c r="O52" s="1">
        <v>0</v>
      </c>
      <c r="P52" s="1">
        <v>0</v>
      </c>
      <c r="R52" s="1">
        <v>0</v>
      </c>
      <c r="S52" s="1">
        <v>0</v>
      </c>
      <c r="U52" s="1">
        <v>0</v>
      </c>
      <c r="V52" s="9">
        <v>0</v>
      </c>
    </row>
    <row r="53" spans="1:22">
      <c r="A53" s="1" t="s">
        <v>74</v>
      </c>
      <c r="B53" s="6">
        <v>0</v>
      </c>
      <c r="C53" s="1">
        <v>157019.44829779377</v>
      </c>
      <c r="D53" s="1">
        <v>0</v>
      </c>
      <c r="E53" s="1">
        <v>0</v>
      </c>
      <c r="F53" s="1">
        <v>0</v>
      </c>
      <c r="G53" s="9">
        <f>SUM(VA_FINANCIAL)</f>
        <v>157019.44829779377</v>
      </c>
      <c r="L53" s="6">
        <v>0</v>
      </c>
      <c r="M53" s="1">
        <v>0</v>
      </c>
      <c r="O53" s="1">
        <v>130000</v>
      </c>
      <c r="P53" s="1">
        <v>0</v>
      </c>
      <c r="R53" s="1">
        <v>10000</v>
      </c>
      <c r="S53" s="1">
        <v>0</v>
      </c>
      <c r="U53" s="1">
        <v>0</v>
      </c>
      <c r="V53" s="9">
        <v>0</v>
      </c>
    </row>
    <row r="54" spans="1:22">
      <c r="A54" s="1" t="s">
        <v>75</v>
      </c>
      <c r="B54" s="6">
        <v>0</v>
      </c>
      <c r="C54" s="1">
        <v>62168.641385456431</v>
      </c>
      <c r="D54" s="1">
        <v>0</v>
      </c>
      <c r="E54" s="1">
        <v>0</v>
      </c>
      <c r="F54" s="1">
        <v>0</v>
      </c>
      <c r="G54" s="9">
        <f>SUM(WA_FINANCIAL)</f>
        <v>62168.641385456431</v>
      </c>
      <c r="L54" s="6">
        <v>0</v>
      </c>
      <c r="M54" s="1">
        <v>0</v>
      </c>
      <c r="O54" s="1">
        <v>60784</v>
      </c>
      <c r="P54" s="1">
        <v>0</v>
      </c>
      <c r="R54" s="1">
        <v>0</v>
      </c>
      <c r="S54" s="1">
        <v>0</v>
      </c>
      <c r="U54" s="1">
        <v>0</v>
      </c>
      <c r="V54" s="9">
        <v>0</v>
      </c>
    </row>
    <row r="55" spans="1:22">
      <c r="A55" s="1" t="s">
        <v>76</v>
      </c>
      <c r="B55" s="6">
        <v>0</v>
      </c>
      <c r="C55" s="1">
        <v>12130.222812729458</v>
      </c>
      <c r="D55" s="1">
        <v>0</v>
      </c>
      <c r="E55" s="1">
        <v>0</v>
      </c>
      <c r="F55" s="1">
        <v>0</v>
      </c>
      <c r="G55" s="9">
        <f>SUM(WV_FINANCIAL)</f>
        <v>12130.222812729458</v>
      </c>
      <c r="L55" s="6">
        <v>0</v>
      </c>
      <c r="M55" s="1">
        <v>0</v>
      </c>
      <c r="O55" s="1">
        <v>0</v>
      </c>
      <c r="P55" s="1">
        <v>163676</v>
      </c>
      <c r="R55" s="1">
        <v>0</v>
      </c>
      <c r="S55" s="1">
        <v>90832</v>
      </c>
      <c r="U55" s="1">
        <v>0</v>
      </c>
      <c r="V55" s="9">
        <v>0</v>
      </c>
    </row>
    <row r="56" spans="1:22">
      <c r="A56" s="1" t="s">
        <v>77</v>
      </c>
      <c r="B56" s="6">
        <v>0</v>
      </c>
      <c r="C56" s="1">
        <v>10864.557248851066</v>
      </c>
      <c r="D56" s="1">
        <v>0</v>
      </c>
      <c r="E56" s="1">
        <v>0</v>
      </c>
      <c r="F56" s="1">
        <v>0</v>
      </c>
      <c r="G56" s="9">
        <f>SUM(WI_FINANCIAL)</f>
        <v>10864.557248851066</v>
      </c>
      <c r="L56" s="6"/>
      <c r="V56" s="9"/>
    </row>
    <row r="57" spans="1:22">
      <c r="A57" s="1" t="s">
        <v>78</v>
      </c>
      <c r="B57" s="6">
        <v>0</v>
      </c>
      <c r="C57" s="1">
        <v>28838.233269121585</v>
      </c>
      <c r="D57" s="1">
        <v>0</v>
      </c>
      <c r="E57" s="1">
        <v>0</v>
      </c>
      <c r="F57" s="1">
        <v>0</v>
      </c>
      <c r="G57" s="9">
        <f>SUM(WY_FINANCIAL)</f>
        <v>28838.233269121585</v>
      </c>
      <c r="L57" s="6">
        <v>0</v>
      </c>
      <c r="M57" s="1">
        <v>0</v>
      </c>
      <c r="O57" s="1">
        <v>90000</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2604.3387856944819</v>
      </c>
      <c r="C60" s="1">
        <f>SUM(ALLOCATED)</f>
        <v>13124792.083000876</v>
      </c>
      <c r="D60" s="1">
        <f>SUM(HEALTH)</f>
        <v>6047.8936443914545</v>
      </c>
      <c r="E60" s="1">
        <f>SUM(UNALLOCATED)</f>
        <v>0</v>
      </c>
      <c r="F60" s="1">
        <f>SUM(LTC)</f>
        <v>0</v>
      </c>
      <c r="G60" s="9">
        <f>SUM(ALL_BLOCKS)</f>
        <v>13133444.315430962</v>
      </c>
      <c r="L60" s="6">
        <f>SUM(LIFE_CALLED)</f>
        <v>576171</v>
      </c>
      <c r="M60" s="1">
        <f>SUM(LIFE_REFUNDED)</f>
        <v>185418.76120000001</v>
      </c>
      <c r="O60" s="1">
        <f>SUM(ALLOC_CALLED)</f>
        <v>24494168</v>
      </c>
      <c r="P60" s="1">
        <f>SUM(ALLOC_REFUNDED)</f>
        <v>42107927.9296</v>
      </c>
      <c r="R60" s="1">
        <f>SUM(HEALTH_CALLED)</f>
        <v>1785577</v>
      </c>
      <c r="S60" s="1">
        <f>SUM(HEALTH_REFUNDED)</f>
        <v>1644030.4391999999</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150</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9906.5173058136097</v>
      </c>
      <c r="C6" s="1">
        <v>551204.86743096728</v>
      </c>
      <c r="D6" s="1">
        <v>0</v>
      </c>
      <c r="E6" s="1">
        <v>0</v>
      </c>
      <c r="F6" s="1">
        <v>0</v>
      </c>
      <c r="G6" s="9">
        <f>SUM(AL_FINANCIAL)</f>
        <v>561111.38473678089</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419826573</v>
      </c>
      <c r="L10" s="6"/>
      <c r="V10" s="9"/>
    </row>
    <row r="11" spans="1:22">
      <c r="A11" s="1" t="s">
        <v>18</v>
      </c>
      <c r="B11" s="6">
        <v>21549.642787684781</v>
      </c>
      <c r="C11" s="1">
        <v>1218525.7336627317</v>
      </c>
      <c r="D11" s="1">
        <v>0</v>
      </c>
      <c r="E11" s="1">
        <v>0</v>
      </c>
      <c r="F11" s="1">
        <v>0</v>
      </c>
      <c r="G11" s="9">
        <f>SUM(CO_FINANCIAL)</f>
        <v>1240075.3764504164</v>
      </c>
      <c r="I11" s="13"/>
      <c r="J11" s="16"/>
      <c r="L11" s="6">
        <v>0</v>
      </c>
      <c r="M11" s="1">
        <v>0</v>
      </c>
      <c r="O11" s="1">
        <v>0</v>
      </c>
      <c r="P11" s="1">
        <v>1924620</v>
      </c>
      <c r="R11" s="1">
        <v>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329370.00857824262</v>
      </c>
      <c r="C13" s="1">
        <v>8147328.1619011927</v>
      </c>
      <c r="D13" s="1">
        <v>0</v>
      </c>
      <c r="E13" s="1">
        <v>0</v>
      </c>
      <c r="F13" s="1">
        <v>0</v>
      </c>
      <c r="G13" s="9">
        <f>SUM(DE_FINANCIAL)</f>
        <v>8476698.1704794355</v>
      </c>
      <c r="I13" s="13" t="s">
        <v>22</v>
      </c>
      <c r="J13" s="16">
        <v>-2321488.0000000005</v>
      </c>
      <c r="L13" s="6">
        <v>3006453</v>
      </c>
      <c r="M13" s="1">
        <v>0</v>
      </c>
      <c r="O13" s="1">
        <v>10258760</v>
      </c>
      <c r="P13" s="1">
        <v>0</v>
      </c>
      <c r="R13" s="1">
        <v>0</v>
      </c>
      <c r="S13" s="1">
        <v>0</v>
      </c>
      <c r="U13" s="1">
        <v>984787</v>
      </c>
      <c r="V13" s="9">
        <v>0</v>
      </c>
    </row>
    <row r="14" spans="1:22">
      <c r="A14" s="1" t="s">
        <v>23</v>
      </c>
      <c r="B14" s="6">
        <v>0</v>
      </c>
      <c r="C14" s="1">
        <v>0</v>
      </c>
      <c r="D14" s="1">
        <v>0</v>
      </c>
      <c r="E14" s="1">
        <v>0</v>
      </c>
      <c r="F14" s="1">
        <v>0</v>
      </c>
      <c r="G14" s="9">
        <f>SUM(DC_FINANCIAL)</f>
        <v>0</v>
      </c>
      <c r="I14" s="13" t="s">
        <v>24</v>
      </c>
      <c r="J14" s="16">
        <v>2861498</v>
      </c>
      <c r="L14" s="6"/>
      <c r="V14" s="9"/>
    </row>
    <row r="15" spans="1:22">
      <c r="A15" s="1" t="s">
        <v>25</v>
      </c>
      <c r="B15" s="6">
        <v>2495301.8225843944</v>
      </c>
      <c r="C15" s="1">
        <v>51319610.579411656</v>
      </c>
      <c r="D15" s="1">
        <v>0</v>
      </c>
      <c r="E15" s="1">
        <v>0</v>
      </c>
      <c r="F15" s="1">
        <v>0</v>
      </c>
      <c r="G15" s="9">
        <f>SUM(FL_FINANCIAL)</f>
        <v>53814912.401996046</v>
      </c>
      <c r="I15" s="13" t="s">
        <v>26</v>
      </c>
      <c r="J15" s="16">
        <v>5701056.0519883716</v>
      </c>
      <c r="L15" s="6">
        <v>0</v>
      </c>
      <c r="M15" s="1">
        <v>0</v>
      </c>
      <c r="O15" s="1">
        <v>85429492</v>
      </c>
      <c r="P15" s="1">
        <v>0</v>
      </c>
      <c r="R15" s="1">
        <v>0</v>
      </c>
      <c r="S15" s="1">
        <v>0</v>
      </c>
      <c r="U15" s="1">
        <v>0</v>
      </c>
      <c r="V15" s="9">
        <v>0</v>
      </c>
    </row>
    <row r="16" spans="1:22">
      <c r="A16" s="1" t="s">
        <v>27</v>
      </c>
      <c r="B16" s="6">
        <v>219368.1516177709</v>
      </c>
      <c r="C16" s="1">
        <v>544873.38885406591</v>
      </c>
      <c r="D16" s="1">
        <v>0</v>
      </c>
      <c r="E16" s="1">
        <v>0</v>
      </c>
      <c r="F16" s="1">
        <v>0</v>
      </c>
      <c r="G16" s="9">
        <f>SUM(GA_FINANCIAL)</f>
        <v>764241.54047183681</v>
      </c>
      <c r="I16" s="13" t="s">
        <v>28</v>
      </c>
      <c r="J16" s="16">
        <v>0</v>
      </c>
      <c r="L16" s="6">
        <v>594918</v>
      </c>
      <c r="M16" s="1">
        <v>0</v>
      </c>
      <c r="O16" s="1">
        <v>1435372</v>
      </c>
      <c r="P16" s="1">
        <v>40044.050000000003</v>
      </c>
      <c r="R16" s="1">
        <v>0</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100737</v>
      </c>
      <c r="L19" s="6"/>
      <c r="V19" s="9"/>
    </row>
    <row r="20" spans="1:22">
      <c r="A20" s="1" t="s">
        <v>34</v>
      </c>
      <c r="B20" s="6">
        <v>90964.075866385043</v>
      </c>
      <c r="C20" s="1">
        <v>6722913.8683758862</v>
      </c>
      <c r="D20" s="1">
        <v>0</v>
      </c>
      <c r="E20" s="1">
        <v>0</v>
      </c>
      <c r="F20" s="1">
        <v>0</v>
      </c>
      <c r="G20" s="9">
        <f>SUM(IN_FINANCIAL)</f>
        <v>6813877.9442422716</v>
      </c>
      <c r="I20" s="13" t="s">
        <v>35</v>
      </c>
      <c r="J20" s="16">
        <v>3944359</v>
      </c>
      <c r="L20" s="6">
        <v>0</v>
      </c>
      <c r="M20" s="1">
        <v>0</v>
      </c>
      <c r="O20" s="1">
        <v>0</v>
      </c>
      <c r="P20" s="1">
        <v>0</v>
      </c>
      <c r="R20" s="1">
        <v>0</v>
      </c>
      <c r="S20" s="1">
        <v>0</v>
      </c>
      <c r="U20" s="1">
        <v>0</v>
      </c>
      <c r="V20" s="9">
        <v>0</v>
      </c>
    </row>
    <row r="21" spans="1:22">
      <c r="A21" s="1" t="s">
        <v>36</v>
      </c>
      <c r="B21" s="6">
        <v>599418.68676869478</v>
      </c>
      <c r="C21" s="1">
        <v>5450751.4064026121</v>
      </c>
      <c r="D21" s="1">
        <v>0</v>
      </c>
      <c r="E21" s="1">
        <v>0</v>
      </c>
      <c r="F21" s="1">
        <v>0</v>
      </c>
      <c r="G21" s="9">
        <f>SUM(IA_FINANCIAL)</f>
        <v>6050170.0931713069</v>
      </c>
      <c r="I21" s="13" t="s">
        <v>37</v>
      </c>
      <c r="J21" s="16"/>
      <c r="L21" s="6">
        <v>811575</v>
      </c>
      <c r="M21" s="1">
        <v>0</v>
      </c>
      <c r="O21" s="1">
        <v>8763450</v>
      </c>
      <c r="P21" s="1">
        <v>0</v>
      </c>
      <c r="R21" s="1">
        <v>0</v>
      </c>
      <c r="S21" s="1">
        <v>0</v>
      </c>
      <c r="U21" s="1">
        <v>0</v>
      </c>
      <c r="V21" s="9">
        <v>0</v>
      </c>
    </row>
    <row r="22" spans="1:22">
      <c r="A22" s="1" t="s">
        <v>38</v>
      </c>
      <c r="B22" s="6">
        <v>37382.926372194212</v>
      </c>
      <c r="C22" s="1">
        <v>799890.78612893424</v>
      </c>
      <c r="D22" s="1">
        <v>0</v>
      </c>
      <c r="E22" s="1">
        <v>0</v>
      </c>
      <c r="F22" s="1">
        <v>0</v>
      </c>
      <c r="G22" s="9">
        <f>SUM(KS_FINANCIAL)</f>
        <v>837273.71250112844</v>
      </c>
      <c r="I22" s="13" t="s">
        <v>39</v>
      </c>
      <c r="J22" s="16">
        <v>17758201</v>
      </c>
      <c r="L22" s="6">
        <v>0</v>
      </c>
      <c r="M22" s="1">
        <v>0</v>
      </c>
      <c r="O22" s="1">
        <v>1150000</v>
      </c>
      <c r="P22" s="1">
        <v>0</v>
      </c>
      <c r="R22" s="1">
        <v>0</v>
      </c>
      <c r="S22" s="1">
        <v>0</v>
      </c>
      <c r="U22" s="1">
        <v>0</v>
      </c>
      <c r="V22" s="9">
        <v>0</v>
      </c>
    </row>
    <row r="23" spans="1:22">
      <c r="A23" s="1" t="s">
        <v>40</v>
      </c>
      <c r="B23" s="6">
        <v>0</v>
      </c>
      <c r="C23" s="1">
        <v>0</v>
      </c>
      <c r="D23" s="1">
        <v>0</v>
      </c>
      <c r="E23" s="1">
        <v>0</v>
      </c>
      <c r="F23" s="1">
        <v>0</v>
      </c>
      <c r="G23" s="9">
        <f>SUM(KY_FINANCIAL)</f>
        <v>0</v>
      </c>
      <c r="I23" s="13" t="s">
        <v>41</v>
      </c>
      <c r="J23" s="16"/>
      <c r="L23" s="6"/>
      <c r="V23" s="9"/>
    </row>
    <row r="24" spans="1:22">
      <c r="A24" s="1" t="s">
        <v>42</v>
      </c>
      <c r="B24" s="6">
        <v>35979.977275532467</v>
      </c>
      <c r="C24" s="1">
        <v>3427794.6587607292</v>
      </c>
      <c r="D24" s="1">
        <v>0</v>
      </c>
      <c r="E24" s="1">
        <v>0</v>
      </c>
      <c r="F24" s="1">
        <v>0</v>
      </c>
      <c r="G24" s="9">
        <f>SUM(LA_FINANCIAL)</f>
        <v>3463774.6360362619</v>
      </c>
      <c r="I24" s="13" t="s">
        <v>43</v>
      </c>
      <c r="J24" s="16">
        <v>252441563.20665845</v>
      </c>
      <c r="L24" s="6">
        <v>137291</v>
      </c>
      <c r="M24" s="1">
        <v>0</v>
      </c>
      <c r="O24" s="1">
        <v>7008009</v>
      </c>
      <c r="P24" s="1">
        <v>0</v>
      </c>
      <c r="R24" s="1">
        <v>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151822778.84532988</v>
      </c>
      <c r="L26" s="6"/>
      <c r="V26" s="9"/>
    </row>
    <row r="27" spans="1:22">
      <c r="A27" s="1" t="s">
        <v>47</v>
      </c>
      <c r="B27" s="6">
        <v>0</v>
      </c>
      <c r="C27" s="1">
        <v>0</v>
      </c>
      <c r="D27" s="1">
        <v>0</v>
      </c>
      <c r="E27" s="1">
        <v>0</v>
      </c>
      <c r="F27" s="1">
        <v>0</v>
      </c>
      <c r="G27" s="9">
        <f>SUM(MA_FINANCIAL)</f>
        <v>0</v>
      </c>
      <c r="I27" s="13" t="s">
        <v>48</v>
      </c>
      <c r="J27" s="16">
        <f>SUM(ALL_BLOCKS)</f>
        <v>151822778.84532994</v>
      </c>
      <c r="L27" s="6"/>
      <c r="V27" s="9"/>
    </row>
    <row r="28" spans="1:22">
      <c r="A28" s="1" t="s">
        <v>49</v>
      </c>
      <c r="B28" s="6">
        <v>932420.00529054645</v>
      </c>
      <c r="C28" s="1">
        <v>26704024.794457234</v>
      </c>
      <c r="D28" s="1">
        <v>0</v>
      </c>
      <c r="E28" s="1">
        <v>0</v>
      </c>
      <c r="F28" s="1">
        <v>0</v>
      </c>
      <c r="G28" s="9">
        <f>SUM(MI_FINANCIAL)</f>
        <v>27636444.79974778</v>
      </c>
      <c r="I28" s="14"/>
      <c r="J28" s="17"/>
      <c r="L28" s="6">
        <v>2450000</v>
      </c>
      <c r="M28" s="1">
        <v>0</v>
      </c>
      <c r="O28" s="1">
        <v>37500000</v>
      </c>
      <c r="P28" s="1">
        <v>5992034</v>
      </c>
      <c r="R28" s="1">
        <v>0</v>
      </c>
      <c r="S28" s="1">
        <v>0</v>
      </c>
      <c r="U28" s="1">
        <v>0</v>
      </c>
      <c r="V28" s="9">
        <v>0</v>
      </c>
    </row>
    <row r="29" spans="1:22">
      <c r="A29" s="1" t="s">
        <v>50</v>
      </c>
      <c r="B29" s="6">
        <v>0</v>
      </c>
      <c r="C29" s="1">
        <v>0</v>
      </c>
      <c r="D29" s="1">
        <v>0</v>
      </c>
      <c r="E29" s="1">
        <v>0</v>
      </c>
      <c r="F29" s="1">
        <v>0</v>
      </c>
      <c r="G29" s="9">
        <f>SUM(MN_FINANCIAL)</f>
        <v>0</v>
      </c>
      <c r="L29" s="6"/>
      <c r="V29" s="9"/>
    </row>
    <row r="30" spans="1:22">
      <c r="A30" s="1" t="s">
        <v>51</v>
      </c>
      <c r="B30" s="6">
        <v>6557.7040708913555</v>
      </c>
      <c r="C30" s="1">
        <v>3151387.2900141217</v>
      </c>
      <c r="D30" s="1">
        <v>0</v>
      </c>
      <c r="E30" s="1">
        <v>0</v>
      </c>
      <c r="F30" s="1">
        <v>0</v>
      </c>
      <c r="G30" s="9">
        <f>SUM(MS_FINANCIAL)</f>
        <v>3157944.9940850129</v>
      </c>
      <c r="L30" s="6">
        <v>3954136</v>
      </c>
      <c r="M30" s="1">
        <v>0</v>
      </c>
      <c r="O30" s="1">
        <v>3293237</v>
      </c>
      <c r="P30" s="1">
        <v>0</v>
      </c>
      <c r="R30" s="1">
        <v>0</v>
      </c>
      <c r="S30" s="1">
        <v>0</v>
      </c>
      <c r="U30" s="1">
        <v>1549049</v>
      </c>
      <c r="V30" s="9">
        <v>0</v>
      </c>
    </row>
    <row r="31" spans="1:22">
      <c r="A31" s="1" t="s">
        <v>52</v>
      </c>
      <c r="B31" s="6">
        <v>78451.49307908339</v>
      </c>
      <c r="C31" s="1">
        <v>1722048.9116233727</v>
      </c>
      <c r="D31" s="1">
        <v>0</v>
      </c>
      <c r="E31" s="1">
        <v>0</v>
      </c>
      <c r="F31" s="1">
        <v>0</v>
      </c>
      <c r="G31" s="9">
        <f>SUM(MO_FINANCIAL)</f>
        <v>1800500.4047024562</v>
      </c>
      <c r="L31" s="6">
        <v>290680</v>
      </c>
      <c r="M31" s="1">
        <v>0</v>
      </c>
      <c r="O31" s="1">
        <v>4195650</v>
      </c>
      <c r="P31" s="1">
        <v>0</v>
      </c>
      <c r="R31" s="1">
        <v>0</v>
      </c>
      <c r="S31" s="1">
        <v>0</v>
      </c>
      <c r="U31" s="1">
        <v>0</v>
      </c>
      <c r="V31" s="9">
        <v>0</v>
      </c>
    </row>
    <row r="32" spans="1:22">
      <c r="A32" s="1" t="s">
        <v>53</v>
      </c>
      <c r="B32" s="6">
        <v>0</v>
      </c>
      <c r="C32" s="1">
        <v>-9587.637787681233</v>
      </c>
      <c r="D32" s="1">
        <v>0</v>
      </c>
      <c r="E32" s="1">
        <v>0</v>
      </c>
      <c r="F32" s="1">
        <v>0</v>
      </c>
      <c r="G32" s="9">
        <f>SUM(MT_FINANCIAL)</f>
        <v>-9587.637787681233</v>
      </c>
      <c r="L32" s="6"/>
      <c r="V32" s="9"/>
    </row>
    <row r="33" spans="1:22">
      <c r="A33" s="1" t="s">
        <v>54</v>
      </c>
      <c r="B33" s="6">
        <v>134089.86083207128</v>
      </c>
      <c r="C33" s="1">
        <v>2248098.8512327159</v>
      </c>
      <c r="D33" s="1">
        <v>0</v>
      </c>
      <c r="E33" s="1">
        <v>0</v>
      </c>
      <c r="F33" s="1">
        <v>0</v>
      </c>
      <c r="G33" s="9">
        <f>SUM(NE_FINANCIAL)</f>
        <v>2382188.7120647873</v>
      </c>
      <c r="L33" s="6">
        <v>206913</v>
      </c>
      <c r="M33" s="1">
        <v>0</v>
      </c>
      <c r="O33" s="1">
        <v>3856826</v>
      </c>
      <c r="P33" s="1">
        <v>0</v>
      </c>
      <c r="R33" s="1">
        <v>0</v>
      </c>
      <c r="S33" s="1">
        <v>0</v>
      </c>
      <c r="U33" s="1">
        <v>0</v>
      </c>
      <c r="V33" s="9">
        <v>0</v>
      </c>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-3268.3067778092463</v>
      </c>
      <c r="C37" s="1">
        <v>-19707.279085258051</v>
      </c>
      <c r="D37" s="1">
        <v>0</v>
      </c>
      <c r="E37" s="1">
        <v>0</v>
      </c>
      <c r="F37" s="1">
        <v>0</v>
      </c>
      <c r="G37" s="9">
        <f>SUM(NM_FINANCIAL)</f>
        <v>-22975.585863067296</v>
      </c>
      <c r="L37" s="6">
        <v>0</v>
      </c>
      <c r="M37" s="1">
        <v>0</v>
      </c>
      <c r="O37" s="1">
        <v>90000</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70666.026097952374</v>
      </c>
      <c r="D40" s="1">
        <v>0</v>
      </c>
      <c r="E40" s="1">
        <v>0</v>
      </c>
      <c r="F40" s="1">
        <v>0</v>
      </c>
      <c r="G40" s="9">
        <f>SUM(ND_FINANCIAL)</f>
        <v>70666.026097952374</v>
      </c>
      <c r="L40" s="6">
        <v>0</v>
      </c>
      <c r="M40" s="1">
        <v>0</v>
      </c>
      <c r="O40" s="1">
        <v>105700</v>
      </c>
      <c r="P40" s="1">
        <v>0</v>
      </c>
      <c r="R40" s="1">
        <v>0</v>
      </c>
      <c r="S40" s="1">
        <v>0</v>
      </c>
      <c r="U40" s="1">
        <v>0</v>
      </c>
      <c r="V40" s="9">
        <v>0</v>
      </c>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19925.613649618346</v>
      </c>
      <c r="C47" s="1">
        <v>37388.062493004429</v>
      </c>
      <c r="D47" s="1">
        <v>0</v>
      </c>
      <c r="E47" s="1">
        <v>0</v>
      </c>
      <c r="F47" s="1">
        <v>0</v>
      </c>
      <c r="G47" s="9">
        <f>SUM(SC_FINANCIAL)</f>
        <v>57313.676142622775</v>
      </c>
      <c r="L47" s="6"/>
      <c r="V47" s="9"/>
    </row>
    <row r="48" spans="1:22">
      <c r="A48" s="1" t="s">
        <v>69</v>
      </c>
      <c r="B48" s="6">
        <v>0</v>
      </c>
      <c r="C48" s="1">
        <v>49338.298172827359</v>
      </c>
      <c r="D48" s="1">
        <v>0</v>
      </c>
      <c r="E48" s="1">
        <v>0</v>
      </c>
      <c r="F48" s="1">
        <v>0</v>
      </c>
      <c r="G48" s="9">
        <f>SUM(SD_FINANCIAL)</f>
        <v>49338.298172827359</v>
      </c>
      <c r="L48" s="6">
        <v>0</v>
      </c>
      <c r="M48" s="1">
        <v>0</v>
      </c>
      <c r="O48" s="1">
        <v>122999</v>
      </c>
      <c r="P48" s="1">
        <v>0</v>
      </c>
      <c r="R48" s="1">
        <v>0</v>
      </c>
      <c r="S48" s="1">
        <v>0</v>
      </c>
      <c r="U48" s="1">
        <v>0</v>
      </c>
      <c r="V48" s="9">
        <v>0</v>
      </c>
    </row>
    <row r="49" spans="1:22">
      <c r="A49" s="1" t="s">
        <v>70</v>
      </c>
      <c r="B49" s="6">
        <v>106178.92260672897</v>
      </c>
      <c r="C49" s="1">
        <v>7974397.0496940129</v>
      </c>
      <c r="D49" s="1">
        <v>0</v>
      </c>
      <c r="E49" s="1">
        <v>0</v>
      </c>
      <c r="F49" s="1">
        <v>0</v>
      </c>
      <c r="G49" s="9">
        <f>SUM(TN_FINANCIAL)</f>
        <v>8080575.9723007418</v>
      </c>
      <c r="L49" s="6">
        <v>275000</v>
      </c>
      <c r="M49" s="1">
        <v>0</v>
      </c>
      <c r="O49" s="1">
        <v>22000000</v>
      </c>
      <c r="P49" s="1">
        <v>0</v>
      </c>
      <c r="R49" s="1">
        <v>0</v>
      </c>
      <c r="S49" s="1">
        <v>0</v>
      </c>
      <c r="U49" s="1">
        <v>0</v>
      </c>
      <c r="V49" s="9">
        <v>0</v>
      </c>
    </row>
    <row r="50" spans="1:22">
      <c r="A50" s="1" t="s">
        <v>71</v>
      </c>
      <c r="B50" s="6">
        <v>336969.89359700761</v>
      </c>
      <c r="C50" s="1">
        <v>24665268.736596681</v>
      </c>
      <c r="D50" s="1">
        <v>0</v>
      </c>
      <c r="E50" s="1">
        <v>0</v>
      </c>
      <c r="F50" s="1">
        <v>0</v>
      </c>
      <c r="G50" s="9">
        <f>SUM(TX_FINANCIAL)</f>
        <v>25002238.630193688</v>
      </c>
      <c r="L50" s="6">
        <v>762331</v>
      </c>
      <c r="M50" s="1">
        <v>176299.488132</v>
      </c>
      <c r="O50" s="1">
        <v>47665333</v>
      </c>
      <c r="P50" s="1">
        <v>11052967.271868</v>
      </c>
      <c r="R50" s="1">
        <v>0</v>
      </c>
      <c r="S50" s="1">
        <v>0</v>
      </c>
      <c r="U50" s="1">
        <v>0</v>
      </c>
      <c r="V50" s="9">
        <v>0</v>
      </c>
    </row>
    <row r="51" spans="1:22">
      <c r="A51" s="1" t="s">
        <v>72</v>
      </c>
      <c r="B51" s="6">
        <v>0</v>
      </c>
      <c r="C51" s="1">
        <v>-19448.764207910848</v>
      </c>
      <c r="D51" s="1">
        <v>0</v>
      </c>
      <c r="E51" s="1">
        <v>0</v>
      </c>
      <c r="F51" s="1">
        <v>0</v>
      </c>
      <c r="G51" s="9">
        <f>SUM(UT_FINANCIAL)</f>
        <v>-19448.764207910848</v>
      </c>
      <c r="L51" s="6">
        <v>0</v>
      </c>
      <c r="M51" s="1">
        <v>0</v>
      </c>
      <c r="O51" s="1">
        <v>67000</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72481.133855315129</v>
      </c>
      <c r="C55" s="1">
        <v>1542962.9257399142</v>
      </c>
      <c r="D55" s="1">
        <v>0</v>
      </c>
      <c r="E55" s="1">
        <v>0</v>
      </c>
      <c r="F55" s="1">
        <v>0</v>
      </c>
      <c r="G55" s="9">
        <f>SUM(WV_FINANCIAL)</f>
        <v>1615444.0595952293</v>
      </c>
      <c r="L55" s="6">
        <v>778453</v>
      </c>
      <c r="M55" s="1">
        <v>76456</v>
      </c>
      <c r="O55" s="1">
        <v>3419739</v>
      </c>
      <c r="P55" s="1">
        <v>2684689</v>
      </c>
      <c r="R55" s="1">
        <v>0</v>
      </c>
      <c r="S55" s="1">
        <v>0</v>
      </c>
      <c r="U55" s="1">
        <v>51813</v>
      </c>
      <c r="V55" s="9">
        <v>0</v>
      </c>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5523048.1293601664</v>
      </c>
      <c r="C60" s="1">
        <f>SUM(ALLOCATED)</f>
        <v>146299730.71596977</v>
      </c>
      <c r="D60" s="1">
        <f>SUM(HEALTH)</f>
        <v>0</v>
      </c>
      <c r="E60" s="1">
        <f>SUM(UNALLOCATED)</f>
        <v>0</v>
      </c>
      <c r="F60" s="1">
        <f>SUM(LTC)</f>
        <v>0</v>
      </c>
      <c r="G60" s="9">
        <f>SUM(ALL_BLOCKS)</f>
        <v>151822778.84532994</v>
      </c>
      <c r="L60" s="6">
        <f>SUM(LIFE_CALLED)</f>
        <v>13267750</v>
      </c>
      <c r="M60" s="1">
        <f>SUM(LIFE_REFUNDED)</f>
        <v>252755.488132</v>
      </c>
      <c r="O60" s="1">
        <f>SUM(ALLOC_CALLED)</f>
        <v>236361567</v>
      </c>
      <c r="P60" s="1">
        <f>SUM(ALLOC_REFUNDED)</f>
        <v>21694354.321867999</v>
      </c>
      <c r="R60" s="1">
        <f>SUM(HEALTH_CALLED)</f>
        <v>0</v>
      </c>
      <c r="S60" s="1">
        <f>SUM(HEALTH_REFUNDED)</f>
        <v>0</v>
      </c>
      <c r="U60" s="1">
        <f>SUM(UNALLOC_CALLED)</f>
        <v>2585649</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151</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28839.725292037372</v>
      </c>
      <c r="C6" s="1">
        <v>0</v>
      </c>
      <c r="D6" s="1">
        <v>5837.0632588356602</v>
      </c>
      <c r="E6" s="1">
        <v>0</v>
      </c>
      <c r="F6" s="1">
        <v>0</v>
      </c>
      <c r="G6" s="9">
        <f>SUM(AL_FINANCIAL)</f>
        <v>34676.788550873032</v>
      </c>
      <c r="L6" s="6"/>
      <c r="V6" s="9"/>
    </row>
    <row r="7" spans="1:22">
      <c r="A7" s="1" t="s">
        <v>12</v>
      </c>
      <c r="B7" s="6">
        <v>0</v>
      </c>
      <c r="C7" s="1">
        <v>0</v>
      </c>
      <c r="D7" s="1">
        <v>0</v>
      </c>
      <c r="E7" s="1">
        <v>0</v>
      </c>
      <c r="F7" s="1">
        <v>0</v>
      </c>
      <c r="G7" s="9">
        <f>SUM(AK_FINANCIAL)</f>
        <v>0</v>
      </c>
      <c r="I7" s="12"/>
      <c r="J7" s="15"/>
      <c r="L7" s="6"/>
      <c r="V7" s="9"/>
    </row>
    <row r="8" spans="1:22">
      <c r="A8" s="1" t="s">
        <v>13</v>
      </c>
      <c r="B8" s="6">
        <v>114734.841775286</v>
      </c>
      <c r="C8" s="1">
        <v>0</v>
      </c>
      <c r="D8" s="1">
        <v>260912.97397709903</v>
      </c>
      <c r="E8" s="1">
        <v>0</v>
      </c>
      <c r="F8" s="1">
        <v>0</v>
      </c>
      <c r="G8" s="9">
        <f>SUM(AZ_FINANCIAL)</f>
        <v>375647.81575238501</v>
      </c>
      <c r="I8" s="13" t="s">
        <v>14</v>
      </c>
      <c r="J8" s="16"/>
      <c r="L8" s="6"/>
      <c r="V8" s="9"/>
    </row>
    <row r="9" spans="1:22">
      <c r="A9" s="1" t="s">
        <v>15</v>
      </c>
      <c r="B9" s="6">
        <v>-103431.31615944506</v>
      </c>
      <c r="C9" s="1">
        <v>0</v>
      </c>
      <c r="D9" s="1">
        <v>52495.345976817887</v>
      </c>
      <c r="E9" s="1">
        <v>0</v>
      </c>
      <c r="F9" s="1">
        <v>0</v>
      </c>
      <c r="G9" s="9">
        <f>SUM(AR_FINANCIAL)</f>
        <v>-50935.970182627178</v>
      </c>
      <c r="I9" s="13"/>
      <c r="J9" s="16"/>
      <c r="L9" s="6">
        <v>0</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241499783.76864415</v>
      </c>
      <c r="L10" s="6"/>
      <c r="V10" s="9"/>
    </row>
    <row r="11" spans="1:22">
      <c r="A11" s="1" t="s">
        <v>18</v>
      </c>
      <c r="B11" s="6">
        <v>192399.87161051491</v>
      </c>
      <c r="C11" s="1">
        <v>0</v>
      </c>
      <c r="D11" s="1">
        <v>1395610.4459430934</v>
      </c>
      <c r="E11" s="1">
        <v>0</v>
      </c>
      <c r="F11" s="1">
        <v>0</v>
      </c>
      <c r="G11" s="9">
        <f>SUM(CO_FINANCIAL)</f>
        <v>1588010.3175536082</v>
      </c>
      <c r="I11" s="13"/>
      <c r="J11" s="16"/>
      <c r="L11" s="6">
        <v>0</v>
      </c>
      <c r="M11" s="1">
        <v>0</v>
      </c>
      <c r="O11" s="1">
        <v>0</v>
      </c>
      <c r="P11" s="1">
        <v>0</v>
      </c>
      <c r="R11" s="1">
        <v>582723</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75893758.683750048</v>
      </c>
      <c r="L13" s="6"/>
      <c r="V13" s="9"/>
    </row>
    <row r="14" spans="1:22">
      <c r="A14" s="1" t="s">
        <v>23</v>
      </c>
      <c r="B14" s="6">
        <v>0</v>
      </c>
      <c r="C14" s="1">
        <v>0</v>
      </c>
      <c r="D14" s="1">
        <v>0</v>
      </c>
      <c r="E14" s="1">
        <v>0</v>
      </c>
      <c r="F14" s="1">
        <v>0</v>
      </c>
      <c r="G14" s="9">
        <f>SUM(DC_FINANCIAL)</f>
        <v>0</v>
      </c>
      <c r="I14" s="13" t="s">
        <v>24</v>
      </c>
      <c r="J14" s="16">
        <v>5543617.8699999992</v>
      </c>
      <c r="L14" s="6"/>
      <c r="V14" s="9"/>
    </row>
    <row r="15" spans="1:22">
      <c r="A15" s="1" t="s">
        <v>25</v>
      </c>
      <c r="B15" s="6">
        <v>152048.83243065281</v>
      </c>
      <c r="C15" s="1">
        <v>0</v>
      </c>
      <c r="D15" s="1">
        <v>48738027.256068856</v>
      </c>
      <c r="E15" s="1">
        <v>0</v>
      </c>
      <c r="F15" s="1">
        <v>0</v>
      </c>
      <c r="G15" s="9">
        <f>SUM(FL_FINANCIAL)</f>
        <v>48890076.088499509</v>
      </c>
      <c r="I15" s="13" t="s">
        <v>26</v>
      </c>
      <c r="J15" s="16">
        <v>18043946.634424217</v>
      </c>
      <c r="L15" s="6">
        <v>0</v>
      </c>
      <c r="M15" s="1">
        <v>0</v>
      </c>
      <c r="O15" s="1">
        <v>0</v>
      </c>
      <c r="P15" s="1">
        <v>0</v>
      </c>
      <c r="R15" s="1">
        <v>40754412</v>
      </c>
      <c r="S15" s="1">
        <v>0</v>
      </c>
      <c r="U15" s="1">
        <v>0</v>
      </c>
      <c r="V15" s="9">
        <v>0</v>
      </c>
    </row>
    <row r="16" spans="1:22">
      <c r="A16" s="1" t="s">
        <v>27</v>
      </c>
      <c r="B16" s="6">
        <v>595446.94911701628</v>
      </c>
      <c r="C16" s="1">
        <v>0</v>
      </c>
      <c r="D16" s="1">
        <v>6652807.7169353394</v>
      </c>
      <c r="E16" s="1">
        <v>0</v>
      </c>
      <c r="F16" s="1">
        <v>0</v>
      </c>
      <c r="G16" s="9">
        <f>SUM(GA_FINANCIAL)</f>
        <v>7248254.6660523554</v>
      </c>
      <c r="I16" s="13" t="s">
        <v>28</v>
      </c>
      <c r="J16" s="16">
        <v>44341501.625391588</v>
      </c>
      <c r="L16" s="6">
        <v>0</v>
      </c>
      <c r="M16" s="1">
        <v>0</v>
      </c>
      <c r="O16" s="1">
        <v>0</v>
      </c>
      <c r="P16" s="1">
        <v>0</v>
      </c>
      <c r="R16" s="1">
        <v>6697786</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148352.25539236586</v>
      </c>
      <c r="C18" s="1">
        <v>0</v>
      </c>
      <c r="D18" s="1">
        <v>303397.86914615764</v>
      </c>
      <c r="E18" s="1">
        <v>0</v>
      </c>
      <c r="F18" s="1">
        <v>0</v>
      </c>
      <c r="G18" s="9">
        <f>SUM(ID_FINANCIAL)</f>
        <v>451750.12453852349</v>
      </c>
      <c r="I18" s="13" t="s">
        <v>31</v>
      </c>
      <c r="J18" s="16"/>
      <c r="L18" s="6">
        <v>0</v>
      </c>
      <c r="M18" s="1">
        <v>0</v>
      </c>
      <c r="O18" s="1">
        <v>0</v>
      </c>
      <c r="P18" s="1">
        <v>0</v>
      </c>
      <c r="R18" s="1">
        <v>150000</v>
      </c>
      <c r="S18" s="1">
        <v>0</v>
      </c>
      <c r="U18" s="1">
        <v>0</v>
      </c>
      <c r="V18" s="9">
        <v>0</v>
      </c>
    </row>
    <row r="19" spans="1:22">
      <c r="A19" s="1" t="s">
        <v>32</v>
      </c>
      <c r="B19" s="6">
        <v>102485.21426701917</v>
      </c>
      <c r="C19" s="1">
        <v>0</v>
      </c>
      <c r="D19" s="1">
        <v>13853105.848917404</v>
      </c>
      <c r="E19" s="1">
        <v>0</v>
      </c>
      <c r="F19" s="1">
        <v>0</v>
      </c>
      <c r="G19" s="9">
        <f>SUM(IL_FINANCIAL)</f>
        <v>13955591.063184423</v>
      </c>
      <c r="I19" s="13" t="s">
        <v>33</v>
      </c>
      <c r="J19" s="16">
        <v>122591863.19707078</v>
      </c>
      <c r="L19" s="6">
        <v>300000</v>
      </c>
      <c r="M19" s="1">
        <v>0</v>
      </c>
      <c r="O19" s="1">
        <v>0</v>
      </c>
      <c r="P19" s="1">
        <v>0</v>
      </c>
      <c r="R19" s="1">
        <v>13000000</v>
      </c>
      <c r="S19" s="1">
        <v>0</v>
      </c>
      <c r="U19" s="1">
        <v>0</v>
      </c>
      <c r="V19" s="9">
        <v>0</v>
      </c>
    </row>
    <row r="20" spans="1:22">
      <c r="A20" s="1" t="s">
        <v>34</v>
      </c>
      <c r="B20" s="6">
        <v>52242.294258587863</v>
      </c>
      <c r="C20" s="1">
        <v>0</v>
      </c>
      <c r="D20" s="1">
        <v>1436293.4821362693</v>
      </c>
      <c r="E20" s="1">
        <v>0</v>
      </c>
      <c r="F20" s="1">
        <v>0</v>
      </c>
      <c r="G20" s="9">
        <f>SUM(IN_FINANCIAL)</f>
        <v>1488535.7763948571</v>
      </c>
      <c r="I20" s="13" t="s">
        <v>35</v>
      </c>
      <c r="J20" s="16">
        <v>115858380.67951848</v>
      </c>
      <c r="L20" s="6"/>
      <c r="V20" s="9"/>
    </row>
    <row r="21" spans="1:22">
      <c r="A21" s="1" t="s">
        <v>36</v>
      </c>
      <c r="B21" s="6">
        <v>483170.24378954968</v>
      </c>
      <c r="C21" s="1">
        <v>0</v>
      </c>
      <c r="D21" s="1">
        <v>546957.14838514326</v>
      </c>
      <c r="E21" s="1">
        <v>0</v>
      </c>
      <c r="F21" s="1">
        <v>0</v>
      </c>
      <c r="G21" s="9">
        <f>SUM(IA_FINANCIAL)</f>
        <v>1030127.3921746929</v>
      </c>
      <c r="I21" s="13" t="s">
        <v>37</v>
      </c>
      <c r="J21" s="16"/>
      <c r="L21" s="6">
        <v>0</v>
      </c>
      <c r="M21" s="1">
        <v>0</v>
      </c>
      <c r="O21" s="1">
        <v>0</v>
      </c>
      <c r="P21" s="1">
        <v>0</v>
      </c>
      <c r="R21" s="1">
        <v>200000</v>
      </c>
      <c r="S21" s="1">
        <v>0</v>
      </c>
      <c r="U21" s="1">
        <v>0</v>
      </c>
      <c r="V21" s="9">
        <v>0</v>
      </c>
    </row>
    <row r="22" spans="1:22">
      <c r="A22" s="1" t="s">
        <v>38</v>
      </c>
      <c r="B22" s="6">
        <v>83100.739092713324</v>
      </c>
      <c r="C22" s="1">
        <v>0</v>
      </c>
      <c r="D22" s="1">
        <v>212562.81215050063</v>
      </c>
      <c r="E22" s="1">
        <v>0</v>
      </c>
      <c r="F22" s="1">
        <v>0</v>
      </c>
      <c r="G22" s="9">
        <f>SUM(KS_FINANCIAL)</f>
        <v>295663.55124321394</v>
      </c>
      <c r="I22" s="13" t="s">
        <v>39</v>
      </c>
      <c r="J22" s="16">
        <v>0</v>
      </c>
      <c r="L22" s="6"/>
      <c r="V22" s="9"/>
    </row>
    <row r="23" spans="1:22">
      <c r="A23" s="1" t="s">
        <v>40</v>
      </c>
      <c r="B23" s="6">
        <v>117017.14196816902</v>
      </c>
      <c r="C23" s="1">
        <v>0</v>
      </c>
      <c r="D23" s="1">
        <v>17500109.19433761</v>
      </c>
      <c r="E23" s="1">
        <v>0</v>
      </c>
      <c r="F23" s="1">
        <v>0</v>
      </c>
      <c r="G23" s="9">
        <f>SUM(KY_FINANCIAL)</f>
        <v>17617126.336305778</v>
      </c>
      <c r="I23" s="13" t="s">
        <v>41</v>
      </c>
      <c r="J23" s="16"/>
      <c r="L23" s="6">
        <v>0</v>
      </c>
      <c r="M23" s="1">
        <v>0</v>
      </c>
      <c r="O23" s="1">
        <v>0</v>
      </c>
      <c r="P23" s="1">
        <v>0</v>
      </c>
      <c r="R23" s="1">
        <v>19306391</v>
      </c>
      <c r="S23" s="1">
        <v>0</v>
      </c>
      <c r="U23" s="1">
        <v>0</v>
      </c>
      <c r="V23" s="9">
        <v>0</v>
      </c>
    </row>
    <row r="24" spans="1:22">
      <c r="A24" s="1" t="s">
        <v>42</v>
      </c>
      <c r="B24" s="6">
        <v>235414.17450310019</v>
      </c>
      <c r="C24" s="1">
        <v>0</v>
      </c>
      <c r="D24" s="1">
        <v>822272.2902304437</v>
      </c>
      <c r="E24" s="1">
        <v>0</v>
      </c>
      <c r="F24" s="1">
        <v>0</v>
      </c>
      <c r="G24" s="9">
        <f>SUM(LA_FINANCIAL)</f>
        <v>1057686.4647335438</v>
      </c>
      <c r="I24" s="13" t="s">
        <v>43</v>
      </c>
      <c r="J24" s="16">
        <v>12395700.880000003</v>
      </c>
      <c r="L24" s="6"/>
      <c r="V24" s="9"/>
    </row>
    <row r="25" spans="1:22">
      <c r="A25" s="1" t="s">
        <v>44</v>
      </c>
      <c r="B25" s="6">
        <v>0</v>
      </c>
      <c r="C25" s="1">
        <v>0</v>
      </c>
      <c r="D25" s="1">
        <v>0</v>
      </c>
      <c r="E25" s="1">
        <v>0</v>
      </c>
      <c r="F25" s="1">
        <v>0</v>
      </c>
      <c r="G25" s="9">
        <f>SUM(ME_FINANCIAL)</f>
        <v>0</v>
      </c>
      <c r="I25" s="13"/>
      <c r="J25" s="16"/>
      <c r="L25" s="6"/>
      <c r="V25" s="9"/>
    </row>
    <row r="26" spans="1:22">
      <c r="A26" s="1" t="s">
        <v>45</v>
      </c>
      <c r="B26" s="6">
        <v>-36578.356147011873</v>
      </c>
      <c r="C26" s="1">
        <v>0</v>
      </c>
      <c r="D26" s="1">
        <v>425631.93563134584</v>
      </c>
      <c r="E26" s="1">
        <v>0</v>
      </c>
      <c r="F26" s="1">
        <v>0</v>
      </c>
      <c r="G26" s="9">
        <f>SUM(MD_FINANCIAL)</f>
        <v>389053.57948433398</v>
      </c>
      <c r="I26" s="13" t="s">
        <v>46</v>
      </c>
      <c r="J26" s="16">
        <f>SUM(ADD_FINANCIAL)-SUM(LESS_FINANCIAL)</f>
        <v>134476663.82562077</v>
      </c>
      <c r="L26" s="6"/>
      <c r="V26" s="9"/>
    </row>
    <row r="27" spans="1:22">
      <c r="A27" s="1" t="s">
        <v>47</v>
      </c>
      <c r="B27" s="6">
        <v>0</v>
      </c>
      <c r="C27" s="1">
        <v>0</v>
      </c>
      <c r="D27" s="1">
        <v>0</v>
      </c>
      <c r="E27" s="1">
        <v>0</v>
      </c>
      <c r="F27" s="1">
        <v>0</v>
      </c>
      <c r="G27" s="9">
        <f>SUM(MA_FINANCIAL)</f>
        <v>0</v>
      </c>
      <c r="I27" s="13" t="s">
        <v>48</v>
      </c>
      <c r="J27" s="16">
        <f>SUM(ALL_BLOCKS)</f>
        <v>134476663.8256208</v>
      </c>
      <c r="L27" s="6"/>
      <c r="V27" s="9"/>
    </row>
    <row r="28" spans="1:22">
      <c r="A28" s="1" t="s">
        <v>49</v>
      </c>
      <c r="B28" s="6">
        <v>-5855.0803489966274</v>
      </c>
      <c r="C28" s="1">
        <v>0</v>
      </c>
      <c r="D28" s="1">
        <v>670931.21178412251</v>
      </c>
      <c r="E28" s="1">
        <v>0</v>
      </c>
      <c r="F28" s="1">
        <v>0</v>
      </c>
      <c r="G28" s="9">
        <f>SUM(MI_FINANCIAL)</f>
        <v>665076.13143512583</v>
      </c>
      <c r="I28" s="14"/>
      <c r="J28" s="17"/>
      <c r="L28" s="6"/>
      <c r="V28" s="9"/>
    </row>
    <row r="29" spans="1:22">
      <c r="A29" s="1" t="s">
        <v>50</v>
      </c>
      <c r="B29" s="6">
        <v>127691.80928852623</v>
      </c>
      <c r="C29" s="1">
        <v>0</v>
      </c>
      <c r="D29" s="1">
        <v>136775.93430139936</v>
      </c>
      <c r="E29" s="1">
        <v>0</v>
      </c>
      <c r="F29" s="1">
        <v>0</v>
      </c>
      <c r="G29" s="9">
        <f>SUM(MN_FINANCIAL)</f>
        <v>264467.74358992558</v>
      </c>
      <c r="L29" s="6"/>
      <c r="V29" s="9"/>
    </row>
    <row r="30" spans="1:22">
      <c r="A30" s="1" t="s">
        <v>51</v>
      </c>
      <c r="B30" s="6">
        <v>118422.5209174577</v>
      </c>
      <c r="C30" s="1">
        <v>0</v>
      </c>
      <c r="D30" s="1">
        <v>1187.7310417279896</v>
      </c>
      <c r="E30" s="1">
        <v>0</v>
      </c>
      <c r="F30" s="1">
        <v>0</v>
      </c>
      <c r="G30" s="9">
        <f>SUM(MS_FINANCIAL)</f>
        <v>119610.2519591857</v>
      </c>
      <c r="L30" s="6"/>
      <c r="V30" s="9"/>
    </row>
    <row r="31" spans="1:22">
      <c r="A31" s="1" t="s">
        <v>52</v>
      </c>
      <c r="B31" s="6">
        <v>160253.99983275216</v>
      </c>
      <c r="C31" s="1">
        <v>0</v>
      </c>
      <c r="D31" s="1">
        <v>6398393.5528279971</v>
      </c>
      <c r="E31" s="1">
        <v>0</v>
      </c>
      <c r="F31" s="1">
        <v>0</v>
      </c>
      <c r="G31" s="9">
        <f>SUM(MO_FINANCIAL)</f>
        <v>6558647.5526607493</v>
      </c>
      <c r="L31" s="6">
        <v>0</v>
      </c>
      <c r="M31" s="1">
        <v>0</v>
      </c>
      <c r="O31" s="1">
        <v>0</v>
      </c>
      <c r="P31" s="1">
        <v>0</v>
      </c>
      <c r="R31" s="1">
        <v>6408239</v>
      </c>
      <c r="S31" s="1">
        <v>0</v>
      </c>
      <c r="U31" s="1">
        <v>0</v>
      </c>
      <c r="V31" s="9">
        <v>0</v>
      </c>
    </row>
    <row r="32" spans="1:22">
      <c r="A32" s="1" t="s">
        <v>53</v>
      </c>
      <c r="B32" s="6">
        <v>74900.153434048145</v>
      </c>
      <c r="C32" s="1">
        <v>0</v>
      </c>
      <c r="D32" s="1">
        <v>414222.11905134958</v>
      </c>
      <c r="E32" s="1">
        <v>0</v>
      </c>
      <c r="F32" s="1">
        <v>0</v>
      </c>
      <c r="G32" s="9">
        <f>SUM(MT_FINANCIAL)</f>
        <v>489122.27248539776</v>
      </c>
      <c r="L32" s="6"/>
      <c r="V32" s="9"/>
    </row>
    <row r="33" spans="1:22">
      <c r="A33" s="1" t="s">
        <v>54</v>
      </c>
      <c r="B33" s="6">
        <v>264121.05660380062</v>
      </c>
      <c r="C33" s="1">
        <v>0</v>
      </c>
      <c r="D33" s="1">
        <v>526899.88350855594</v>
      </c>
      <c r="E33" s="1">
        <v>0</v>
      </c>
      <c r="F33" s="1">
        <v>0</v>
      </c>
      <c r="G33" s="9">
        <f>SUM(NE_FINANCIAL)</f>
        <v>791020.94011235656</v>
      </c>
      <c r="L33" s="6"/>
      <c r="V33" s="9"/>
    </row>
    <row r="34" spans="1:22">
      <c r="A34" s="1" t="s">
        <v>55</v>
      </c>
      <c r="B34" s="6">
        <v>-5458.5761424183656</v>
      </c>
      <c r="C34" s="1">
        <v>0</v>
      </c>
      <c r="D34" s="1">
        <v>3961915.2623010194</v>
      </c>
      <c r="E34" s="1">
        <v>0</v>
      </c>
      <c r="F34" s="1">
        <v>0</v>
      </c>
      <c r="G34" s="9">
        <f>SUM(NV_FINANCIAL)</f>
        <v>3956456.6861586012</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57372.611698327761</v>
      </c>
      <c r="C37" s="1">
        <v>0</v>
      </c>
      <c r="D37" s="1">
        <v>106025.5862583016</v>
      </c>
      <c r="E37" s="1">
        <v>0</v>
      </c>
      <c r="F37" s="1">
        <v>0</v>
      </c>
      <c r="G37" s="9">
        <f>SUM(NM_FINANCIAL)</f>
        <v>163398.19795662936</v>
      </c>
      <c r="L37" s="6"/>
      <c r="V37" s="9"/>
    </row>
    <row r="38" spans="1:22">
      <c r="A38" s="1" t="s">
        <v>59</v>
      </c>
      <c r="B38" s="6">
        <v>0</v>
      </c>
      <c r="C38" s="1">
        <v>0</v>
      </c>
      <c r="D38" s="1">
        <v>0</v>
      </c>
      <c r="E38" s="1">
        <v>0</v>
      </c>
      <c r="F38" s="1">
        <v>0</v>
      </c>
      <c r="G38" s="9">
        <f>SUM(NY_FINANCIAL)</f>
        <v>0</v>
      </c>
      <c r="L38" s="6"/>
      <c r="V38" s="9"/>
    </row>
    <row r="39" spans="1:22">
      <c r="A39" s="1" t="s">
        <v>60</v>
      </c>
      <c r="B39" s="6">
        <v>-23024.5692532619</v>
      </c>
      <c r="C39" s="1">
        <v>0</v>
      </c>
      <c r="D39" s="1">
        <v>2417474.3050870495</v>
      </c>
      <c r="E39" s="1">
        <v>0</v>
      </c>
      <c r="F39" s="1">
        <v>0</v>
      </c>
      <c r="G39" s="9">
        <f>SUM(NC_FINANCIAL)</f>
        <v>2394449.7358337874</v>
      </c>
      <c r="L39" s="6">
        <v>0</v>
      </c>
      <c r="M39" s="1">
        <v>0</v>
      </c>
      <c r="O39" s="1">
        <v>0</v>
      </c>
      <c r="P39" s="1">
        <v>0</v>
      </c>
      <c r="R39" s="1">
        <v>3000000</v>
      </c>
      <c r="S39" s="1">
        <v>0</v>
      </c>
      <c r="U39" s="1">
        <v>0</v>
      </c>
      <c r="V39" s="9">
        <v>0</v>
      </c>
    </row>
    <row r="40" spans="1:22">
      <c r="A40" s="1" t="s">
        <v>61</v>
      </c>
      <c r="B40" s="6">
        <v>14604.553954399704</v>
      </c>
      <c r="C40" s="1">
        <v>0</v>
      </c>
      <c r="D40" s="1">
        <v>6608.0990510698812</v>
      </c>
      <c r="E40" s="1">
        <v>0</v>
      </c>
      <c r="F40" s="1">
        <v>0</v>
      </c>
      <c r="G40" s="9">
        <f>SUM(ND_FINANCIAL)</f>
        <v>21212.653005469583</v>
      </c>
      <c r="L40" s="6"/>
      <c r="V40" s="9"/>
    </row>
    <row r="41" spans="1:22">
      <c r="A41" s="1" t="s">
        <v>62</v>
      </c>
      <c r="B41" s="6">
        <v>245862.72467596357</v>
      </c>
      <c r="C41" s="1">
        <v>0</v>
      </c>
      <c r="D41" s="1">
        <v>11687747.131696811</v>
      </c>
      <c r="E41" s="1">
        <v>0</v>
      </c>
      <c r="F41" s="1">
        <v>0</v>
      </c>
      <c r="G41" s="9">
        <f>SUM(OH_FINANCIAL)</f>
        <v>11933609.856372774</v>
      </c>
      <c r="L41" s="6">
        <v>0</v>
      </c>
      <c r="M41" s="1">
        <v>0</v>
      </c>
      <c r="O41" s="1">
        <v>0</v>
      </c>
      <c r="P41" s="1">
        <v>0</v>
      </c>
      <c r="R41" s="1">
        <v>4000000</v>
      </c>
      <c r="S41" s="1">
        <v>0</v>
      </c>
      <c r="U41" s="1">
        <v>0</v>
      </c>
      <c r="V41" s="9">
        <v>0</v>
      </c>
    </row>
    <row r="42" spans="1:22">
      <c r="A42" s="1" t="s">
        <v>63</v>
      </c>
      <c r="B42" s="6">
        <v>118258.40035084233</v>
      </c>
      <c r="C42" s="1">
        <v>0</v>
      </c>
      <c r="D42" s="1">
        <v>392452.92207801668</v>
      </c>
      <c r="E42" s="1">
        <v>0</v>
      </c>
      <c r="F42" s="1">
        <v>0</v>
      </c>
      <c r="G42" s="9">
        <f>SUM(OK_FINANCIAL)</f>
        <v>510711.32242885901</v>
      </c>
      <c r="L42" s="6">
        <v>235000</v>
      </c>
      <c r="M42" s="1">
        <v>0</v>
      </c>
      <c r="O42" s="1">
        <v>265000</v>
      </c>
      <c r="P42" s="1">
        <v>0</v>
      </c>
      <c r="R42" s="1">
        <v>0</v>
      </c>
      <c r="S42" s="1">
        <v>0</v>
      </c>
      <c r="U42" s="1">
        <v>0</v>
      </c>
      <c r="V42" s="9">
        <v>0</v>
      </c>
    </row>
    <row r="43" spans="1:22">
      <c r="A43" s="1" t="s">
        <v>64</v>
      </c>
      <c r="B43" s="6">
        <v>74318.898448548716</v>
      </c>
      <c r="C43" s="1">
        <v>0</v>
      </c>
      <c r="D43" s="1">
        <v>136597.94821985741</v>
      </c>
      <c r="E43" s="1">
        <v>0</v>
      </c>
      <c r="F43" s="1">
        <v>0</v>
      </c>
      <c r="G43" s="9">
        <f>SUM(OR_FINANCIAL)</f>
        <v>210916.84666840613</v>
      </c>
      <c r="L43" s="6">
        <v>0</v>
      </c>
      <c r="M43" s="1">
        <v>0</v>
      </c>
      <c r="O43" s="1">
        <v>0</v>
      </c>
      <c r="P43" s="1">
        <v>0</v>
      </c>
      <c r="R43" s="1">
        <v>225000</v>
      </c>
      <c r="S43" s="1">
        <v>0</v>
      </c>
      <c r="U43" s="1">
        <v>0</v>
      </c>
      <c r="V43" s="9">
        <v>0</v>
      </c>
    </row>
    <row r="44" spans="1:22">
      <c r="A44" s="1" t="s">
        <v>65</v>
      </c>
      <c r="B44" s="6">
        <v>32909.319819951779</v>
      </c>
      <c r="C44" s="1">
        <v>0</v>
      </c>
      <c r="D44" s="1">
        <v>562676.62127064553</v>
      </c>
      <c r="E44" s="1">
        <v>0</v>
      </c>
      <c r="F44" s="1">
        <v>0</v>
      </c>
      <c r="G44" s="9">
        <f>SUM(PA_FINANCIAL)</f>
        <v>595585.94109059731</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4527.391985781559</v>
      </c>
      <c r="E46" s="1">
        <v>0</v>
      </c>
      <c r="F46" s="1">
        <v>0</v>
      </c>
      <c r="G46" s="9">
        <f>SUM(RI_FINANCIAL)</f>
        <v>4527.391985781559</v>
      </c>
      <c r="L46" s="6"/>
      <c r="V46" s="9"/>
    </row>
    <row r="47" spans="1:22">
      <c r="A47" s="1" t="s">
        <v>68</v>
      </c>
      <c r="B47" s="6">
        <v>172196.47389459977</v>
      </c>
      <c r="C47" s="1">
        <v>0</v>
      </c>
      <c r="D47" s="1">
        <v>2504230.7246464584</v>
      </c>
      <c r="E47" s="1">
        <v>0</v>
      </c>
      <c r="F47" s="1">
        <v>0</v>
      </c>
      <c r="G47" s="9">
        <f>SUM(SC_FINANCIAL)</f>
        <v>2676427.1985410582</v>
      </c>
      <c r="L47" s="6">
        <v>0</v>
      </c>
      <c r="M47" s="1">
        <v>0</v>
      </c>
      <c r="O47" s="1">
        <v>0</v>
      </c>
      <c r="P47" s="1">
        <v>0</v>
      </c>
      <c r="R47" s="1">
        <v>2200000</v>
      </c>
      <c r="S47" s="1">
        <v>0</v>
      </c>
      <c r="U47" s="1">
        <v>0</v>
      </c>
      <c r="V47" s="9">
        <v>0</v>
      </c>
    </row>
    <row r="48" spans="1:22">
      <c r="A48" s="1" t="s">
        <v>69</v>
      </c>
      <c r="B48" s="6">
        <v>13274.903603427381</v>
      </c>
      <c r="C48" s="1">
        <v>0</v>
      </c>
      <c r="D48" s="1">
        <v>84727.813358731699</v>
      </c>
      <c r="E48" s="1">
        <v>0</v>
      </c>
      <c r="F48" s="1">
        <v>0</v>
      </c>
      <c r="G48" s="9">
        <f>SUM(SD_FINANCIAL)</f>
        <v>98002.716962159087</v>
      </c>
      <c r="L48" s="6"/>
      <c r="V48" s="9"/>
    </row>
    <row r="49" spans="1:22">
      <c r="A49" s="1" t="s">
        <v>70</v>
      </c>
      <c r="B49" s="6">
        <v>96860.202072916261</v>
      </c>
      <c r="C49" s="1">
        <v>0</v>
      </c>
      <c r="D49" s="1">
        <v>988284.13095185149</v>
      </c>
      <c r="E49" s="1">
        <v>0</v>
      </c>
      <c r="F49" s="1">
        <v>0</v>
      </c>
      <c r="G49" s="9">
        <f>SUM(TN_FINANCIAL)</f>
        <v>1085144.3330247677</v>
      </c>
      <c r="L49" s="6"/>
      <c r="V49" s="9"/>
    </row>
    <row r="50" spans="1:22">
      <c r="A50" s="1" t="s">
        <v>71</v>
      </c>
      <c r="B50" s="6">
        <v>161667.05813458949</v>
      </c>
      <c r="C50" s="1">
        <v>0</v>
      </c>
      <c r="D50" s="1">
        <v>2055645.6702525606</v>
      </c>
      <c r="E50" s="1">
        <v>0</v>
      </c>
      <c r="F50" s="1">
        <v>0</v>
      </c>
      <c r="G50" s="9">
        <f>SUM(TX_FINANCIAL)</f>
        <v>2217312.72838715</v>
      </c>
      <c r="L50" s="6">
        <v>599995</v>
      </c>
      <c r="M50" s="1">
        <v>0</v>
      </c>
      <c r="O50" s="1">
        <v>0</v>
      </c>
      <c r="P50" s="1">
        <v>0</v>
      </c>
      <c r="R50" s="1">
        <v>2249991</v>
      </c>
      <c r="S50" s="1">
        <v>0</v>
      </c>
      <c r="U50" s="1">
        <v>0</v>
      </c>
      <c r="V50" s="9">
        <v>0</v>
      </c>
    </row>
    <row r="51" spans="1:22">
      <c r="A51" s="1" t="s">
        <v>72</v>
      </c>
      <c r="B51" s="6">
        <v>109110.50808222644</v>
      </c>
      <c r="C51" s="1">
        <v>0</v>
      </c>
      <c r="D51" s="1">
        <v>-3587.909618095563</v>
      </c>
      <c r="E51" s="1">
        <v>0</v>
      </c>
      <c r="F51" s="1">
        <v>0</v>
      </c>
      <c r="G51" s="9">
        <f>SUM(UT_FINANCIAL)</f>
        <v>105522.59846413088</v>
      </c>
      <c r="L51" s="6">
        <v>102583</v>
      </c>
      <c r="M51" s="1">
        <v>0</v>
      </c>
      <c r="O51" s="1">
        <v>0</v>
      </c>
      <c r="P51" s="1">
        <v>0</v>
      </c>
      <c r="R51" s="1">
        <v>51916</v>
      </c>
      <c r="S51" s="1">
        <v>0</v>
      </c>
      <c r="U51" s="1">
        <v>0</v>
      </c>
      <c r="V51" s="9">
        <v>0</v>
      </c>
    </row>
    <row r="52" spans="1:22">
      <c r="A52" s="1" t="s">
        <v>73</v>
      </c>
      <c r="B52" s="6">
        <v>0</v>
      </c>
      <c r="C52" s="1">
        <v>0</v>
      </c>
      <c r="D52" s="1">
        <v>0</v>
      </c>
      <c r="E52" s="1">
        <v>0</v>
      </c>
      <c r="F52" s="1">
        <v>0</v>
      </c>
      <c r="G52" s="9">
        <f>SUM(VT_FINANCIAL)</f>
        <v>0</v>
      </c>
      <c r="L52" s="6"/>
      <c r="V52" s="9"/>
    </row>
    <row r="53" spans="1:22">
      <c r="A53" s="1" t="s">
        <v>74</v>
      </c>
      <c r="B53" s="6">
        <v>-155857.52016394379</v>
      </c>
      <c r="C53" s="1">
        <v>0</v>
      </c>
      <c r="D53" s="1">
        <v>873128.60665311059</v>
      </c>
      <c r="E53" s="1">
        <v>0</v>
      </c>
      <c r="F53" s="1">
        <v>0</v>
      </c>
      <c r="G53" s="9">
        <f>SUM(VA_FINANCIAL)</f>
        <v>717271.08648916683</v>
      </c>
      <c r="L53" s="6"/>
      <c r="V53" s="9"/>
    </row>
    <row r="54" spans="1:22">
      <c r="A54" s="1" t="s">
        <v>75</v>
      </c>
      <c r="B54" s="6">
        <v>18615.060580694262</v>
      </c>
      <c r="C54" s="1">
        <v>0</v>
      </c>
      <c r="D54" s="1">
        <v>957579.82158402749</v>
      </c>
      <c r="E54" s="1">
        <v>0</v>
      </c>
      <c r="F54" s="1">
        <v>0</v>
      </c>
      <c r="G54" s="9">
        <f>SUM(WA_FINANCIAL)</f>
        <v>976194.88216472173</v>
      </c>
      <c r="L54" s="6"/>
      <c r="V54" s="9"/>
    </row>
    <row r="55" spans="1:22">
      <c r="A55" s="1" t="s">
        <v>76</v>
      </c>
      <c r="B55" s="6">
        <v>63070.425422676148</v>
      </c>
      <c r="C55" s="1">
        <v>0</v>
      </c>
      <c r="D55" s="1">
        <v>-7656.0838768545382</v>
      </c>
      <c r="E55" s="1">
        <v>0</v>
      </c>
      <c r="F55" s="1">
        <v>0</v>
      </c>
      <c r="G55" s="9">
        <f>SUM(WV_FINANCIAL)</f>
        <v>55414.341545821611</v>
      </c>
      <c r="L55" s="6"/>
      <c r="V55" s="9"/>
    </row>
    <row r="56" spans="1:22">
      <c r="A56" s="1" t="s">
        <v>77</v>
      </c>
      <c r="B56" s="6">
        <v>198686.05230249261</v>
      </c>
      <c r="C56" s="1">
        <v>0</v>
      </c>
      <c r="D56" s="1">
        <v>3296610.3697102163</v>
      </c>
      <c r="E56" s="1">
        <v>0</v>
      </c>
      <c r="F56" s="1">
        <v>0</v>
      </c>
      <c r="G56" s="9">
        <f>SUM(WI_FINANCIAL)</f>
        <v>3495296.4220127091</v>
      </c>
      <c r="L56" s="6">
        <v>0</v>
      </c>
      <c r="M56" s="1">
        <v>0</v>
      </c>
      <c r="O56" s="1">
        <v>0</v>
      </c>
      <c r="P56" s="1">
        <v>0</v>
      </c>
      <c r="R56" s="1">
        <v>2500000</v>
      </c>
      <c r="S56" s="1">
        <v>0</v>
      </c>
      <c r="U56" s="1">
        <v>0</v>
      </c>
      <c r="V56" s="9">
        <v>0</v>
      </c>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4097243.5984001756</v>
      </c>
      <c r="C60" s="1">
        <f>SUM(ALLOCATED)</f>
        <v>0</v>
      </c>
      <c r="D60" s="1">
        <f>SUM(HEALTH)</f>
        <v>130379420.22722064</v>
      </c>
      <c r="E60" s="1">
        <f>SUM(UNALLOCATED)</f>
        <v>0</v>
      </c>
      <c r="F60" s="1">
        <f>SUM(LTC)</f>
        <v>0</v>
      </c>
      <c r="G60" s="9">
        <f>SUM(ALL_BLOCKS)</f>
        <v>134476663.8256208</v>
      </c>
      <c r="L60" s="6">
        <f>SUM(LIFE_CALLED)</f>
        <v>1237578</v>
      </c>
      <c r="M60" s="1">
        <f>SUM(LIFE_REFUNDED)</f>
        <v>0</v>
      </c>
      <c r="O60" s="1">
        <f>SUM(ALLOC_CALLED)</f>
        <v>265000</v>
      </c>
      <c r="P60" s="1">
        <f>SUM(ALLOC_REFUNDED)</f>
        <v>0</v>
      </c>
      <c r="R60" s="1">
        <f>SUM(HEALTH_CALLED)</f>
        <v>101326458</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152</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415871.31285645219</v>
      </c>
      <c r="C6" s="1">
        <v>0</v>
      </c>
      <c r="D6" s="1">
        <v>0</v>
      </c>
      <c r="E6" s="1">
        <v>0</v>
      </c>
      <c r="F6" s="1">
        <v>0</v>
      </c>
      <c r="G6" s="9">
        <f>SUM(AL_FINANCIAL)</f>
        <v>415871.31285645219</v>
      </c>
      <c r="L6" s="6">
        <v>450000</v>
      </c>
      <c r="M6" s="1">
        <v>0</v>
      </c>
      <c r="O6" s="1">
        <v>0</v>
      </c>
      <c r="P6" s="1">
        <v>0</v>
      </c>
      <c r="R6" s="1">
        <v>0</v>
      </c>
      <c r="S6" s="1">
        <v>0</v>
      </c>
      <c r="U6" s="1">
        <v>0</v>
      </c>
      <c r="V6" s="9">
        <v>0</v>
      </c>
    </row>
    <row r="7" spans="1:22">
      <c r="A7" s="1" t="s">
        <v>12</v>
      </c>
      <c r="B7" s="6">
        <v>40418.493799619901</v>
      </c>
      <c r="C7" s="1">
        <v>0</v>
      </c>
      <c r="D7" s="1">
        <v>0</v>
      </c>
      <c r="E7" s="1">
        <v>0</v>
      </c>
      <c r="F7" s="1">
        <v>0</v>
      </c>
      <c r="G7" s="9">
        <f>SUM(AK_FINANCIAL)</f>
        <v>40418.493799619901</v>
      </c>
      <c r="I7" s="12"/>
      <c r="J7" s="15"/>
      <c r="L7" s="6">
        <v>62205</v>
      </c>
      <c r="M7" s="1">
        <v>0</v>
      </c>
      <c r="O7" s="1">
        <v>0</v>
      </c>
      <c r="P7" s="1">
        <v>0</v>
      </c>
      <c r="R7" s="1">
        <v>0</v>
      </c>
      <c r="S7" s="1">
        <v>0</v>
      </c>
      <c r="U7" s="1">
        <v>0</v>
      </c>
      <c r="V7" s="9">
        <v>0</v>
      </c>
    </row>
    <row r="8" spans="1:22">
      <c r="A8" s="1" t="s">
        <v>13</v>
      </c>
      <c r="B8" s="6">
        <v>1400890.6423474564</v>
      </c>
      <c r="C8" s="1">
        <v>0</v>
      </c>
      <c r="D8" s="1">
        <v>0</v>
      </c>
      <c r="E8" s="1">
        <v>0</v>
      </c>
      <c r="F8" s="1">
        <v>0</v>
      </c>
      <c r="G8" s="9">
        <f>SUM(AZ_FINANCIAL)</f>
        <v>1400890.6423474564</v>
      </c>
      <c r="I8" s="13" t="s">
        <v>14</v>
      </c>
      <c r="J8" s="16"/>
      <c r="L8" s="6">
        <v>1022583</v>
      </c>
      <c r="M8" s="1">
        <v>0</v>
      </c>
      <c r="O8" s="1">
        <v>0</v>
      </c>
      <c r="P8" s="1">
        <v>0</v>
      </c>
      <c r="R8" s="1">
        <v>0</v>
      </c>
      <c r="S8" s="1">
        <v>0</v>
      </c>
      <c r="U8" s="1">
        <v>0</v>
      </c>
      <c r="V8" s="9">
        <v>0</v>
      </c>
    </row>
    <row r="9" spans="1:22">
      <c r="A9" s="1" t="s">
        <v>15</v>
      </c>
      <c r="B9" s="6">
        <v>300131.59902531386</v>
      </c>
      <c r="C9" s="1">
        <v>0</v>
      </c>
      <c r="D9" s="1">
        <v>0</v>
      </c>
      <c r="E9" s="1">
        <v>0</v>
      </c>
      <c r="F9" s="1">
        <v>0</v>
      </c>
      <c r="G9" s="9">
        <f>SUM(AR_FINANCIAL)</f>
        <v>300131.59902531386</v>
      </c>
      <c r="I9" s="13"/>
      <c r="J9" s="16"/>
      <c r="L9" s="6">
        <v>361600</v>
      </c>
      <c r="M9" s="1">
        <v>0</v>
      </c>
      <c r="O9" s="1">
        <v>0</v>
      </c>
      <c r="P9" s="1">
        <v>0</v>
      </c>
      <c r="R9" s="1">
        <v>0</v>
      </c>
      <c r="S9" s="1">
        <v>0</v>
      </c>
      <c r="U9" s="1">
        <v>0</v>
      </c>
      <c r="V9" s="9">
        <v>0</v>
      </c>
    </row>
    <row r="10" spans="1:22">
      <c r="A10" s="1" t="s">
        <v>16</v>
      </c>
      <c r="B10" s="6">
        <v>7576245.8598237233</v>
      </c>
      <c r="C10" s="1">
        <v>0</v>
      </c>
      <c r="D10" s="1">
        <v>0</v>
      </c>
      <c r="E10" s="1">
        <v>0</v>
      </c>
      <c r="F10" s="1">
        <v>0</v>
      </c>
      <c r="G10" s="9">
        <f>SUM(CA_FINANCIAL)</f>
        <v>7576245.8598237233</v>
      </c>
      <c r="I10" s="13" t="s">
        <v>17</v>
      </c>
      <c r="J10" s="16">
        <v>217603141</v>
      </c>
      <c r="L10" s="6">
        <v>8346598</v>
      </c>
      <c r="M10" s="1">
        <v>575000</v>
      </c>
      <c r="O10" s="1">
        <v>0</v>
      </c>
      <c r="P10" s="1">
        <v>0</v>
      </c>
      <c r="R10" s="1">
        <v>0</v>
      </c>
      <c r="S10" s="1">
        <v>0</v>
      </c>
      <c r="U10" s="1">
        <v>0</v>
      </c>
      <c r="V10" s="9">
        <v>0</v>
      </c>
    </row>
    <row r="11" spans="1:22">
      <c r="A11" s="1" t="s">
        <v>18</v>
      </c>
      <c r="B11" s="6">
        <v>0</v>
      </c>
      <c r="C11" s="1">
        <v>0</v>
      </c>
      <c r="D11" s="1">
        <v>0</v>
      </c>
      <c r="E11" s="1">
        <v>0</v>
      </c>
      <c r="F11" s="1">
        <v>0</v>
      </c>
      <c r="G11" s="9">
        <f>SUM(CO_FINANCIAL)</f>
        <v>0</v>
      </c>
      <c r="I11" s="13"/>
      <c r="J11" s="16"/>
      <c r="L11" s="6">
        <v>3932</v>
      </c>
      <c r="M11" s="1">
        <v>0</v>
      </c>
      <c r="O11" s="1">
        <v>0</v>
      </c>
      <c r="P11" s="1">
        <v>0</v>
      </c>
      <c r="R11" s="1">
        <v>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153690.11432847969</v>
      </c>
      <c r="C13" s="1">
        <v>0</v>
      </c>
      <c r="D13" s="1">
        <v>0</v>
      </c>
      <c r="E13" s="1">
        <v>0</v>
      </c>
      <c r="F13" s="1">
        <v>0</v>
      </c>
      <c r="G13" s="9">
        <f>SUM(DE_FINANCIAL)</f>
        <v>153690.11432847969</v>
      </c>
      <c r="I13" s="13" t="s">
        <v>22</v>
      </c>
      <c r="J13" s="16">
        <v>0</v>
      </c>
      <c r="L13" s="6">
        <v>145000</v>
      </c>
      <c r="M13" s="1">
        <v>0</v>
      </c>
      <c r="O13" s="1">
        <v>0</v>
      </c>
      <c r="P13" s="1">
        <v>0</v>
      </c>
      <c r="R13" s="1">
        <v>0</v>
      </c>
      <c r="S13" s="1">
        <v>0</v>
      </c>
      <c r="U13" s="1">
        <v>0</v>
      </c>
      <c r="V13" s="9">
        <v>0</v>
      </c>
    </row>
    <row r="14" spans="1:22">
      <c r="A14" s="1" t="s">
        <v>23</v>
      </c>
      <c r="B14" s="6">
        <v>0</v>
      </c>
      <c r="C14" s="1">
        <v>0</v>
      </c>
      <c r="D14" s="1">
        <v>0</v>
      </c>
      <c r="E14" s="1">
        <v>0</v>
      </c>
      <c r="F14" s="1">
        <v>0</v>
      </c>
      <c r="G14" s="9">
        <f>SUM(DC_FINANCIAL)</f>
        <v>0</v>
      </c>
      <c r="I14" s="13" t="s">
        <v>24</v>
      </c>
      <c r="J14" s="16">
        <v>0</v>
      </c>
      <c r="L14" s="6"/>
      <c r="V14" s="9"/>
    </row>
    <row r="15" spans="1:22">
      <c r="A15" s="1" t="s">
        <v>25</v>
      </c>
      <c r="B15" s="6">
        <v>5559640.5062511601</v>
      </c>
      <c r="C15" s="1">
        <v>0</v>
      </c>
      <c r="D15" s="1">
        <v>0</v>
      </c>
      <c r="E15" s="1">
        <v>0</v>
      </c>
      <c r="F15" s="1">
        <v>0</v>
      </c>
      <c r="G15" s="9">
        <f>SUM(FL_FINANCIAL)</f>
        <v>5559640.5062511601</v>
      </c>
      <c r="I15" s="13" t="s">
        <v>26</v>
      </c>
      <c r="J15" s="16">
        <v>1882080.4400000002</v>
      </c>
      <c r="L15" s="6">
        <v>5300000</v>
      </c>
      <c r="M15" s="1">
        <v>0</v>
      </c>
      <c r="O15" s="1">
        <v>0</v>
      </c>
      <c r="P15" s="1">
        <v>0</v>
      </c>
      <c r="R15" s="1">
        <v>0</v>
      </c>
      <c r="S15" s="1">
        <v>0</v>
      </c>
      <c r="U15" s="1">
        <v>0</v>
      </c>
      <c r="V15" s="9">
        <v>0</v>
      </c>
    </row>
    <row r="16" spans="1:22">
      <c r="A16" s="1" t="s">
        <v>27</v>
      </c>
      <c r="B16" s="6">
        <v>677279.66028366506</v>
      </c>
      <c r="C16" s="1">
        <v>0</v>
      </c>
      <c r="D16" s="1">
        <v>0</v>
      </c>
      <c r="E16" s="1">
        <v>0</v>
      </c>
      <c r="F16" s="1">
        <v>0</v>
      </c>
      <c r="G16" s="9">
        <f>SUM(GA_FINANCIAL)</f>
        <v>677279.66028366506</v>
      </c>
      <c r="I16" s="13" t="s">
        <v>28</v>
      </c>
      <c r="J16" s="16">
        <v>0</v>
      </c>
      <c r="L16" s="6">
        <v>690574</v>
      </c>
      <c r="M16" s="1">
        <v>0</v>
      </c>
      <c r="O16" s="1">
        <v>0</v>
      </c>
      <c r="P16" s="1">
        <v>0</v>
      </c>
      <c r="R16" s="1">
        <v>0</v>
      </c>
      <c r="S16" s="1">
        <v>0</v>
      </c>
      <c r="U16" s="1">
        <v>0</v>
      </c>
      <c r="V16" s="9">
        <v>0</v>
      </c>
    </row>
    <row r="17" spans="1:22">
      <c r="A17" s="1" t="s">
        <v>29</v>
      </c>
      <c r="B17" s="6">
        <v>190995.55400025152</v>
      </c>
      <c r="C17" s="1">
        <v>0</v>
      </c>
      <c r="D17" s="1">
        <v>0</v>
      </c>
      <c r="E17" s="1">
        <v>0</v>
      </c>
      <c r="F17" s="1">
        <v>0</v>
      </c>
      <c r="G17" s="9">
        <f>SUM(HI_FINANCIAL)</f>
        <v>190995.55400025152</v>
      </c>
      <c r="I17" s="13"/>
      <c r="J17" s="16"/>
      <c r="L17" s="6">
        <v>244756</v>
      </c>
      <c r="M17" s="1">
        <v>0</v>
      </c>
      <c r="O17" s="1">
        <v>0</v>
      </c>
      <c r="P17" s="1">
        <v>0</v>
      </c>
      <c r="R17" s="1">
        <v>0</v>
      </c>
      <c r="S17" s="1">
        <v>0</v>
      </c>
      <c r="U17" s="1">
        <v>0</v>
      </c>
      <c r="V17" s="9">
        <v>0</v>
      </c>
    </row>
    <row r="18" spans="1:22">
      <c r="A18" s="1" t="s">
        <v>30</v>
      </c>
      <c r="B18" s="6">
        <v>264524.40169265593</v>
      </c>
      <c r="C18" s="1">
        <v>0</v>
      </c>
      <c r="D18" s="1">
        <v>0</v>
      </c>
      <c r="E18" s="1">
        <v>0</v>
      </c>
      <c r="F18" s="1">
        <v>0</v>
      </c>
      <c r="G18" s="9">
        <f>SUM(ID_FINANCIAL)</f>
        <v>264524.40169265593</v>
      </c>
      <c r="I18" s="13" t="s">
        <v>31</v>
      </c>
      <c r="J18" s="16"/>
      <c r="L18" s="6">
        <v>300000</v>
      </c>
      <c r="M18" s="1">
        <v>0</v>
      </c>
      <c r="O18" s="1">
        <v>0</v>
      </c>
      <c r="P18" s="1">
        <v>0</v>
      </c>
      <c r="R18" s="1">
        <v>0</v>
      </c>
      <c r="S18" s="1">
        <v>0</v>
      </c>
      <c r="U18" s="1">
        <v>0</v>
      </c>
      <c r="V18" s="9">
        <v>0</v>
      </c>
    </row>
    <row r="19" spans="1:22">
      <c r="A19" s="1" t="s">
        <v>32</v>
      </c>
      <c r="B19" s="6">
        <v>10470674.933187187</v>
      </c>
      <c r="C19" s="1">
        <v>0</v>
      </c>
      <c r="D19" s="1">
        <v>0</v>
      </c>
      <c r="E19" s="1">
        <v>0</v>
      </c>
      <c r="F19" s="1">
        <v>0</v>
      </c>
      <c r="G19" s="9">
        <f>SUM(IL_FINANCIAL)</f>
        <v>10470674.933187187</v>
      </c>
      <c r="I19" s="13" t="s">
        <v>33</v>
      </c>
      <c r="J19" s="16">
        <v>126221667.79000002</v>
      </c>
      <c r="L19" s="6">
        <v>11650000</v>
      </c>
      <c r="M19" s="1">
        <v>858300</v>
      </c>
      <c r="O19" s="1">
        <v>0</v>
      </c>
      <c r="P19" s="1">
        <v>0</v>
      </c>
      <c r="R19" s="1">
        <v>0</v>
      </c>
      <c r="S19" s="1">
        <v>0</v>
      </c>
      <c r="U19" s="1">
        <v>0</v>
      </c>
      <c r="V19" s="9">
        <v>0</v>
      </c>
    </row>
    <row r="20" spans="1:22">
      <c r="A20" s="1" t="s">
        <v>34</v>
      </c>
      <c r="B20" s="6">
        <v>2360133.084037527</v>
      </c>
      <c r="C20" s="1">
        <v>0</v>
      </c>
      <c r="D20" s="1">
        <v>0</v>
      </c>
      <c r="E20" s="1">
        <v>0</v>
      </c>
      <c r="F20" s="1">
        <v>0</v>
      </c>
      <c r="G20" s="9">
        <f>SUM(IN_FINANCIAL)</f>
        <v>2360133.084037527</v>
      </c>
      <c r="I20" s="13" t="s">
        <v>35</v>
      </c>
      <c r="J20" s="16">
        <v>-145086</v>
      </c>
      <c r="L20" s="6">
        <v>2008337</v>
      </c>
      <c r="M20" s="1">
        <v>0</v>
      </c>
      <c r="O20" s="1">
        <v>0</v>
      </c>
      <c r="P20" s="1">
        <v>0</v>
      </c>
      <c r="R20" s="1">
        <v>0</v>
      </c>
      <c r="S20" s="1">
        <v>0</v>
      </c>
      <c r="U20" s="1">
        <v>0</v>
      </c>
      <c r="V20" s="9">
        <v>0</v>
      </c>
    </row>
    <row r="21" spans="1:22">
      <c r="A21" s="1" t="s">
        <v>36</v>
      </c>
      <c r="B21" s="6">
        <v>1943287.1504432408</v>
      </c>
      <c r="C21" s="1">
        <v>0</v>
      </c>
      <c r="D21" s="1">
        <v>0</v>
      </c>
      <c r="E21" s="1">
        <v>0</v>
      </c>
      <c r="F21" s="1">
        <v>0</v>
      </c>
      <c r="G21" s="9">
        <f>SUM(IA_FINANCIAL)</f>
        <v>1943287.1504432408</v>
      </c>
      <c r="I21" s="13" t="s">
        <v>37</v>
      </c>
      <c r="J21" s="16"/>
      <c r="L21" s="6">
        <v>2015000</v>
      </c>
      <c r="M21" s="1">
        <v>0</v>
      </c>
      <c r="O21" s="1">
        <v>0</v>
      </c>
      <c r="P21" s="1">
        <v>0</v>
      </c>
      <c r="R21" s="1">
        <v>0</v>
      </c>
      <c r="S21" s="1">
        <v>0</v>
      </c>
      <c r="U21" s="1">
        <v>0</v>
      </c>
      <c r="V21" s="9">
        <v>0</v>
      </c>
    </row>
    <row r="22" spans="1:22">
      <c r="A22" s="1" t="s">
        <v>38</v>
      </c>
      <c r="B22" s="6">
        <v>435841.29941227479</v>
      </c>
      <c r="C22" s="1">
        <v>0</v>
      </c>
      <c r="D22" s="1">
        <v>0</v>
      </c>
      <c r="E22" s="1">
        <v>0</v>
      </c>
      <c r="F22" s="1">
        <v>0</v>
      </c>
      <c r="G22" s="9">
        <f>SUM(KS_FINANCIAL)</f>
        <v>435841.29941227479</v>
      </c>
      <c r="I22" s="13" t="s">
        <v>39</v>
      </c>
      <c r="J22" s="16">
        <v>10862914</v>
      </c>
      <c r="L22" s="6">
        <v>442000</v>
      </c>
      <c r="M22" s="1">
        <v>0</v>
      </c>
      <c r="O22" s="1">
        <v>0</v>
      </c>
      <c r="P22" s="1">
        <v>0</v>
      </c>
      <c r="R22" s="1">
        <v>0</v>
      </c>
      <c r="S22" s="1">
        <v>0</v>
      </c>
      <c r="U22" s="1">
        <v>0</v>
      </c>
      <c r="V22" s="9">
        <v>0</v>
      </c>
    </row>
    <row r="23" spans="1:22">
      <c r="A23" s="1" t="s">
        <v>40</v>
      </c>
      <c r="B23" s="6">
        <v>344703.50147758913</v>
      </c>
      <c r="C23" s="1">
        <v>0</v>
      </c>
      <c r="D23" s="1">
        <v>0</v>
      </c>
      <c r="E23" s="1">
        <v>0</v>
      </c>
      <c r="F23" s="1">
        <v>0</v>
      </c>
      <c r="G23" s="9">
        <f>SUM(KY_FINANCIAL)</f>
        <v>344703.50147758913</v>
      </c>
      <c r="I23" s="13" t="s">
        <v>41</v>
      </c>
      <c r="J23" s="16"/>
      <c r="L23" s="6">
        <v>429971</v>
      </c>
      <c r="M23" s="1">
        <v>104347</v>
      </c>
      <c r="O23" s="1">
        <v>0</v>
      </c>
      <c r="P23" s="1">
        <v>0</v>
      </c>
      <c r="R23" s="1">
        <v>0</v>
      </c>
      <c r="S23" s="1">
        <v>0</v>
      </c>
      <c r="U23" s="1">
        <v>0</v>
      </c>
      <c r="V23" s="9">
        <v>0</v>
      </c>
    </row>
    <row r="24" spans="1:22">
      <c r="A24" s="1" t="s">
        <v>42</v>
      </c>
      <c r="B24" s="6">
        <v>0</v>
      </c>
      <c r="C24" s="1">
        <v>0</v>
      </c>
      <c r="D24" s="1">
        <v>0</v>
      </c>
      <c r="E24" s="1">
        <v>0</v>
      </c>
      <c r="F24" s="1">
        <v>0</v>
      </c>
      <c r="G24" s="9">
        <f>SUM(LA_FINANCIAL)</f>
        <v>0</v>
      </c>
      <c r="I24" s="13" t="s">
        <v>43</v>
      </c>
      <c r="J24" s="16">
        <v>642701</v>
      </c>
      <c r="L24" s="6"/>
      <c r="V24" s="9"/>
    </row>
    <row r="25" spans="1:22">
      <c r="A25" s="1" t="s">
        <v>44</v>
      </c>
      <c r="B25" s="6">
        <v>298197.13641101005</v>
      </c>
      <c r="C25" s="1">
        <v>0</v>
      </c>
      <c r="D25" s="1">
        <v>0</v>
      </c>
      <c r="E25" s="1">
        <v>0</v>
      </c>
      <c r="F25" s="1">
        <v>0</v>
      </c>
      <c r="G25" s="9">
        <f>SUM(ME_FINANCIAL)</f>
        <v>298197.13641101005</v>
      </c>
      <c r="I25" s="13"/>
      <c r="J25" s="16"/>
      <c r="L25" s="6">
        <v>310000</v>
      </c>
      <c r="M25" s="1">
        <v>0</v>
      </c>
      <c r="O25" s="1">
        <v>0</v>
      </c>
      <c r="P25" s="1">
        <v>0</v>
      </c>
      <c r="R25" s="1">
        <v>0</v>
      </c>
      <c r="S25" s="1">
        <v>0</v>
      </c>
      <c r="U25" s="1">
        <v>0</v>
      </c>
      <c r="V25" s="9">
        <v>0</v>
      </c>
    </row>
    <row r="26" spans="1:22">
      <c r="A26" s="1" t="s">
        <v>45</v>
      </c>
      <c r="B26" s="6">
        <v>1211567.1606863188</v>
      </c>
      <c r="C26" s="1">
        <v>0</v>
      </c>
      <c r="D26" s="1">
        <v>0</v>
      </c>
      <c r="E26" s="1">
        <v>0</v>
      </c>
      <c r="F26" s="1">
        <v>0</v>
      </c>
      <c r="G26" s="9">
        <f>SUM(MD_FINANCIAL)</f>
        <v>1211567.1606863188</v>
      </c>
      <c r="I26" s="13" t="s">
        <v>46</v>
      </c>
      <c r="J26" s="16">
        <f>SUM(ADD_FINANCIAL)-SUM(LESS_FINANCIAL)</f>
        <v>81903024.649999976</v>
      </c>
      <c r="L26" s="6">
        <v>1500000</v>
      </c>
      <c r="M26" s="1">
        <v>0</v>
      </c>
      <c r="O26" s="1">
        <v>0</v>
      </c>
      <c r="P26" s="1">
        <v>0</v>
      </c>
      <c r="R26" s="1">
        <v>0</v>
      </c>
      <c r="S26" s="1">
        <v>0</v>
      </c>
      <c r="U26" s="1">
        <v>0</v>
      </c>
      <c r="V26" s="9">
        <v>0</v>
      </c>
    </row>
    <row r="27" spans="1:22">
      <c r="A27" s="1" t="s">
        <v>47</v>
      </c>
      <c r="B27" s="6">
        <v>1886148.1675301103</v>
      </c>
      <c r="C27" s="1">
        <v>0</v>
      </c>
      <c r="D27" s="1">
        <v>0</v>
      </c>
      <c r="E27" s="1">
        <v>0</v>
      </c>
      <c r="F27" s="1">
        <v>0</v>
      </c>
      <c r="G27" s="9">
        <f>SUM(MA_FINANCIAL)</f>
        <v>1886148.1675301103</v>
      </c>
      <c r="I27" s="13" t="s">
        <v>48</v>
      </c>
      <c r="J27" s="16">
        <f>SUM(ALL_BLOCKS)</f>
        <v>81903024.650000021</v>
      </c>
      <c r="L27" s="6">
        <v>2500000</v>
      </c>
      <c r="M27" s="1">
        <v>0</v>
      </c>
      <c r="O27" s="1">
        <v>0</v>
      </c>
      <c r="P27" s="1">
        <v>0</v>
      </c>
      <c r="R27" s="1">
        <v>0</v>
      </c>
      <c r="S27" s="1">
        <v>0</v>
      </c>
      <c r="U27" s="1">
        <v>0</v>
      </c>
      <c r="V27" s="9">
        <v>0</v>
      </c>
    </row>
    <row r="28" spans="1:22">
      <c r="A28" s="1" t="s">
        <v>49</v>
      </c>
      <c r="B28" s="6">
        <v>1593841.667827812</v>
      </c>
      <c r="C28" s="1">
        <v>0</v>
      </c>
      <c r="D28" s="1">
        <v>0</v>
      </c>
      <c r="E28" s="1">
        <v>0</v>
      </c>
      <c r="F28" s="1">
        <v>0</v>
      </c>
      <c r="G28" s="9">
        <f>SUM(MI_FINANCIAL)</f>
        <v>1593841.667827812</v>
      </c>
      <c r="I28" s="14"/>
      <c r="J28" s="17"/>
      <c r="L28" s="6">
        <v>1700000</v>
      </c>
      <c r="M28" s="1">
        <v>0</v>
      </c>
      <c r="O28" s="1">
        <v>0</v>
      </c>
      <c r="P28" s="1">
        <v>0</v>
      </c>
      <c r="R28" s="1">
        <v>0</v>
      </c>
      <c r="S28" s="1">
        <v>0</v>
      </c>
      <c r="U28" s="1">
        <v>0</v>
      </c>
      <c r="V28" s="9">
        <v>0</v>
      </c>
    </row>
    <row r="29" spans="1:22">
      <c r="A29" s="1" t="s">
        <v>50</v>
      </c>
      <c r="B29" s="6">
        <v>734920.31540010334</v>
      </c>
      <c r="C29" s="1">
        <v>0</v>
      </c>
      <c r="D29" s="1">
        <v>0</v>
      </c>
      <c r="E29" s="1">
        <v>0</v>
      </c>
      <c r="F29" s="1">
        <v>0</v>
      </c>
      <c r="G29" s="9">
        <f>SUM(MN_FINANCIAL)</f>
        <v>734920.31540010334</v>
      </c>
      <c r="L29" s="6">
        <v>777000</v>
      </c>
      <c r="M29" s="1">
        <v>0</v>
      </c>
      <c r="O29" s="1">
        <v>0</v>
      </c>
      <c r="P29" s="1">
        <v>0</v>
      </c>
      <c r="R29" s="1">
        <v>0</v>
      </c>
      <c r="S29" s="1">
        <v>0</v>
      </c>
      <c r="U29" s="1">
        <v>0</v>
      </c>
      <c r="V29" s="9">
        <v>0</v>
      </c>
    </row>
    <row r="30" spans="1:22">
      <c r="A30" s="1" t="s">
        <v>51</v>
      </c>
      <c r="B30" s="6">
        <v>158344.81052025181</v>
      </c>
      <c r="C30" s="1">
        <v>0</v>
      </c>
      <c r="D30" s="1">
        <v>0</v>
      </c>
      <c r="E30" s="1">
        <v>0</v>
      </c>
      <c r="F30" s="1">
        <v>0</v>
      </c>
      <c r="G30" s="9">
        <f>SUM(MS_FINANCIAL)</f>
        <v>158344.81052025181</v>
      </c>
      <c r="L30" s="6">
        <v>119338</v>
      </c>
      <c r="M30" s="1">
        <v>0</v>
      </c>
      <c r="O30" s="1">
        <v>0</v>
      </c>
      <c r="P30" s="1">
        <v>0</v>
      </c>
      <c r="R30" s="1">
        <v>0</v>
      </c>
      <c r="S30" s="1">
        <v>0</v>
      </c>
      <c r="U30" s="1">
        <v>0</v>
      </c>
      <c r="V30" s="9">
        <v>0</v>
      </c>
    </row>
    <row r="31" spans="1:22">
      <c r="A31" s="1" t="s">
        <v>52</v>
      </c>
      <c r="B31" s="6">
        <v>890491.57386682776</v>
      </c>
      <c r="C31" s="1">
        <v>0</v>
      </c>
      <c r="D31" s="1">
        <v>0</v>
      </c>
      <c r="E31" s="1">
        <v>0</v>
      </c>
      <c r="F31" s="1">
        <v>0</v>
      </c>
      <c r="G31" s="9">
        <f>SUM(MO_FINANCIAL)</f>
        <v>890491.57386682776</v>
      </c>
      <c r="L31" s="6">
        <v>1217018</v>
      </c>
      <c r="M31" s="1">
        <v>0</v>
      </c>
      <c r="O31" s="1">
        <v>0</v>
      </c>
      <c r="P31" s="1">
        <v>0</v>
      </c>
      <c r="R31" s="1">
        <v>0</v>
      </c>
      <c r="S31" s="1">
        <v>0</v>
      </c>
      <c r="U31" s="1">
        <v>0</v>
      </c>
      <c r="V31" s="9">
        <v>0</v>
      </c>
    </row>
    <row r="32" spans="1:22">
      <c r="A32" s="1" t="s">
        <v>53</v>
      </c>
      <c r="B32" s="6">
        <v>227645.90257126387</v>
      </c>
      <c r="C32" s="1">
        <v>0</v>
      </c>
      <c r="D32" s="1">
        <v>0</v>
      </c>
      <c r="E32" s="1">
        <v>0</v>
      </c>
      <c r="F32" s="1">
        <v>0</v>
      </c>
      <c r="G32" s="9">
        <f>SUM(MT_FINANCIAL)</f>
        <v>227645.90257126387</v>
      </c>
      <c r="L32" s="6">
        <v>320000</v>
      </c>
      <c r="M32" s="1">
        <v>0</v>
      </c>
      <c r="O32" s="1">
        <v>0</v>
      </c>
      <c r="P32" s="1">
        <v>0</v>
      </c>
      <c r="R32" s="1">
        <v>0</v>
      </c>
      <c r="S32" s="1">
        <v>0</v>
      </c>
      <c r="U32" s="1">
        <v>0</v>
      </c>
      <c r="V32" s="9">
        <v>0</v>
      </c>
    </row>
    <row r="33" spans="1:22">
      <c r="A33" s="1" t="s">
        <v>54</v>
      </c>
      <c r="B33" s="6">
        <v>664836.66585023364</v>
      </c>
      <c r="C33" s="1">
        <v>0</v>
      </c>
      <c r="D33" s="1">
        <v>0</v>
      </c>
      <c r="E33" s="1">
        <v>0</v>
      </c>
      <c r="F33" s="1">
        <v>0</v>
      </c>
      <c r="G33" s="9">
        <f>SUM(NE_FINANCIAL)</f>
        <v>664836.66585023364</v>
      </c>
      <c r="L33" s="6">
        <v>540000</v>
      </c>
      <c r="M33" s="1">
        <v>0</v>
      </c>
      <c r="O33" s="1">
        <v>0</v>
      </c>
      <c r="P33" s="1">
        <v>0</v>
      </c>
      <c r="R33" s="1">
        <v>0</v>
      </c>
      <c r="S33" s="1">
        <v>0</v>
      </c>
      <c r="U33" s="1">
        <v>0</v>
      </c>
      <c r="V33" s="9">
        <v>0</v>
      </c>
    </row>
    <row r="34" spans="1:22">
      <c r="A34" s="1" t="s">
        <v>55</v>
      </c>
      <c r="B34" s="6">
        <v>182620.05271746675</v>
      </c>
      <c r="C34" s="1">
        <v>0</v>
      </c>
      <c r="D34" s="1">
        <v>0</v>
      </c>
      <c r="E34" s="1">
        <v>0</v>
      </c>
      <c r="F34" s="1">
        <v>0</v>
      </c>
      <c r="G34" s="9">
        <f>SUM(NV_FINANCIAL)</f>
        <v>182620.05271746675</v>
      </c>
      <c r="L34" s="6">
        <v>179400</v>
      </c>
      <c r="M34" s="1">
        <v>0</v>
      </c>
      <c r="O34" s="1">
        <v>0</v>
      </c>
      <c r="P34" s="1">
        <v>0</v>
      </c>
      <c r="R34" s="1">
        <v>0</v>
      </c>
      <c r="S34" s="1">
        <v>0</v>
      </c>
      <c r="U34" s="1">
        <v>0</v>
      </c>
      <c r="V34" s="9">
        <v>0</v>
      </c>
    </row>
    <row r="35" spans="1:22">
      <c r="A35" s="1" t="s">
        <v>56</v>
      </c>
      <c r="B35" s="6">
        <v>160474.75340974546</v>
      </c>
      <c r="C35" s="1">
        <v>0</v>
      </c>
      <c r="D35" s="1">
        <v>0</v>
      </c>
      <c r="E35" s="1">
        <v>0</v>
      </c>
      <c r="F35" s="1">
        <v>0</v>
      </c>
      <c r="G35" s="9">
        <f>SUM(NH_FINANCIAL)</f>
        <v>160474.75340974546</v>
      </c>
      <c r="L35" s="6">
        <v>200542</v>
      </c>
      <c r="M35" s="1">
        <v>206121</v>
      </c>
      <c r="O35" s="1">
        <v>0</v>
      </c>
      <c r="P35" s="1">
        <v>0</v>
      </c>
      <c r="R35" s="1">
        <v>0</v>
      </c>
      <c r="S35" s="1">
        <v>0</v>
      </c>
      <c r="U35" s="1">
        <v>0</v>
      </c>
      <c r="V35" s="9">
        <v>0</v>
      </c>
    </row>
    <row r="36" spans="1:22">
      <c r="A36" s="1" t="s">
        <v>57</v>
      </c>
      <c r="B36" s="6">
        <v>10805815.545461681</v>
      </c>
      <c r="C36" s="1">
        <v>0</v>
      </c>
      <c r="D36" s="1">
        <v>0</v>
      </c>
      <c r="E36" s="1">
        <v>0</v>
      </c>
      <c r="F36" s="1">
        <v>0</v>
      </c>
      <c r="G36" s="9">
        <f>SUM(NJ_FINANCIAL)</f>
        <v>10805815.545461681</v>
      </c>
      <c r="L36" s="6">
        <v>10750000</v>
      </c>
      <c r="M36" s="1">
        <v>500000</v>
      </c>
      <c r="O36" s="1">
        <v>0</v>
      </c>
      <c r="P36" s="1">
        <v>0</v>
      </c>
      <c r="R36" s="1">
        <v>0</v>
      </c>
      <c r="S36" s="1">
        <v>0</v>
      </c>
      <c r="U36" s="1">
        <v>0</v>
      </c>
      <c r="V36" s="9">
        <v>0</v>
      </c>
    </row>
    <row r="37" spans="1:22">
      <c r="A37" s="1" t="s">
        <v>58</v>
      </c>
      <c r="B37" s="6">
        <v>262358.32102176442</v>
      </c>
      <c r="C37" s="1">
        <v>0</v>
      </c>
      <c r="D37" s="1">
        <v>0</v>
      </c>
      <c r="E37" s="1">
        <v>0</v>
      </c>
      <c r="F37" s="1">
        <v>0</v>
      </c>
      <c r="G37" s="9">
        <f>SUM(NM_FINANCIAL)</f>
        <v>262358.32102176442</v>
      </c>
      <c r="L37" s="6">
        <v>250000</v>
      </c>
      <c r="M37" s="1">
        <v>0</v>
      </c>
      <c r="O37" s="1">
        <v>0</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703239.27495758887</v>
      </c>
      <c r="C39" s="1">
        <v>0</v>
      </c>
      <c r="D39" s="1">
        <v>0</v>
      </c>
      <c r="E39" s="1">
        <v>0</v>
      </c>
      <c r="F39" s="1">
        <v>0</v>
      </c>
      <c r="G39" s="9">
        <f>SUM(NC_FINANCIAL)</f>
        <v>703239.27495758887</v>
      </c>
      <c r="L39" s="6">
        <v>750000</v>
      </c>
      <c r="M39" s="1">
        <v>0</v>
      </c>
      <c r="O39" s="1">
        <v>0</v>
      </c>
      <c r="P39" s="1">
        <v>0</v>
      </c>
      <c r="R39" s="1">
        <v>0</v>
      </c>
      <c r="S39" s="1">
        <v>0</v>
      </c>
      <c r="U39" s="1">
        <v>0</v>
      </c>
      <c r="V39" s="9">
        <v>0</v>
      </c>
    </row>
    <row r="40" spans="1:22">
      <c r="A40" s="1" t="s">
        <v>61</v>
      </c>
      <c r="B40" s="6">
        <v>578831.69943088107</v>
      </c>
      <c r="C40" s="1">
        <v>0</v>
      </c>
      <c r="D40" s="1">
        <v>0</v>
      </c>
      <c r="E40" s="1">
        <v>0</v>
      </c>
      <c r="F40" s="1">
        <v>0</v>
      </c>
      <c r="G40" s="9">
        <f>SUM(ND_FINANCIAL)</f>
        <v>578831.69943088107</v>
      </c>
      <c r="L40" s="6">
        <v>627400</v>
      </c>
      <c r="M40" s="1">
        <v>0</v>
      </c>
      <c r="O40" s="1">
        <v>0</v>
      </c>
      <c r="P40" s="1">
        <v>0</v>
      </c>
      <c r="R40" s="1">
        <v>0</v>
      </c>
      <c r="S40" s="1">
        <v>0</v>
      </c>
      <c r="U40" s="1">
        <v>0</v>
      </c>
      <c r="V40" s="9">
        <v>0</v>
      </c>
    </row>
    <row r="41" spans="1:22">
      <c r="A41" s="1" t="s">
        <v>62</v>
      </c>
      <c r="B41" s="6">
        <v>2500802.2842936493</v>
      </c>
      <c r="C41" s="1">
        <v>0</v>
      </c>
      <c r="D41" s="1">
        <v>0</v>
      </c>
      <c r="E41" s="1">
        <v>0</v>
      </c>
      <c r="F41" s="1">
        <v>0</v>
      </c>
      <c r="G41" s="9">
        <f>SUM(OH_FINANCIAL)</f>
        <v>2500802.2842936493</v>
      </c>
      <c r="L41" s="6">
        <v>2450000</v>
      </c>
      <c r="M41" s="1">
        <v>0</v>
      </c>
      <c r="O41" s="1">
        <v>0</v>
      </c>
      <c r="P41" s="1">
        <v>0</v>
      </c>
      <c r="R41" s="1">
        <v>0</v>
      </c>
      <c r="S41" s="1">
        <v>0</v>
      </c>
      <c r="U41" s="1">
        <v>0</v>
      </c>
      <c r="V41" s="9">
        <v>0</v>
      </c>
    </row>
    <row r="42" spans="1:22">
      <c r="A42" s="1" t="s">
        <v>63</v>
      </c>
      <c r="B42" s="6">
        <v>890110.72859504749</v>
      </c>
      <c r="C42" s="1">
        <v>0</v>
      </c>
      <c r="D42" s="1">
        <v>0</v>
      </c>
      <c r="E42" s="1">
        <v>0</v>
      </c>
      <c r="F42" s="1">
        <v>0</v>
      </c>
      <c r="G42" s="9">
        <f>SUM(OK_FINANCIAL)</f>
        <v>890110.72859504749</v>
      </c>
      <c r="L42" s="6">
        <v>1000000</v>
      </c>
      <c r="M42" s="1">
        <v>0</v>
      </c>
      <c r="O42" s="1">
        <v>0</v>
      </c>
      <c r="P42" s="1">
        <v>0</v>
      </c>
      <c r="R42" s="1">
        <v>0</v>
      </c>
      <c r="S42" s="1">
        <v>0</v>
      </c>
      <c r="U42" s="1">
        <v>0</v>
      </c>
      <c r="V42" s="9">
        <v>0</v>
      </c>
    </row>
    <row r="43" spans="1:22">
      <c r="A43" s="1" t="s">
        <v>64</v>
      </c>
      <c r="B43" s="6">
        <v>572390.33103759005</v>
      </c>
      <c r="C43" s="1">
        <v>0</v>
      </c>
      <c r="D43" s="1">
        <v>0</v>
      </c>
      <c r="E43" s="1">
        <v>0</v>
      </c>
      <c r="F43" s="1">
        <v>0</v>
      </c>
      <c r="G43" s="9">
        <f>SUM(OR_FINANCIAL)</f>
        <v>572390.33103759005</v>
      </c>
      <c r="L43" s="6">
        <v>508534</v>
      </c>
      <c r="M43" s="1">
        <v>0</v>
      </c>
      <c r="O43" s="1">
        <v>0</v>
      </c>
      <c r="P43" s="1">
        <v>0</v>
      </c>
      <c r="R43" s="1">
        <v>0</v>
      </c>
      <c r="S43" s="1">
        <v>0</v>
      </c>
      <c r="U43" s="1">
        <v>0</v>
      </c>
      <c r="V43" s="9">
        <v>0</v>
      </c>
    </row>
    <row r="44" spans="1:22">
      <c r="A44" s="1" t="s">
        <v>65</v>
      </c>
      <c r="B44" s="6">
        <v>4952232.6136424895</v>
      </c>
      <c r="C44" s="1">
        <v>0</v>
      </c>
      <c r="D44" s="1">
        <v>0</v>
      </c>
      <c r="E44" s="1">
        <v>0</v>
      </c>
      <c r="F44" s="1">
        <v>0</v>
      </c>
      <c r="G44" s="9">
        <f>SUM(PA_FINANCIAL)</f>
        <v>4952232.6136424895</v>
      </c>
      <c r="L44" s="6">
        <v>5400000</v>
      </c>
      <c r="M44" s="1">
        <v>0</v>
      </c>
      <c r="O44" s="1">
        <v>0</v>
      </c>
      <c r="P44" s="1">
        <v>0</v>
      </c>
      <c r="R44" s="1">
        <v>0</v>
      </c>
      <c r="S44" s="1">
        <v>0</v>
      </c>
      <c r="U44" s="1">
        <v>0</v>
      </c>
      <c r="V44" s="9">
        <v>0</v>
      </c>
    </row>
    <row r="45" spans="1:22">
      <c r="A45" s="1" t="s">
        <v>66</v>
      </c>
      <c r="B45" s="6">
        <v>48272.394119240089</v>
      </c>
      <c r="C45" s="1">
        <v>0</v>
      </c>
      <c r="D45" s="1">
        <v>0</v>
      </c>
      <c r="E45" s="1">
        <v>0</v>
      </c>
      <c r="F45" s="1">
        <v>0</v>
      </c>
      <c r="G45" s="9">
        <f>SUM(PR_FINANCIAL)</f>
        <v>48272.394119240089</v>
      </c>
      <c r="L45" s="6">
        <v>66443</v>
      </c>
      <c r="M45" s="1">
        <v>0</v>
      </c>
      <c r="O45" s="1">
        <v>0</v>
      </c>
      <c r="P45" s="1">
        <v>0</v>
      </c>
      <c r="R45" s="1">
        <v>0</v>
      </c>
      <c r="S45" s="1">
        <v>0</v>
      </c>
      <c r="U45" s="1">
        <v>0</v>
      </c>
      <c r="V45" s="9">
        <v>0</v>
      </c>
    </row>
    <row r="46" spans="1:22">
      <c r="A46" s="1" t="s">
        <v>67</v>
      </c>
      <c r="B46" s="6">
        <v>0</v>
      </c>
      <c r="C46" s="1">
        <v>0</v>
      </c>
      <c r="D46" s="1">
        <v>0</v>
      </c>
      <c r="E46" s="1">
        <v>0</v>
      </c>
      <c r="F46" s="1">
        <v>0</v>
      </c>
      <c r="G46" s="9">
        <f>SUM(RI_FINANCIAL)</f>
        <v>0</v>
      </c>
      <c r="L46" s="6"/>
      <c r="V46" s="9"/>
    </row>
    <row r="47" spans="1:22">
      <c r="A47" s="1" t="s">
        <v>68</v>
      </c>
      <c r="B47" s="6">
        <v>1109880.6755680917</v>
      </c>
      <c r="C47" s="1">
        <v>0</v>
      </c>
      <c r="D47" s="1">
        <v>0</v>
      </c>
      <c r="E47" s="1">
        <v>0</v>
      </c>
      <c r="F47" s="1">
        <v>0</v>
      </c>
      <c r="G47" s="9">
        <f>SUM(SC_FINANCIAL)</f>
        <v>1109880.6755680917</v>
      </c>
      <c r="L47" s="6">
        <v>1168847</v>
      </c>
      <c r="M47" s="1">
        <v>0</v>
      </c>
      <c r="O47" s="1">
        <v>0</v>
      </c>
      <c r="P47" s="1">
        <v>0</v>
      </c>
      <c r="R47" s="1">
        <v>0</v>
      </c>
      <c r="S47" s="1">
        <v>0</v>
      </c>
      <c r="U47" s="1">
        <v>0</v>
      </c>
      <c r="V47" s="9">
        <v>0</v>
      </c>
    </row>
    <row r="48" spans="1:22">
      <c r="A48" s="1" t="s">
        <v>69</v>
      </c>
      <c r="B48" s="6">
        <v>373104.31602974358</v>
      </c>
      <c r="C48" s="1">
        <v>0</v>
      </c>
      <c r="D48" s="1">
        <v>0</v>
      </c>
      <c r="E48" s="1">
        <v>0</v>
      </c>
      <c r="F48" s="1">
        <v>0</v>
      </c>
      <c r="G48" s="9">
        <f>SUM(SD_FINANCIAL)</f>
        <v>373104.31602974358</v>
      </c>
      <c r="L48" s="6">
        <v>458794</v>
      </c>
      <c r="M48" s="1">
        <v>0</v>
      </c>
      <c r="O48" s="1">
        <v>0</v>
      </c>
      <c r="P48" s="1">
        <v>0</v>
      </c>
      <c r="R48" s="1">
        <v>0</v>
      </c>
      <c r="S48" s="1">
        <v>0</v>
      </c>
      <c r="U48" s="1">
        <v>0</v>
      </c>
      <c r="V48" s="9">
        <v>0</v>
      </c>
    </row>
    <row r="49" spans="1:22">
      <c r="A49" s="1" t="s">
        <v>70</v>
      </c>
      <c r="B49" s="6">
        <v>1336918.657313786</v>
      </c>
      <c r="C49" s="1">
        <v>0</v>
      </c>
      <c r="D49" s="1">
        <v>0</v>
      </c>
      <c r="E49" s="1">
        <v>0</v>
      </c>
      <c r="F49" s="1">
        <v>0</v>
      </c>
      <c r="G49" s="9">
        <f>SUM(TN_FINANCIAL)</f>
        <v>1336918.657313786</v>
      </c>
      <c r="L49" s="6">
        <v>1500000</v>
      </c>
      <c r="M49" s="1">
        <v>0</v>
      </c>
      <c r="O49" s="1">
        <v>0</v>
      </c>
      <c r="P49" s="1">
        <v>0</v>
      </c>
      <c r="R49" s="1">
        <v>0</v>
      </c>
      <c r="S49" s="1">
        <v>0</v>
      </c>
      <c r="U49" s="1">
        <v>0</v>
      </c>
      <c r="V49" s="9">
        <v>0</v>
      </c>
    </row>
    <row r="50" spans="1:22">
      <c r="A50" s="1" t="s">
        <v>71</v>
      </c>
      <c r="B50" s="6">
        <v>1670566.0909198592</v>
      </c>
      <c r="C50" s="1">
        <v>0</v>
      </c>
      <c r="D50" s="1">
        <v>0</v>
      </c>
      <c r="E50" s="1">
        <v>0</v>
      </c>
      <c r="F50" s="1">
        <v>0</v>
      </c>
      <c r="G50" s="9">
        <f>SUM(TX_FINANCIAL)</f>
        <v>1670566.0909198592</v>
      </c>
      <c r="L50" s="6">
        <v>1814462</v>
      </c>
      <c r="M50" s="1">
        <v>113806.23419999999</v>
      </c>
      <c r="O50" s="1">
        <v>0</v>
      </c>
      <c r="P50" s="1">
        <v>0</v>
      </c>
      <c r="R50" s="1">
        <v>449</v>
      </c>
      <c r="S50" s="1">
        <v>22.765800000006497</v>
      </c>
      <c r="U50" s="1">
        <v>0</v>
      </c>
      <c r="V50" s="9">
        <v>0</v>
      </c>
    </row>
    <row r="51" spans="1:22">
      <c r="A51" s="1" t="s">
        <v>72</v>
      </c>
      <c r="B51" s="6">
        <v>324421.57752454875</v>
      </c>
      <c r="C51" s="1">
        <v>0</v>
      </c>
      <c r="D51" s="1">
        <v>0</v>
      </c>
      <c r="E51" s="1">
        <v>0</v>
      </c>
      <c r="F51" s="1">
        <v>0</v>
      </c>
      <c r="G51" s="9">
        <f>SUM(UT_FINANCIAL)</f>
        <v>324421.57752454875</v>
      </c>
      <c r="L51" s="6">
        <v>430000</v>
      </c>
      <c r="M51" s="1">
        <v>0</v>
      </c>
      <c r="O51" s="1">
        <v>0</v>
      </c>
      <c r="P51" s="1">
        <v>0</v>
      </c>
      <c r="R51" s="1">
        <v>0</v>
      </c>
      <c r="S51" s="1">
        <v>0</v>
      </c>
      <c r="U51" s="1">
        <v>0</v>
      </c>
      <c r="V51" s="9">
        <v>0</v>
      </c>
    </row>
    <row r="52" spans="1:22">
      <c r="A52" s="1" t="s">
        <v>73</v>
      </c>
      <c r="B52" s="6">
        <v>0</v>
      </c>
      <c r="C52" s="1">
        <v>0</v>
      </c>
      <c r="D52" s="1">
        <v>0</v>
      </c>
      <c r="E52" s="1">
        <v>0</v>
      </c>
      <c r="F52" s="1">
        <v>0</v>
      </c>
      <c r="G52" s="9">
        <f>SUM(VT_FINANCIAL)</f>
        <v>0</v>
      </c>
      <c r="L52" s="6">
        <v>230000</v>
      </c>
      <c r="M52" s="1">
        <v>0</v>
      </c>
      <c r="O52" s="1">
        <v>0</v>
      </c>
      <c r="P52" s="1">
        <v>0</v>
      </c>
      <c r="R52" s="1">
        <v>0</v>
      </c>
      <c r="S52" s="1">
        <v>0</v>
      </c>
      <c r="U52" s="1">
        <v>0</v>
      </c>
      <c r="V52" s="9">
        <v>0</v>
      </c>
    </row>
    <row r="53" spans="1:22">
      <c r="A53" s="1" t="s">
        <v>74</v>
      </c>
      <c r="B53" s="6">
        <v>1328684.0466469328</v>
      </c>
      <c r="C53" s="1">
        <v>0</v>
      </c>
      <c r="D53" s="1">
        <v>0</v>
      </c>
      <c r="E53" s="1">
        <v>0</v>
      </c>
      <c r="F53" s="1">
        <v>0</v>
      </c>
      <c r="G53" s="9">
        <f>SUM(VA_FINANCIAL)</f>
        <v>1328684.0466469328</v>
      </c>
      <c r="L53" s="6">
        <v>1407146</v>
      </c>
      <c r="M53" s="1">
        <v>0</v>
      </c>
      <c r="O53" s="1">
        <v>20683</v>
      </c>
      <c r="P53" s="1">
        <v>26777</v>
      </c>
      <c r="R53" s="1">
        <v>0</v>
      </c>
      <c r="S53" s="1">
        <v>0</v>
      </c>
      <c r="U53" s="1">
        <v>0</v>
      </c>
      <c r="V53" s="9">
        <v>0</v>
      </c>
    </row>
    <row r="54" spans="1:22">
      <c r="A54" s="1" t="s">
        <v>75</v>
      </c>
      <c r="B54" s="6">
        <v>1631969.3995969479</v>
      </c>
      <c r="C54" s="1">
        <v>0</v>
      </c>
      <c r="D54" s="1">
        <v>0</v>
      </c>
      <c r="E54" s="1">
        <v>0</v>
      </c>
      <c r="F54" s="1">
        <v>0</v>
      </c>
      <c r="G54" s="9">
        <f>SUM(WA_FINANCIAL)</f>
        <v>1631969.3995969479</v>
      </c>
      <c r="L54" s="6">
        <v>1750000</v>
      </c>
      <c r="M54" s="1">
        <v>133907</v>
      </c>
      <c r="O54" s="1">
        <v>0</v>
      </c>
      <c r="P54" s="1">
        <v>0</v>
      </c>
      <c r="R54" s="1">
        <v>0</v>
      </c>
      <c r="S54" s="1">
        <v>0</v>
      </c>
      <c r="U54" s="1">
        <v>0</v>
      </c>
      <c r="V54" s="9">
        <v>0</v>
      </c>
    </row>
    <row r="55" spans="1:22">
      <c r="A55" s="1" t="s">
        <v>76</v>
      </c>
      <c r="B55" s="6">
        <v>256247.5006850611</v>
      </c>
      <c r="C55" s="1">
        <v>0</v>
      </c>
      <c r="D55" s="1">
        <v>0</v>
      </c>
      <c r="E55" s="1">
        <v>0</v>
      </c>
      <c r="F55" s="1">
        <v>0</v>
      </c>
      <c r="G55" s="9">
        <f>SUM(WV_FINANCIAL)</f>
        <v>256247.5006850611</v>
      </c>
      <c r="L55" s="6">
        <v>350000</v>
      </c>
      <c r="M55" s="1">
        <v>99335</v>
      </c>
      <c r="O55" s="1">
        <v>0</v>
      </c>
      <c r="P55" s="1">
        <v>0</v>
      </c>
      <c r="R55" s="1">
        <v>0</v>
      </c>
      <c r="S55" s="1">
        <v>0</v>
      </c>
      <c r="U55" s="1">
        <v>0</v>
      </c>
      <c r="V55" s="9">
        <v>0</v>
      </c>
    </row>
    <row r="56" spans="1:22">
      <c r="A56" s="1" t="s">
        <v>77</v>
      </c>
      <c r="B56" s="6">
        <v>12154894.709011666</v>
      </c>
      <c r="C56" s="1">
        <v>0</v>
      </c>
      <c r="D56" s="1">
        <v>0</v>
      </c>
      <c r="E56" s="1">
        <v>0</v>
      </c>
      <c r="F56" s="1">
        <v>0</v>
      </c>
      <c r="G56" s="9">
        <f>SUM(WI_FINANCIAL)</f>
        <v>12154894.709011666</v>
      </c>
      <c r="L56" s="6">
        <v>14500000</v>
      </c>
      <c r="M56" s="1">
        <v>0</v>
      </c>
      <c r="O56" s="1">
        <v>0</v>
      </c>
      <c r="P56" s="1">
        <v>0</v>
      </c>
      <c r="R56" s="1">
        <v>0</v>
      </c>
      <c r="S56" s="1">
        <v>0</v>
      </c>
      <c r="U56" s="1">
        <v>0</v>
      </c>
      <c r="V56" s="9">
        <v>0</v>
      </c>
    </row>
    <row r="57" spans="1:22">
      <c r="A57" s="1" t="s">
        <v>78</v>
      </c>
      <c r="B57" s="6">
        <v>258868.16438568919</v>
      </c>
      <c r="C57" s="1">
        <v>0</v>
      </c>
      <c r="D57" s="1">
        <v>0</v>
      </c>
      <c r="E57" s="1">
        <v>0</v>
      </c>
      <c r="F57" s="1">
        <v>0</v>
      </c>
      <c r="G57" s="9">
        <f>SUM(WY_FINANCIAL)</f>
        <v>258868.16438568919</v>
      </c>
      <c r="L57" s="6">
        <v>235000</v>
      </c>
      <c r="M57" s="1">
        <v>0</v>
      </c>
      <c r="O57" s="1">
        <v>0</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81903024.650000021</v>
      </c>
      <c r="C60" s="1">
        <f>SUM(ALLOCATED)</f>
        <v>0</v>
      </c>
      <c r="D60" s="1">
        <f>SUM(HEALTH)</f>
        <v>0</v>
      </c>
      <c r="E60" s="1">
        <f>SUM(UNALLOCATED)</f>
        <v>0</v>
      </c>
      <c r="F60" s="1">
        <f>SUM(LTC)</f>
        <v>0</v>
      </c>
      <c r="G60" s="9">
        <f>SUM(ALL_BLOCKS)</f>
        <v>81903024.650000021</v>
      </c>
      <c r="L60" s="6">
        <f>SUM(LIFE_CALLED)</f>
        <v>88482480</v>
      </c>
      <c r="M60" s="1">
        <f>SUM(LIFE_REFUNDED)</f>
        <v>2590816.2341999998</v>
      </c>
      <c r="O60" s="1">
        <f>SUM(ALLOC_CALLED)</f>
        <v>20683</v>
      </c>
      <c r="P60" s="1">
        <f>SUM(ALLOC_REFUNDED)</f>
        <v>26777</v>
      </c>
      <c r="R60" s="1">
        <f>SUM(HEALTH_CALLED)</f>
        <v>449</v>
      </c>
      <c r="S60" s="1">
        <f>SUM(HEALTH_REFUNDED)</f>
        <v>22.765800000006497</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153</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15343080.910388423</v>
      </c>
      <c r="C6" s="1">
        <v>26074.664602615994</v>
      </c>
      <c r="D6" s="1">
        <v>-66.5032526195061</v>
      </c>
      <c r="E6" s="1">
        <v>0</v>
      </c>
      <c r="F6" s="1">
        <v>0</v>
      </c>
      <c r="G6" s="9">
        <f>SUM(AL_FINANCIAL)</f>
        <v>15369089.07173842</v>
      </c>
      <c r="L6" s="6"/>
      <c r="V6" s="9"/>
    </row>
    <row r="7" spans="1:22">
      <c r="A7" s="1" t="s">
        <v>12</v>
      </c>
      <c r="B7" s="6">
        <v>0</v>
      </c>
      <c r="C7" s="1">
        <v>0</v>
      </c>
      <c r="D7" s="1">
        <v>0</v>
      </c>
      <c r="E7" s="1">
        <v>0</v>
      </c>
      <c r="F7" s="1">
        <v>0</v>
      </c>
      <c r="G7" s="9">
        <f>SUM(AK_FINANCIAL)</f>
        <v>0</v>
      </c>
      <c r="I7" s="12"/>
      <c r="J7" s="15"/>
      <c r="L7" s="6"/>
      <c r="V7" s="9"/>
    </row>
    <row r="8" spans="1:22">
      <c r="A8" s="1" t="s">
        <v>13</v>
      </c>
      <c r="B8" s="6">
        <v>211524.89298631629</v>
      </c>
      <c r="C8" s="1">
        <v>20241.377503971056</v>
      </c>
      <c r="D8" s="1">
        <v>0</v>
      </c>
      <c r="E8" s="1">
        <v>0</v>
      </c>
      <c r="F8" s="1">
        <v>0</v>
      </c>
      <c r="G8" s="9">
        <f>SUM(AZ_FINANCIAL)</f>
        <v>231766.27049028734</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634695.66393708624</v>
      </c>
      <c r="C10" s="1">
        <v>4952.1278489824008</v>
      </c>
      <c r="D10" s="1">
        <v>0</v>
      </c>
      <c r="E10" s="1">
        <v>0</v>
      </c>
      <c r="F10" s="1">
        <v>0</v>
      </c>
      <c r="G10" s="9">
        <f>SUM(CA_FINANCIAL)</f>
        <v>639647.79178606858</v>
      </c>
      <c r="I10" s="13" t="s">
        <v>17</v>
      </c>
      <c r="J10" s="16">
        <v>148264822.2801379</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16608988.75579508</v>
      </c>
      <c r="L13" s="6"/>
      <c r="V13" s="9"/>
    </row>
    <row r="14" spans="1:22">
      <c r="A14" s="1" t="s">
        <v>23</v>
      </c>
      <c r="B14" s="6">
        <v>2096166.3161221703</v>
      </c>
      <c r="C14" s="1">
        <v>35217.539615111651</v>
      </c>
      <c r="D14" s="1">
        <v>852.13867050257056</v>
      </c>
      <c r="E14" s="1">
        <v>0</v>
      </c>
      <c r="F14" s="1">
        <v>0</v>
      </c>
      <c r="G14" s="9">
        <f>SUM(DC_FINANCIAL)</f>
        <v>2132235.9944077847</v>
      </c>
      <c r="I14" s="13" t="s">
        <v>24</v>
      </c>
      <c r="J14" s="16">
        <v>3981772.664598044</v>
      </c>
      <c r="L14" s="6"/>
      <c r="V14" s="9"/>
    </row>
    <row r="15" spans="1:22">
      <c r="A15" s="1" t="s">
        <v>25</v>
      </c>
      <c r="B15" s="6">
        <v>811986.52731296211</v>
      </c>
      <c r="C15" s="1">
        <v>108215.26051923905</v>
      </c>
      <c r="D15" s="1">
        <v>-208.07999999999998</v>
      </c>
      <c r="E15" s="1">
        <v>0</v>
      </c>
      <c r="F15" s="1">
        <v>0</v>
      </c>
      <c r="G15" s="9">
        <f>SUM(FL_FINANCIAL)</f>
        <v>919993.70783220115</v>
      </c>
      <c r="I15" s="13" t="s">
        <v>26</v>
      </c>
      <c r="J15" s="16">
        <v>3681165.0544412322</v>
      </c>
      <c r="L15" s="6"/>
      <c r="V15" s="9"/>
    </row>
    <row r="16" spans="1:22">
      <c r="A16" s="1" t="s">
        <v>27</v>
      </c>
      <c r="B16" s="6">
        <v>5781725.0876026964</v>
      </c>
      <c r="C16" s="1">
        <v>139871.87079221703</v>
      </c>
      <c r="D16" s="1">
        <v>1458.8155363584756</v>
      </c>
      <c r="E16" s="1">
        <v>0</v>
      </c>
      <c r="F16" s="1">
        <v>0</v>
      </c>
      <c r="G16" s="9">
        <f>SUM(GA_FINANCIAL)</f>
        <v>5923055.7739312714</v>
      </c>
      <c r="I16" s="13" t="s">
        <v>28</v>
      </c>
      <c r="J16" s="16">
        <v>88264822.280137897</v>
      </c>
      <c r="L16" s="6"/>
      <c r="V16" s="9"/>
    </row>
    <row r="17" spans="1:22">
      <c r="A17" s="1" t="s">
        <v>29</v>
      </c>
      <c r="B17" s="6">
        <v>0</v>
      </c>
      <c r="C17" s="1">
        <v>0</v>
      </c>
      <c r="D17" s="1">
        <v>0</v>
      </c>
      <c r="E17" s="1">
        <v>0</v>
      </c>
      <c r="F17" s="1">
        <v>0</v>
      </c>
      <c r="G17" s="9">
        <f>SUM(HI_FINANCIAL)</f>
        <v>0</v>
      </c>
      <c r="I17" s="13"/>
      <c r="J17" s="16"/>
      <c r="L17" s="6"/>
      <c r="V17" s="9"/>
    </row>
    <row r="18" spans="1:22">
      <c r="A18" s="1" t="s">
        <v>30</v>
      </c>
      <c r="B18" s="6">
        <v>2961.7847981200684</v>
      </c>
      <c r="C18" s="1">
        <v>0</v>
      </c>
      <c r="D18" s="1">
        <v>0</v>
      </c>
      <c r="E18" s="1">
        <v>0</v>
      </c>
      <c r="F18" s="1">
        <v>0</v>
      </c>
      <c r="G18" s="9">
        <f>SUM(ID_FINANCIAL)</f>
        <v>2961.7847981200684</v>
      </c>
      <c r="I18" s="13" t="s">
        <v>31</v>
      </c>
      <c r="J18" s="16"/>
      <c r="L18" s="6"/>
      <c r="V18" s="9"/>
    </row>
    <row r="19" spans="1:22">
      <c r="A19" s="1" t="s">
        <v>32</v>
      </c>
      <c r="B19" s="6">
        <v>3574347.2425982878</v>
      </c>
      <c r="C19" s="1">
        <v>13895.199584982271</v>
      </c>
      <c r="D19" s="1">
        <v>0</v>
      </c>
      <c r="E19" s="1">
        <v>0</v>
      </c>
      <c r="F19" s="1">
        <v>0</v>
      </c>
      <c r="G19" s="9">
        <f>SUM(IL_FINANCIAL)</f>
        <v>3588242.4421832701</v>
      </c>
      <c r="I19" s="13" t="s">
        <v>33</v>
      </c>
      <c r="J19" s="16">
        <v>60000000.000000015</v>
      </c>
      <c r="L19" s="6"/>
      <c r="V19" s="9"/>
    </row>
    <row r="20" spans="1:22">
      <c r="A20" s="1" t="s">
        <v>34</v>
      </c>
      <c r="B20" s="6">
        <v>118905.7025190008</v>
      </c>
      <c r="C20" s="1">
        <v>42.928945179092111</v>
      </c>
      <c r="D20" s="1">
        <v>0</v>
      </c>
      <c r="E20" s="1">
        <v>0</v>
      </c>
      <c r="F20" s="1">
        <v>0</v>
      </c>
      <c r="G20" s="9">
        <f>SUM(IN_FINANCIAL)</f>
        <v>118948.6314641799</v>
      </c>
      <c r="I20" s="13" t="s">
        <v>35</v>
      </c>
      <c r="J20" s="16">
        <v>88264822.280137897</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143431.82892406927</v>
      </c>
      <c r="C23" s="1">
        <v>0</v>
      </c>
      <c r="D23" s="1">
        <v>-24.44</v>
      </c>
      <c r="E23" s="1">
        <v>0</v>
      </c>
      <c r="F23" s="1">
        <v>0</v>
      </c>
      <c r="G23" s="9">
        <f>SUM(KY_FINANCIAL)</f>
        <v>143407.38892406927</v>
      </c>
      <c r="I23" s="13" t="s">
        <v>41</v>
      </c>
      <c r="J23" s="16"/>
      <c r="L23" s="6"/>
      <c r="V23" s="9"/>
    </row>
    <row r="24" spans="1:22">
      <c r="A24" s="1" t="s">
        <v>42</v>
      </c>
      <c r="B24" s="6">
        <v>343331.28051109973</v>
      </c>
      <c r="C24" s="1">
        <v>992.73166489507264</v>
      </c>
      <c r="D24" s="1">
        <v>0</v>
      </c>
      <c r="E24" s="1">
        <v>0</v>
      </c>
      <c r="F24" s="1">
        <v>0</v>
      </c>
      <c r="G24" s="9">
        <f>SUM(LA_FINANCIAL)</f>
        <v>344324.01217599481</v>
      </c>
      <c r="I24" s="13" t="s">
        <v>43</v>
      </c>
      <c r="J24" s="16">
        <v>10677924.050000003</v>
      </c>
      <c r="L24" s="6"/>
      <c r="V24" s="9"/>
    </row>
    <row r="25" spans="1:22">
      <c r="A25" s="1" t="s">
        <v>44</v>
      </c>
      <c r="B25" s="6">
        <v>0</v>
      </c>
      <c r="C25" s="1">
        <v>0</v>
      </c>
      <c r="D25" s="1">
        <v>0</v>
      </c>
      <c r="E25" s="1">
        <v>0</v>
      </c>
      <c r="F25" s="1">
        <v>0</v>
      </c>
      <c r="G25" s="9">
        <f>SUM(ME_FINANCIAL)</f>
        <v>0</v>
      </c>
      <c r="I25" s="13"/>
      <c r="J25" s="16"/>
      <c r="L25" s="6"/>
      <c r="V25" s="9"/>
    </row>
    <row r="26" spans="1:22">
      <c r="A26" s="1" t="s">
        <v>45</v>
      </c>
      <c r="B26" s="6">
        <v>5547225.9532073559</v>
      </c>
      <c r="C26" s="1">
        <v>97329.379552473256</v>
      </c>
      <c r="D26" s="1">
        <v>200.04999999999995</v>
      </c>
      <c r="E26" s="1">
        <v>0</v>
      </c>
      <c r="F26" s="1">
        <v>0</v>
      </c>
      <c r="G26" s="9">
        <f>SUM(MD_FINANCIAL)</f>
        <v>5644755.3827598291</v>
      </c>
      <c r="I26" s="13" t="s">
        <v>46</v>
      </c>
      <c r="J26" s="16">
        <f>SUM(ADD_FINANCIAL)-SUM(LESS_FINANCIAL)</f>
        <v>101858824.70497227</v>
      </c>
      <c r="L26" s="6"/>
      <c r="V26" s="9"/>
    </row>
    <row r="27" spans="1:22">
      <c r="A27" s="1" t="s">
        <v>47</v>
      </c>
      <c r="B27" s="6">
        <v>0</v>
      </c>
      <c r="C27" s="1">
        <v>0</v>
      </c>
      <c r="D27" s="1">
        <v>0</v>
      </c>
      <c r="E27" s="1">
        <v>0</v>
      </c>
      <c r="F27" s="1">
        <v>0</v>
      </c>
      <c r="G27" s="9">
        <f>SUM(MA_FINANCIAL)</f>
        <v>0</v>
      </c>
      <c r="I27" s="13" t="s">
        <v>48</v>
      </c>
      <c r="J27" s="16">
        <f>SUM(ALL_BLOCKS)</f>
        <v>101858824.70497224</v>
      </c>
      <c r="L27" s="6"/>
      <c r="V27" s="9"/>
    </row>
    <row r="28" spans="1:22">
      <c r="A28" s="1" t="s">
        <v>49</v>
      </c>
      <c r="B28" s="6">
        <v>4967952.8101270627</v>
      </c>
      <c r="C28" s="1">
        <v>39403.240341974059</v>
      </c>
      <c r="D28" s="1">
        <v>15362.087699946669</v>
      </c>
      <c r="E28" s="1">
        <v>0</v>
      </c>
      <c r="F28" s="1">
        <v>0</v>
      </c>
      <c r="G28" s="9">
        <f>SUM(MI_FINANCIAL)</f>
        <v>5022718.1381689841</v>
      </c>
      <c r="I28" s="14"/>
      <c r="J28" s="17"/>
      <c r="L28" s="6"/>
      <c r="V28" s="9"/>
    </row>
    <row r="29" spans="1:22">
      <c r="A29" s="1" t="s">
        <v>50</v>
      </c>
      <c r="B29" s="6">
        <v>0</v>
      </c>
      <c r="C29" s="1">
        <v>0</v>
      </c>
      <c r="D29" s="1">
        <v>0</v>
      </c>
      <c r="E29" s="1">
        <v>0</v>
      </c>
      <c r="F29" s="1">
        <v>0</v>
      </c>
      <c r="G29" s="9">
        <f>SUM(MN_FINANCIAL)</f>
        <v>0</v>
      </c>
      <c r="L29" s="6"/>
      <c r="V29" s="9"/>
    </row>
    <row r="30" spans="1:22">
      <c r="A30" s="1" t="s">
        <v>51</v>
      </c>
      <c r="B30" s="6">
        <v>745639.19282730366</v>
      </c>
      <c r="C30" s="1">
        <v>0</v>
      </c>
      <c r="D30" s="1">
        <v>-718.29000000000019</v>
      </c>
      <c r="E30" s="1">
        <v>0</v>
      </c>
      <c r="F30" s="1">
        <v>0</v>
      </c>
      <c r="G30" s="9">
        <f>SUM(MS_FINANCIAL)</f>
        <v>744920.90282730362</v>
      </c>
      <c r="L30" s="6"/>
      <c r="V30" s="9"/>
    </row>
    <row r="31" spans="1:22">
      <c r="A31" s="1" t="s">
        <v>52</v>
      </c>
      <c r="B31" s="6">
        <v>1119839.2314763793</v>
      </c>
      <c r="C31" s="1">
        <v>0</v>
      </c>
      <c r="D31" s="1">
        <v>-149.05999999999997</v>
      </c>
      <c r="E31" s="1">
        <v>0</v>
      </c>
      <c r="F31" s="1">
        <v>0</v>
      </c>
      <c r="G31" s="9">
        <f>SUM(MO_FINANCIAL)</f>
        <v>1119690.1714763793</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64502.881897236213</v>
      </c>
      <c r="C34" s="1">
        <v>0</v>
      </c>
      <c r="D34" s="1">
        <v>0</v>
      </c>
      <c r="E34" s="1">
        <v>0</v>
      </c>
      <c r="F34" s="1">
        <v>0</v>
      </c>
      <c r="G34" s="9">
        <f>SUM(NV_FINANCIAL)</f>
        <v>64502.881897236213</v>
      </c>
      <c r="L34" s="6"/>
      <c r="V34" s="9"/>
    </row>
    <row r="35" spans="1:22">
      <c r="A35" s="1" t="s">
        <v>56</v>
      </c>
      <c r="B35" s="6">
        <v>0</v>
      </c>
      <c r="C35" s="1">
        <v>0</v>
      </c>
      <c r="D35" s="1">
        <v>0</v>
      </c>
      <c r="E35" s="1">
        <v>0</v>
      </c>
      <c r="F35" s="1">
        <v>0</v>
      </c>
      <c r="G35" s="9">
        <f>SUM(NH_FINANCIAL)</f>
        <v>0</v>
      </c>
      <c r="L35" s="6"/>
      <c r="V35" s="9"/>
    </row>
    <row r="36" spans="1:22">
      <c r="A36" s="1" t="s">
        <v>57</v>
      </c>
      <c r="B36" s="6">
        <v>2269987.7021946083</v>
      </c>
      <c r="C36" s="1">
        <v>14518.165519570446</v>
      </c>
      <c r="D36" s="1">
        <v>-18.3</v>
      </c>
      <c r="E36" s="1">
        <v>0</v>
      </c>
      <c r="F36" s="1">
        <v>0</v>
      </c>
      <c r="G36" s="9">
        <f>SUM(NJ_FINANCIAL)</f>
        <v>2284487.5677141789</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32369780.429201283</v>
      </c>
      <c r="C39" s="1">
        <v>1450222.2884847205</v>
      </c>
      <c r="D39" s="1">
        <v>-14864.389228889637</v>
      </c>
      <c r="E39" s="1">
        <v>0</v>
      </c>
      <c r="F39" s="1">
        <v>0</v>
      </c>
      <c r="G39" s="9">
        <f>SUM(NC_FINANCIAL)</f>
        <v>33805138.328457117</v>
      </c>
      <c r="L39" s="6"/>
      <c r="V39" s="9"/>
    </row>
    <row r="40" spans="1:22">
      <c r="A40" s="1" t="s">
        <v>61</v>
      </c>
      <c r="B40" s="6">
        <v>0</v>
      </c>
      <c r="C40" s="1">
        <v>0</v>
      </c>
      <c r="D40" s="1">
        <v>0</v>
      </c>
      <c r="E40" s="1">
        <v>0</v>
      </c>
      <c r="F40" s="1">
        <v>0</v>
      </c>
      <c r="G40" s="9">
        <f>SUM(ND_FINANCIAL)</f>
        <v>0</v>
      </c>
      <c r="L40" s="6"/>
      <c r="V40" s="9"/>
    </row>
    <row r="41" spans="1:22">
      <c r="A41" s="1" t="s">
        <v>62</v>
      </c>
      <c r="B41" s="6">
        <v>545661.84818490897</v>
      </c>
      <c r="C41" s="1">
        <v>266854.54716252181</v>
      </c>
      <c r="D41" s="1">
        <v>-231.72137980068783</v>
      </c>
      <c r="E41" s="1">
        <v>0</v>
      </c>
      <c r="F41" s="1">
        <v>0</v>
      </c>
      <c r="G41" s="9">
        <f>SUM(OH_FINANCIAL)</f>
        <v>812284.67396763014</v>
      </c>
      <c r="L41" s="6"/>
      <c r="V41" s="9"/>
    </row>
    <row r="42" spans="1:22">
      <c r="A42" s="1" t="s">
        <v>63</v>
      </c>
      <c r="B42" s="6">
        <v>65902.076423823615</v>
      </c>
      <c r="C42" s="1">
        <v>0</v>
      </c>
      <c r="D42" s="1">
        <v>0</v>
      </c>
      <c r="E42" s="1">
        <v>0</v>
      </c>
      <c r="F42" s="1">
        <v>0</v>
      </c>
      <c r="G42" s="9">
        <f>SUM(OK_FINANCIAL)</f>
        <v>65902.076423823615</v>
      </c>
      <c r="L42" s="6"/>
      <c r="V42" s="9"/>
    </row>
    <row r="43" spans="1:22">
      <c r="A43" s="1" t="s">
        <v>64</v>
      </c>
      <c r="B43" s="6">
        <v>0</v>
      </c>
      <c r="C43" s="1">
        <v>0</v>
      </c>
      <c r="D43" s="1">
        <v>0</v>
      </c>
      <c r="E43" s="1">
        <v>0</v>
      </c>
      <c r="F43" s="1">
        <v>0</v>
      </c>
      <c r="G43" s="9">
        <f>SUM(OR_FINANCIAL)</f>
        <v>0</v>
      </c>
      <c r="L43" s="6"/>
      <c r="V43" s="9"/>
    </row>
    <row r="44" spans="1:22">
      <c r="A44" s="1" t="s">
        <v>65</v>
      </c>
      <c r="B44" s="6">
        <v>6349420.2444451638</v>
      </c>
      <c r="C44" s="1">
        <v>25268.011489276767</v>
      </c>
      <c r="D44" s="1">
        <v>-757.63000000000022</v>
      </c>
      <c r="E44" s="1">
        <v>0</v>
      </c>
      <c r="F44" s="1">
        <v>0</v>
      </c>
      <c r="G44" s="9">
        <f>SUM(PA_FINANCIAL)</f>
        <v>6373930.6259344406</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4666989.0191004025</v>
      </c>
      <c r="C47" s="1">
        <v>161199.12048266636</v>
      </c>
      <c r="D47" s="1">
        <v>-8529.4500000000007</v>
      </c>
      <c r="E47" s="1">
        <v>0</v>
      </c>
      <c r="F47" s="1">
        <v>0</v>
      </c>
      <c r="G47" s="9">
        <f>SUM(SC_FINANCIAL)</f>
        <v>4819658.6895830687</v>
      </c>
      <c r="L47" s="6">
        <v>0</v>
      </c>
      <c r="M47" s="1">
        <v>0</v>
      </c>
      <c r="O47" s="1">
        <v>0</v>
      </c>
      <c r="P47" s="1">
        <v>0</v>
      </c>
      <c r="R47" s="1">
        <v>0</v>
      </c>
      <c r="S47" s="1">
        <v>0</v>
      </c>
      <c r="U47" s="1">
        <v>0</v>
      </c>
      <c r="V47" s="9">
        <v>0</v>
      </c>
    </row>
    <row r="48" spans="1:22">
      <c r="A48" s="1" t="s">
        <v>69</v>
      </c>
      <c r="B48" s="6">
        <v>0</v>
      </c>
      <c r="C48" s="1">
        <v>0</v>
      </c>
      <c r="D48" s="1">
        <v>0</v>
      </c>
      <c r="E48" s="1">
        <v>0</v>
      </c>
      <c r="F48" s="1">
        <v>0</v>
      </c>
      <c r="G48" s="9">
        <f>SUM(SD_FINANCIAL)</f>
        <v>0</v>
      </c>
      <c r="L48" s="6"/>
      <c r="V48" s="9"/>
    </row>
    <row r="49" spans="1:22">
      <c r="A49" s="1" t="s">
        <v>70</v>
      </c>
      <c r="B49" s="6">
        <v>3180860.5469686612</v>
      </c>
      <c r="C49" s="1">
        <v>56933.723661788448</v>
      </c>
      <c r="D49" s="1">
        <v>0</v>
      </c>
      <c r="E49" s="1">
        <v>0</v>
      </c>
      <c r="F49" s="1">
        <v>0</v>
      </c>
      <c r="G49" s="9">
        <f>SUM(TN_FINANCIAL)</f>
        <v>3237794.2706304495</v>
      </c>
      <c r="L49" s="6"/>
      <c r="V49" s="9"/>
    </row>
    <row r="50" spans="1:22">
      <c r="A50" s="1" t="s">
        <v>71</v>
      </c>
      <c r="B50" s="6">
        <v>1480886.9556432711</v>
      </c>
      <c r="C50" s="1">
        <v>97855.15557084787</v>
      </c>
      <c r="D50" s="1">
        <v>-1957.5100000000002</v>
      </c>
      <c r="E50" s="1">
        <v>0</v>
      </c>
      <c r="F50" s="1">
        <v>0</v>
      </c>
      <c r="G50" s="9">
        <f>SUM(TX_FINANCIAL)</f>
        <v>1576784.601214119</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6795210.6329046069</v>
      </c>
      <c r="C53" s="1">
        <v>87869.703113052907</v>
      </c>
      <c r="D53" s="1">
        <v>-10496.811831640331</v>
      </c>
      <c r="E53" s="1">
        <v>0</v>
      </c>
      <c r="F53" s="1">
        <v>0</v>
      </c>
      <c r="G53" s="9">
        <f>SUM(VA_FINANCIAL)</f>
        <v>6872583.5241860198</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99232016.762302294</v>
      </c>
      <c r="C60" s="1">
        <f>SUM(ALLOCATED)</f>
        <v>2646957.0364560862</v>
      </c>
      <c r="D60" s="1">
        <f>SUM(HEALTH)</f>
        <v>-20149.093786142446</v>
      </c>
      <c r="E60" s="1">
        <f>SUM(UNALLOCATED)</f>
        <v>0</v>
      </c>
      <c r="F60" s="1">
        <f>SUM(LTC)</f>
        <v>0</v>
      </c>
      <c r="G60" s="9">
        <f>SUM(ALL_BLOCKS)</f>
        <v>101858824.70497224</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154</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357628.78379136499</v>
      </c>
      <c r="E10" s="1">
        <v>0</v>
      </c>
      <c r="F10" s="1">
        <v>0</v>
      </c>
      <c r="G10" s="9">
        <f>SUM(CA_FINANCIAL)</f>
        <v>357628.78379136499</v>
      </c>
      <c r="I10" s="13" t="s">
        <v>17</v>
      </c>
      <c r="J10" s="16">
        <v>6382342.2200228013</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47252.233876911487</v>
      </c>
      <c r="E12" s="1">
        <v>0</v>
      </c>
      <c r="F12" s="1">
        <v>0</v>
      </c>
      <c r="G12" s="9">
        <f>SUM(CT_FINANCIAL)</f>
        <v>47252.233876911487</v>
      </c>
      <c r="I12" s="13" t="s">
        <v>20</v>
      </c>
      <c r="J12" s="16"/>
      <c r="L12" s="6"/>
      <c r="V12" s="9"/>
    </row>
    <row r="13" spans="1:22">
      <c r="A13" s="1" t="s">
        <v>21</v>
      </c>
      <c r="B13" s="6">
        <v>0</v>
      </c>
      <c r="C13" s="1">
        <v>0</v>
      </c>
      <c r="D13" s="1">
        <v>0</v>
      </c>
      <c r="E13" s="1">
        <v>0</v>
      </c>
      <c r="F13" s="1">
        <v>0</v>
      </c>
      <c r="G13" s="9">
        <f>SUM(DE_FINANCIAL)</f>
        <v>0</v>
      </c>
      <c r="I13" s="13" t="s">
        <v>22</v>
      </c>
      <c r="J13" s="16">
        <v>1048160.8101999999</v>
      </c>
      <c r="L13" s="6"/>
      <c r="V13" s="9"/>
    </row>
    <row r="14" spans="1:22">
      <c r="A14" s="1" t="s">
        <v>23</v>
      </c>
      <c r="B14" s="6">
        <v>0</v>
      </c>
      <c r="C14" s="1">
        <v>0</v>
      </c>
      <c r="D14" s="1">
        <v>0</v>
      </c>
      <c r="E14" s="1">
        <v>0</v>
      </c>
      <c r="F14" s="1">
        <v>0</v>
      </c>
      <c r="G14" s="9">
        <f>SUM(DC_FINANCIAL)</f>
        <v>0</v>
      </c>
      <c r="I14" s="13" t="s">
        <v>24</v>
      </c>
      <c r="J14" s="16">
        <v>551914.32999999996</v>
      </c>
      <c r="L14" s="6"/>
      <c r="V14" s="9"/>
    </row>
    <row r="15" spans="1:22">
      <c r="A15" s="1" t="s">
        <v>25</v>
      </c>
      <c r="B15" s="6">
        <v>0</v>
      </c>
      <c r="C15" s="1">
        <v>0</v>
      </c>
      <c r="D15" s="1">
        <v>2182838.9302175776</v>
      </c>
      <c r="E15" s="1">
        <v>0</v>
      </c>
      <c r="F15" s="1">
        <v>0</v>
      </c>
      <c r="G15" s="9">
        <f>SUM(FL_FINANCIAL)</f>
        <v>2182838.9302175776</v>
      </c>
      <c r="I15" s="13" t="s">
        <v>26</v>
      </c>
      <c r="J15" s="16">
        <v>935411.60588235408</v>
      </c>
      <c r="L15" s="6">
        <v>0</v>
      </c>
      <c r="M15" s="1">
        <v>0</v>
      </c>
      <c r="O15" s="1">
        <v>0</v>
      </c>
      <c r="P15" s="1">
        <v>0</v>
      </c>
      <c r="R15" s="1">
        <v>1300000</v>
      </c>
      <c r="S15" s="1">
        <v>0</v>
      </c>
      <c r="U15" s="1">
        <v>0</v>
      </c>
      <c r="V15" s="9">
        <v>0</v>
      </c>
    </row>
    <row r="16" spans="1:22">
      <c r="A16" s="1" t="s">
        <v>27</v>
      </c>
      <c r="B16" s="6">
        <v>0</v>
      </c>
      <c r="C16" s="1">
        <v>0</v>
      </c>
      <c r="D16" s="1">
        <v>0</v>
      </c>
      <c r="E16" s="1">
        <v>0</v>
      </c>
      <c r="F16" s="1">
        <v>0</v>
      </c>
      <c r="G16" s="9">
        <f>SUM(GA_FINANCIAL)</f>
        <v>0</v>
      </c>
      <c r="I16" s="13" t="s">
        <v>28</v>
      </c>
      <c r="J16" s="16">
        <v>5334181.4098228011</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11909.869449240337</v>
      </c>
      <c r="E19" s="1">
        <v>0</v>
      </c>
      <c r="F19" s="1">
        <v>0</v>
      </c>
      <c r="G19" s="9">
        <f>SUM(IL_FINANCIAL)</f>
        <v>11909.869449240337</v>
      </c>
      <c r="I19" s="13" t="s">
        <v>33</v>
      </c>
      <c r="J19" s="16">
        <v>2018826.0999999999</v>
      </c>
      <c r="L19" s="6"/>
      <c r="V19" s="9"/>
    </row>
    <row r="20" spans="1:22">
      <c r="A20" s="1" t="s">
        <v>34</v>
      </c>
      <c r="B20" s="6">
        <v>0</v>
      </c>
      <c r="C20" s="1">
        <v>0</v>
      </c>
      <c r="D20" s="1">
        <v>0</v>
      </c>
      <c r="E20" s="1">
        <v>0</v>
      </c>
      <c r="F20" s="1">
        <v>0</v>
      </c>
      <c r="G20" s="9">
        <f>SUM(IN_FINANCIAL)</f>
        <v>0</v>
      </c>
      <c r="I20" s="13" t="s">
        <v>35</v>
      </c>
      <c r="J20" s="16">
        <v>6382342.2200228013</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33343.918070223765</v>
      </c>
      <c r="E22" s="1">
        <v>0</v>
      </c>
      <c r="F22" s="1">
        <v>0</v>
      </c>
      <c r="G22" s="9">
        <f>SUM(KS_FINANCIAL)</f>
        <v>33343.918070223765</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0</v>
      </c>
      <c r="C25" s="1">
        <v>0</v>
      </c>
      <c r="D25" s="1">
        <v>235195.93016642323</v>
      </c>
      <c r="E25" s="1">
        <v>0</v>
      </c>
      <c r="F25" s="1">
        <v>0</v>
      </c>
      <c r="G25" s="9">
        <f>SUM(ME_FINANCIAL)</f>
        <v>235195.93016642323</v>
      </c>
      <c r="I25" s="13"/>
      <c r="J25" s="16"/>
      <c r="L25" s="6">
        <v>0</v>
      </c>
      <c r="M25" s="1">
        <v>0</v>
      </c>
      <c r="O25" s="1">
        <v>0</v>
      </c>
      <c r="P25" s="1">
        <v>0</v>
      </c>
      <c r="R25" s="1">
        <v>292496</v>
      </c>
      <c r="S25" s="1">
        <v>0</v>
      </c>
      <c r="U25" s="1">
        <v>0</v>
      </c>
      <c r="V25" s="9">
        <v>0</v>
      </c>
    </row>
    <row r="26" spans="1:22">
      <c r="A26" s="1" t="s">
        <v>45</v>
      </c>
      <c r="B26" s="6">
        <v>0</v>
      </c>
      <c r="C26" s="1">
        <v>0</v>
      </c>
      <c r="D26" s="1">
        <v>258493.45511427379</v>
      </c>
      <c r="E26" s="1">
        <v>0</v>
      </c>
      <c r="F26" s="1">
        <v>0</v>
      </c>
      <c r="G26" s="9">
        <f>SUM(MD_FINANCIAL)</f>
        <v>258493.45511427379</v>
      </c>
      <c r="I26" s="13" t="s">
        <v>46</v>
      </c>
      <c r="J26" s="16">
        <f>SUM(ADD_FINANCIAL)-SUM(LESS_FINANCIAL)</f>
        <v>5850842.0559051558</v>
      </c>
      <c r="L26" s="6"/>
      <c r="V26" s="9"/>
    </row>
    <row r="27" spans="1:22">
      <c r="A27" s="1" t="s">
        <v>47</v>
      </c>
      <c r="B27" s="6">
        <v>0</v>
      </c>
      <c r="C27" s="1">
        <v>0</v>
      </c>
      <c r="D27" s="1">
        <v>745738.02850078419</v>
      </c>
      <c r="E27" s="1">
        <v>0</v>
      </c>
      <c r="F27" s="1">
        <v>0</v>
      </c>
      <c r="G27" s="9">
        <f>SUM(MA_FINANCIAL)</f>
        <v>745738.02850078419</v>
      </c>
      <c r="I27" s="13" t="s">
        <v>48</v>
      </c>
      <c r="J27" s="16">
        <f>SUM(ALL_BLOCKS)</f>
        <v>5850842.055905154</v>
      </c>
      <c r="L27" s="6">
        <v>0</v>
      </c>
      <c r="M27" s="1">
        <v>0</v>
      </c>
      <c r="O27" s="1">
        <v>0</v>
      </c>
      <c r="P27" s="1">
        <v>0</v>
      </c>
      <c r="R27" s="1">
        <v>200000</v>
      </c>
      <c r="S27" s="1">
        <v>0</v>
      </c>
      <c r="U27" s="1">
        <v>0</v>
      </c>
      <c r="V27" s="9">
        <v>0</v>
      </c>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6514.272665376644</v>
      </c>
      <c r="E32" s="1">
        <v>0</v>
      </c>
      <c r="F32" s="1">
        <v>0</v>
      </c>
      <c r="G32" s="9">
        <f>SUM(MT_FINANCIAL)</f>
        <v>6514.272665376644</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187009.27935600834</v>
      </c>
      <c r="E35" s="1">
        <v>0</v>
      </c>
      <c r="F35" s="1">
        <v>0</v>
      </c>
      <c r="G35" s="9">
        <f>SUM(NH_FINANCIAL)</f>
        <v>187009.27935600834</v>
      </c>
      <c r="L35" s="6"/>
      <c r="V35" s="9"/>
    </row>
    <row r="36" spans="1:22">
      <c r="A36" s="1" t="s">
        <v>57</v>
      </c>
      <c r="B36" s="6">
        <v>0</v>
      </c>
      <c r="C36" s="1">
        <v>0</v>
      </c>
      <c r="D36" s="1">
        <v>741894.72665150126</v>
      </c>
      <c r="E36" s="1">
        <v>0</v>
      </c>
      <c r="F36" s="1">
        <v>0</v>
      </c>
      <c r="G36" s="9">
        <f>SUM(NJ_FINANCIAL)</f>
        <v>741894.72665150126</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-14133.229999999996</v>
      </c>
      <c r="E41" s="1">
        <v>0</v>
      </c>
      <c r="F41" s="1">
        <v>0</v>
      </c>
      <c r="G41" s="9">
        <f>SUM(OH_FINANCIAL)</f>
        <v>-14133.229999999996</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870375.28615180135</v>
      </c>
      <c r="E44" s="1">
        <v>0</v>
      </c>
      <c r="F44" s="1">
        <v>0</v>
      </c>
      <c r="G44" s="9">
        <f>SUM(PA_FINANCIAL)</f>
        <v>870375.28615180135</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186608.40602994649</v>
      </c>
      <c r="E50" s="1">
        <v>0</v>
      </c>
      <c r="F50" s="1">
        <v>0</v>
      </c>
      <c r="G50" s="9">
        <f>SUM(TX_FINANCIAL)</f>
        <v>186608.40602994649</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172.16586372123197</v>
      </c>
      <c r="E52" s="1">
        <v>0</v>
      </c>
      <c r="F52" s="1">
        <v>0</v>
      </c>
      <c r="G52" s="9">
        <f>SUM(VT_FINANCIAL)</f>
        <v>172.16586372123197</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5850842.055905154</v>
      </c>
      <c r="E60" s="1">
        <f>SUM(UNALLOCATED)</f>
        <v>0</v>
      </c>
      <c r="F60" s="1">
        <f>SUM(LTC)</f>
        <v>0</v>
      </c>
      <c r="G60" s="9">
        <f>SUM(ALL_BLOCKS)</f>
        <v>5850842.055905154</v>
      </c>
      <c r="L60" s="6">
        <f>SUM(LIFE_CALLED)</f>
        <v>0</v>
      </c>
      <c r="M60" s="1">
        <f>SUM(LIFE_REFUNDED)</f>
        <v>0</v>
      </c>
      <c r="O60" s="1">
        <f>SUM(ALLOC_CALLED)</f>
        <v>0</v>
      </c>
      <c r="P60" s="1">
        <f>SUM(ALLOC_REFUNDED)</f>
        <v>0</v>
      </c>
      <c r="R60" s="1">
        <f>SUM(HEALTH_CALLED)</f>
        <v>1792496</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155</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1962.0010553470431</v>
      </c>
      <c r="C6" s="1">
        <v>49727.331870488357</v>
      </c>
      <c r="D6" s="1">
        <v>0</v>
      </c>
      <c r="E6" s="1">
        <v>0</v>
      </c>
      <c r="F6" s="1">
        <v>0</v>
      </c>
      <c r="G6" s="9">
        <f>SUM(AL_FINANCIAL)</f>
        <v>51689.332925835399</v>
      </c>
      <c r="L6" s="6">
        <v>3000</v>
      </c>
      <c r="M6" s="1">
        <v>0</v>
      </c>
      <c r="O6" s="1">
        <v>13939</v>
      </c>
      <c r="P6" s="1">
        <v>0</v>
      </c>
      <c r="R6" s="1">
        <v>53000</v>
      </c>
      <c r="S6" s="1">
        <v>0</v>
      </c>
      <c r="U6" s="1">
        <v>0</v>
      </c>
      <c r="V6" s="9">
        <v>0</v>
      </c>
    </row>
    <row r="7" spans="1:22">
      <c r="A7" s="1" t="s">
        <v>12</v>
      </c>
      <c r="B7" s="6">
        <v>0</v>
      </c>
      <c r="C7" s="1">
        <v>0</v>
      </c>
      <c r="D7" s="1">
        <v>0</v>
      </c>
      <c r="E7" s="1">
        <v>0</v>
      </c>
      <c r="F7" s="1">
        <v>0</v>
      </c>
      <c r="G7" s="9">
        <f>SUM(AK_FINANCIAL)</f>
        <v>0</v>
      </c>
      <c r="I7" s="12"/>
      <c r="J7" s="15"/>
      <c r="L7" s="6"/>
      <c r="V7" s="9"/>
    </row>
    <row r="8" spans="1:22">
      <c r="A8" s="1" t="s">
        <v>13</v>
      </c>
      <c r="B8" s="6">
        <v>10009.955824345025</v>
      </c>
      <c r="C8" s="1">
        <v>1063400.6303061601</v>
      </c>
      <c r="D8" s="1">
        <v>0</v>
      </c>
      <c r="E8" s="1">
        <v>0</v>
      </c>
      <c r="F8" s="1">
        <v>0</v>
      </c>
      <c r="G8" s="9">
        <f>SUM(AZ_FINANCIAL)</f>
        <v>1073410.5861305052</v>
      </c>
      <c r="I8" s="13" t="s">
        <v>14</v>
      </c>
      <c r="J8" s="16"/>
      <c r="L8" s="6">
        <v>3960</v>
      </c>
      <c r="M8" s="1">
        <v>0</v>
      </c>
      <c r="O8" s="1">
        <v>656757</v>
      </c>
      <c r="P8" s="1">
        <v>0</v>
      </c>
      <c r="R8" s="1">
        <v>0</v>
      </c>
      <c r="S8" s="1">
        <v>0</v>
      </c>
      <c r="U8" s="1">
        <v>0</v>
      </c>
      <c r="V8" s="9">
        <v>0</v>
      </c>
    </row>
    <row r="9" spans="1:22">
      <c r="A9" s="1" t="s">
        <v>15</v>
      </c>
      <c r="B9" s="6">
        <v>0</v>
      </c>
      <c r="C9" s="1">
        <v>31152.847078431558</v>
      </c>
      <c r="D9" s="1">
        <v>0</v>
      </c>
      <c r="E9" s="1">
        <v>0</v>
      </c>
      <c r="F9" s="1">
        <v>0</v>
      </c>
      <c r="G9" s="9">
        <f>SUM(AR_FINANCIAL)</f>
        <v>31152.847078431558</v>
      </c>
      <c r="I9" s="13"/>
      <c r="J9" s="16"/>
      <c r="L9" s="6">
        <v>53995</v>
      </c>
      <c r="M9" s="1">
        <v>0</v>
      </c>
      <c r="O9" s="1">
        <v>0</v>
      </c>
      <c r="P9" s="1">
        <v>0</v>
      </c>
      <c r="R9" s="1">
        <v>0</v>
      </c>
      <c r="S9" s="1">
        <v>0</v>
      </c>
      <c r="U9" s="1">
        <v>0</v>
      </c>
      <c r="V9" s="9">
        <v>0</v>
      </c>
    </row>
    <row r="10" spans="1:22">
      <c r="A10" s="1" t="s">
        <v>16</v>
      </c>
      <c r="B10" s="6">
        <v>12928.170581021808</v>
      </c>
      <c r="C10" s="1">
        <v>173859.91811626701</v>
      </c>
      <c r="D10" s="1">
        <v>0</v>
      </c>
      <c r="E10" s="1">
        <v>0</v>
      </c>
      <c r="F10" s="1">
        <v>0</v>
      </c>
      <c r="G10" s="9">
        <f>SUM(CA_FINANCIAL)</f>
        <v>186788.08869728883</v>
      </c>
      <c r="I10" s="13" t="s">
        <v>17</v>
      </c>
      <c r="J10" s="16">
        <v>190939550.94</v>
      </c>
      <c r="L10" s="6">
        <v>22902</v>
      </c>
      <c r="M10" s="1">
        <v>0</v>
      </c>
      <c r="O10" s="1">
        <v>298758</v>
      </c>
      <c r="P10" s="1">
        <v>130000</v>
      </c>
      <c r="R10" s="1">
        <v>0</v>
      </c>
      <c r="S10" s="1">
        <v>0</v>
      </c>
      <c r="U10" s="1">
        <v>0</v>
      </c>
      <c r="V10" s="9">
        <v>0</v>
      </c>
    </row>
    <row r="11" spans="1:22">
      <c r="A11" s="1" t="s">
        <v>18</v>
      </c>
      <c r="B11" s="6">
        <v>56291.65827041179</v>
      </c>
      <c r="C11" s="1">
        <v>570410.38157304167</v>
      </c>
      <c r="D11" s="1">
        <v>0</v>
      </c>
      <c r="E11" s="1">
        <v>0</v>
      </c>
      <c r="F11" s="1">
        <v>0</v>
      </c>
      <c r="G11" s="9">
        <f>SUM(CO_FINANCIAL)</f>
        <v>626702.03984345344</v>
      </c>
      <c r="I11" s="13"/>
      <c r="J11" s="16"/>
      <c r="L11" s="6">
        <v>0</v>
      </c>
      <c r="M11" s="1">
        <v>0</v>
      </c>
      <c r="O11" s="1">
        <v>125000</v>
      </c>
      <c r="P11" s="1">
        <v>60000</v>
      </c>
      <c r="R11" s="1">
        <v>0</v>
      </c>
      <c r="S11" s="1">
        <v>0</v>
      </c>
      <c r="U11" s="1">
        <v>0</v>
      </c>
      <c r="V11" s="9">
        <v>0</v>
      </c>
    </row>
    <row r="12" spans="1:22">
      <c r="A12" s="1" t="s">
        <v>19</v>
      </c>
      <c r="B12" s="6">
        <v>0</v>
      </c>
      <c r="C12" s="1">
        <v>11164.114661889449</v>
      </c>
      <c r="D12" s="1">
        <v>0</v>
      </c>
      <c r="E12" s="1">
        <v>0</v>
      </c>
      <c r="F12" s="1">
        <v>0</v>
      </c>
      <c r="G12" s="9">
        <f>SUM(CT_FINANCIAL)</f>
        <v>11164.114661889449</v>
      </c>
      <c r="I12" s="13" t="s">
        <v>20</v>
      </c>
      <c r="J12" s="16"/>
      <c r="L12" s="6"/>
      <c r="V12" s="9"/>
    </row>
    <row r="13" spans="1:22">
      <c r="A13" s="1" t="s">
        <v>21</v>
      </c>
      <c r="B13" s="6">
        <v>0</v>
      </c>
      <c r="C13" s="1">
        <v>4559.5330385745201</v>
      </c>
      <c r="D13" s="1">
        <v>0</v>
      </c>
      <c r="E13" s="1">
        <v>0</v>
      </c>
      <c r="F13" s="1">
        <v>0</v>
      </c>
      <c r="G13" s="9">
        <f>SUM(DE_FINANCIAL)</f>
        <v>4559.5330385745201</v>
      </c>
      <c r="I13" s="13" t="s">
        <v>22</v>
      </c>
      <c r="J13" s="16">
        <v>0</v>
      </c>
      <c r="L13" s="6">
        <v>0</v>
      </c>
      <c r="M13" s="1">
        <v>0</v>
      </c>
      <c r="O13" s="1">
        <v>10500</v>
      </c>
      <c r="P13" s="1">
        <v>0</v>
      </c>
      <c r="R13" s="1">
        <v>0</v>
      </c>
      <c r="S13" s="1">
        <v>0</v>
      </c>
      <c r="U13" s="1">
        <v>0</v>
      </c>
      <c r="V13" s="9">
        <v>0</v>
      </c>
    </row>
    <row r="14" spans="1:22">
      <c r="A14" s="1" t="s">
        <v>23</v>
      </c>
      <c r="B14" s="6">
        <v>0</v>
      </c>
      <c r="C14" s="1">
        <v>0</v>
      </c>
      <c r="D14" s="1">
        <v>0</v>
      </c>
      <c r="E14" s="1">
        <v>0</v>
      </c>
      <c r="F14" s="1">
        <v>0</v>
      </c>
      <c r="G14" s="9">
        <f>SUM(DC_FINANCIAL)</f>
        <v>0</v>
      </c>
      <c r="I14" s="13" t="s">
        <v>24</v>
      </c>
      <c r="J14" s="16">
        <v>0</v>
      </c>
      <c r="L14" s="6"/>
      <c r="V14" s="9"/>
    </row>
    <row r="15" spans="1:22">
      <c r="A15" s="1" t="s">
        <v>25</v>
      </c>
      <c r="B15" s="6">
        <v>37796.885037794142</v>
      </c>
      <c r="C15" s="1">
        <v>1232498.4478503249</v>
      </c>
      <c r="D15" s="1">
        <v>0</v>
      </c>
      <c r="E15" s="1">
        <v>0</v>
      </c>
      <c r="F15" s="1">
        <v>0</v>
      </c>
      <c r="G15" s="9">
        <f>SUM(FL_FINANCIAL)</f>
        <v>1270295.3328881192</v>
      </c>
      <c r="I15" s="13" t="s">
        <v>26</v>
      </c>
      <c r="J15" s="16">
        <v>1707228.62</v>
      </c>
      <c r="L15" s="6">
        <v>140100</v>
      </c>
      <c r="M15" s="1">
        <v>0</v>
      </c>
      <c r="O15" s="1">
        <v>1600000</v>
      </c>
      <c r="P15" s="1">
        <v>0</v>
      </c>
      <c r="R15" s="1">
        <v>0</v>
      </c>
      <c r="S15" s="1">
        <v>0</v>
      </c>
      <c r="U15" s="1">
        <v>0</v>
      </c>
      <c r="V15" s="9">
        <v>0</v>
      </c>
    </row>
    <row r="16" spans="1:22">
      <c r="A16" s="1" t="s">
        <v>27</v>
      </c>
      <c r="B16" s="6">
        <v>45430.692084968854</v>
      </c>
      <c r="C16" s="1">
        <v>588879.34288418107</v>
      </c>
      <c r="D16" s="1">
        <v>0</v>
      </c>
      <c r="E16" s="1">
        <v>0</v>
      </c>
      <c r="F16" s="1">
        <v>0</v>
      </c>
      <c r="G16" s="9">
        <f>SUM(GA_FINANCIAL)</f>
        <v>634310.03496914997</v>
      </c>
      <c r="I16" s="13" t="s">
        <v>28</v>
      </c>
      <c r="J16" s="16">
        <v>0</v>
      </c>
      <c r="L16" s="6">
        <v>64460</v>
      </c>
      <c r="M16" s="1">
        <v>0</v>
      </c>
      <c r="O16" s="1">
        <v>935540</v>
      </c>
      <c r="P16" s="1">
        <v>45913.35</v>
      </c>
      <c r="R16" s="1">
        <v>0</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12113.018123164646</v>
      </c>
      <c r="C18" s="1">
        <v>432837.9705067313</v>
      </c>
      <c r="D18" s="1">
        <v>0</v>
      </c>
      <c r="E18" s="1">
        <v>0</v>
      </c>
      <c r="F18" s="1">
        <v>0</v>
      </c>
      <c r="G18" s="9">
        <f>SUM(ID_FINANCIAL)</f>
        <v>444950.98862989596</v>
      </c>
      <c r="I18" s="13" t="s">
        <v>31</v>
      </c>
      <c r="J18" s="16"/>
      <c r="L18" s="6">
        <v>22330</v>
      </c>
      <c r="M18" s="1">
        <v>0</v>
      </c>
      <c r="O18" s="1">
        <v>677670</v>
      </c>
      <c r="P18" s="1">
        <v>0</v>
      </c>
      <c r="R18" s="1">
        <v>0</v>
      </c>
      <c r="S18" s="1">
        <v>0</v>
      </c>
      <c r="U18" s="1">
        <v>0</v>
      </c>
      <c r="V18" s="9">
        <v>0</v>
      </c>
    </row>
    <row r="19" spans="1:22">
      <c r="A19" s="1" t="s">
        <v>32</v>
      </c>
      <c r="B19" s="6">
        <v>30251.278544995592</v>
      </c>
      <c r="C19" s="1">
        <v>432977.4499570136</v>
      </c>
      <c r="D19" s="1">
        <v>0</v>
      </c>
      <c r="E19" s="1">
        <v>0</v>
      </c>
      <c r="F19" s="1">
        <v>0</v>
      </c>
      <c r="G19" s="9">
        <f>SUM(IL_FINANCIAL)</f>
        <v>463228.72850200918</v>
      </c>
      <c r="I19" s="13" t="s">
        <v>33</v>
      </c>
      <c r="J19" s="16">
        <v>176081408.505</v>
      </c>
      <c r="L19" s="6">
        <v>75000</v>
      </c>
      <c r="M19" s="1">
        <v>0</v>
      </c>
      <c r="O19" s="1">
        <v>750000</v>
      </c>
      <c r="P19" s="1">
        <v>200000</v>
      </c>
      <c r="R19" s="1">
        <v>0</v>
      </c>
      <c r="S19" s="1">
        <v>0</v>
      </c>
      <c r="U19" s="1">
        <v>0</v>
      </c>
      <c r="V19" s="9">
        <v>0</v>
      </c>
    </row>
    <row r="20" spans="1:22">
      <c r="A20" s="1" t="s">
        <v>34</v>
      </c>
      <c r="B20" s="6">
        <v>51620.402225595353</v>
      </c>
      <c r="C20" s="1">
        <v>582272.31157752243</v>
      </c>
      <c r="D20" s="1">
        <v>0</v>
      </c>
      <c r="E20" s="1">
        <v>0</v>
      </c>
      <c r="F20" s="1">
        <v>0</v>
      </c>
      <c r="G20" s="9">
        <f>SUM(IN_FINANCIAL)</f>
        <v>633892.71380311775</v>
      </c>
      <c r="I20" s="13" t="s">
        <v>35</v>
      </c>
      <c r="J20" s="16">
        <v>250452.43500007124</v>
      </c>
      <c r="L20" s="6"/>
      <c r="V20" s="9"/>
    </row>
    <row r="21" spans="1:22">
      <c r="A21" s="1" t="s">
        <v>36</v>
      </c>
      <c r="B21" s="6">
        <v>0</v>
      </c>
      <c r="C21" s="1">
        <v>-4.6566128730773926E-10</v>
      </c>
      <c r="D21" s="1">
        <v>0</v>
      </c>
      <c r="E21" s="1">
        <v>0</v>
      </c>
      <c r="F21" s="1">
        <v>0</v>
      </c>
      <c r="G21" s="9">
        <f>SUM(IA_FINANCIAL)</f>
        <v>-4.6566128730773926E-10</v>
      </c>
      <c r="I21" s="13" t="s">
        <v>37</v>
      </c>
      <c r="J21" s="16"/>
      <c r="L21" s="6"/>
      <c r="V21" s="9"/>
    </row>
    <row r="22" spans="1:22">
      <c r="A22" s="1" t="s">
        <v>38</v>
      </c>
      <c r="B22" s="6">
        <v>10961.873710433116</v>
      </c>
      <c r="C22" s="1">
        <v>216885.59256377228</v>
      </c>
      <c r="D22" s="1">
        <v>0</v>
      </c>
      <c r="E22" s="1">
        <v>0</v>
      </c>
      <c r="F22" s="1">
        <v>0</v>
      </c>
      <c r="G22" s="9">
        <f>SUM(KS_FINANCIAL)</f>
        <v>227847.46627420539</v>
      </c>
      <c r="I22" s="13" t="s">
        <v>39</v>
      </c>
      <c r="J22" s="16">
        <v>0</v>
      </c>
      <c r="L22" s="6">
        <v>0</v>
      </c>
      <c r="M22" s="1">
        <v>0</v>
      </c>
      <c r="O22" s="1">
        <v>250000</v>
      </c>
      <c r="P22" s="1">
        <v>0</v>
      </c>
      <c r="R22" s="1">
        <v>0</v>
      </c>
      <c r="S22" s="1">
        <v>0</v>
      </c>
      <c r="U22" s="1">
        <v>0</v>
      </c>
      <c r="V22" s="9">
        <v>0</v>
      </c>
    </row>
    <row r="23" spans="1:22">
      <c r="A23" s="1" t="s">
        <v>40</v>
      </c>
      <c r="B23" s="6">
        <v>1264.0964243215658</v>
      </c>
      <c r="C23" s="1">
        <v>54984.063423921347</v>
      </c>
      <c r="D23" s="1">
        <v>0</v>
      </c>
      <c r="E23" s="1">
        <v>0</v>
      </c>
      <c r="F23" s="1">
        <v>0</v>
      </c>
      <c r="G23" s="9">
        <f>SUM(KY_FINANCIAL)</f>
        <v>56248.159848242911</v>
      </c>
      <c r="I23" s="13" t="s">
        <v>41</v>
      </c>
      <c r="J23" s="16"/>
      <c r="L23" s="6">
        <v>0</v>
      </c>
      <c r="M23" s="1">
        <v>0</v>
      </c>
      <c r="O23" s="1">
        <v>125172</v>
      </c>
      <c r="P23" s="1">
        <v>60390</v>
      </c>
      <c r="R23" s="1">
        <v>0</v>
      </c>
      <c r="S23" s="1">
        <v>0</v>
      </c>
      <c r="U23" s="1">
        <v>0</v>
      </c>
      <c r="V23" s="9">
        <v>0</v>
      </c>
    </row>
    <row r="24" spans="1:22">
      <c r="A24" s="1" t="s">
        <v>42</v>
      </c>
      <c r="B24" s="6">
        <v>0</v>
      </c>
      <c r="C24" s="1">
        <v>77012.260869034304</v>
      </c>
      <c r="D24" s="1">
        <v>0</v>
      </c>
      <c r="E24" s="1">
        <v>0</v>
      </c>
      <c r="F24" s="1">
        <v>0</v>
      </c>
      <c r="G24" s="9">
        <f>SUM(LA_FINANCIAL)</f>
        <v>77012.260869034304</v>
      </c>
      <c r="I24" s="13" t="s">
        <v>43</v>
      </c>
      <c r="J24" s="16">
        <v>5138282.9999999991</v>
      </c>
      <c r="L24" s="6">
        <v>5650</v>
      </c>
      <c r="M24" s="1">
        <v>0</v>
      </c>
      <c r="O24" s="1">
        <v>107350</v>
      </c>
      <c r="P24" s="1">
        <v>0</v>
      </c>
      <c r="R24" s="1">
        <v>0</v>
      </c>
      <c r="S24" s="1">
        <v>0</v>
      </c>
      <c r="U24" s="1">
        <v>0</v>
      </c>
      <c r="V24" s="9">
        <v>0</v>
      </c>
    </row>
    <row r="25" spans="1:22">
      <c r="A25" s="1" t="s">
        <v>44</v>
      </c>
      <c r="B25" s="6">
        <v>8811.5221343022404</v>
      </c>
      <c r="C25" s="1">
        <v>180810.33867395355</v>
      </c>
      <c r="D25" s="1">
        <v>0</v>
      </c>
      <c r="E25" s="1">
        <v>0</v>
      </c>
      <c r="F25" s="1">
        <v>0</v>
      </c>
      <c r="G25" s="9">
        <f>SUM(ME_FINANCIAL)</f>
        <v>189621.86080825579</v>
      </c>
      <c r="I25" s="13"/>
      <c r="J25" s="16"/>
      <c r="L25" s="6">
        <v>12350</v>
      </c>
      <c r="M25" s="1">
        <v>0</v>
      </c>
      <c r="O25" s="1">
        <v>292650</v>
      </c>
      <c r="P25" s="1">
        <v>0</v>
      </c>
      <c r="R25" s="1">
        <v>0</v>
      </c>
      <c r="S25" s="1">
        <v>0</v>
      </c>
      <c r="U25" s="1">
        <v>0</v>
      </c>
      <c r="V25" s="9">
        <v>0</v>
      </c>
    </row>
    <row r="26" spans="1:22">
      <c r="A26" s="1" t="s">
        <v>45</v>
      </c>
      <c r="B26" s="6">
        <v>3359.7728076700696</v>
      </c>
      <c r="C26" s="1">
        <v>35741.119168891004</v>
      </c>
      <c r="D26" s="1">
        <v>0</v>
      </c>
      <c r="E26" s="1">
        <v>0</v>
      </c>
      <c r="F26" s="1">
        <v>0</v>
      </c>
      <c r="G26" s="9">
        <f>SUM(MD_FINANCIAL)</f>
        <v>39100.891976561077</v>
      </c>
      <c r="I26" s="13" t="s">
        <v>46</v>
      </c>
      <c r="J26" s="16">
        <f>SUM(ADD_FINANCIAL)-SUM(LESS_FINANCIAL)</f>
        <v>11176635.619999945</v>
      </c>
      <c r="L26" s="6">
        <v>4000</v>
      </c>
      <c r="M26" s="1">
        <v>0</v>
      </c>
      <c r="O26" s="1">
        <v>66000</v>
      </c>
      <c r="P26" s="1">
        <v>0</v>
      </c>
      <c r="R26" s="1">
        <v>0</v>
      </c>
      <c r="S26" s="1">
        <v>0</v>
      </c>
      <c r="U26" s="1">
        <v>0</v>
      </c>
      <c r="V26" s="9">
        <v>0</v>
      </c>
    </row>
    <row r="27" spans="1:22">
      <c r="A27" s="1" t="s">
        <v>47</v>
      </c>
      <c r="B27" s="6">
        <v>0</v>
      </c>
      <c r="C27" s="1">
        <v>0</v>
      </c>
      <c r="D27" s="1">
        <v>0</v>
      </c>
      <c r="E27" s="1">
        <v>0</v>
      </c>
      <c r="F27" s="1">
        <v>0</v>
      </c>
      <c r="G27" s="9">
        <f>SUM(MA_FINANCIAL)</f>
        <v>0</v>
      </c>
      <c r="I27" s="13" t="s">
        <v>48</v>
      </c>
      <c r="J27" s="16">
        <f>SUM(ALL_BLOCKS)</f>
        <v>11176635.619999932</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56247.356603770459</v>
      </c>
      <c r="D30" s="1">
        <v>0</v>
      </c>
      <c r="E30" s="1">
        <v>0</v>
      </c>
      <c r="F30" s="1">
        <v>0</v>
      </c>
      <c r="G30" s="9">
        <f>SUM(MS_FINANCIAL)</f>
        <v>56247.356603770459</v>
      </c>
      <c r="L30" s="6">
        <v>0</v>
      </c>
      <c r="M30" s="1">
        <v>0</v>
      </c>
      <c r="O30" s="1">
        <v>54422</v>
      </c>
      <c r="P30" s="1">
        <v>0</v>
      </c>
      <c r="R30" s="1">
        <v>0</v>
      </c>
      <c r="S30" s="1">
        <v>0</v>
      </c>
      <c r="U30" s="1">
        <v>0</v>
      </c>
      <c r="V30" s="9">
        <v>0</v>
      </c>
    </row>
    <row r="31" spans="1:22">
      <c r="A31" s="1" t="s">
        <v>52</v>
      </c>
      <c r="B31" s="6">
        <v>18298.32239196889</v>
      </c>
      <c r="C31" s="1">
        <v>774056.65162775887</v>
      </c>
      <c r="D31" s="1">
        <v>0</v>
      </c>
      <c r="E31" s="1">
        <v>0</v>
      </c>
      <c r="F31" s="1">
        <v>0</v>
      </c>
      <c r="G31" s="9">
        <f>SUM(MO_FINANCIAL)</f>
        <v>792354.97401972779</v>
      </c>
      <c r="L31" s="6">
        <v>0</v>
      </c>
      <c r="M31" s="1">
        <v>0</v>
      </c>
      <c r="O31" s="1">
        <v>1852021</v>
      </c>
      <c r="P31" s="1">
        <v>0</v>
      </c>
      <c r="R31" s="1">
        <v>0</v>
      </c>
      <c r="S31" s="1">
        <v>0</v>
      </c>
      <c r="U31" s="1">
        <v>0</v>
      </c>
      <c r="V31" s="9">
        <v>0</v>
      </c>
    </row>
    <row r="32" spans="1:22">
      <c r="A32" s="1" t="s">
        <v>53</v>
      </c>
      <c r="B32" s="6">
        <v>286.41942255182676</v>
      </c>
      <c r="C32" s="1">
        <v>107377.88777935733</v>
      </c>
      <c r="D32" s="1">
        <v>0</v>
      </c>
      <c r="E32" s="1">
        <v>0</v>
      </c>
      <c r="F32" s="1">
        <v>0</v>
      </c>
      <c r="G32" s="9">
        <f>SUM(MT_FINANCIAL)</f>
        <v>107664.30720190916</v>
      </c>
      <c r="L32" s="6">
        <v>0</v>
      </c>
      <c r="M32" s="1">
        <v>0</v>
      </c>
      <c r="O32" s="1">
        <v>160000</v>
      </c>
      <c r="P32" s="1">
        <v>0</v>
      </c>
      <c r="R32" s="1">
        <v>0</v>
      </c>
      <c r="S32" s="1">
        <v>0</v>
      </c>
      <c r="U32" s="1">
        <v>0</v>
      </c>
      <c r="V32" s="9">
        <v>0</v>
      </c>
    </row>
    <row r="33" spans="1:22">
      <c r="A33" s="1" t="s">
        <v>54</v>
      </c>
      <c r="B33" s="6">
        <v>14954.441321092085</v>
      </c>
      <c r="C33" s="1">
        <v>455785.42797848268</v>
      </c>
      <c r="D33" s="1">
        <v>0</v>
      </c>
      <c r="E33" s="1">
        <v>0</v>
      </c>
      <c r="F33" s="1">
        <v>0</v>
      </c>
      <c r="G33" s="9">
        <f>SUM(NE_FINANCIAL)</f>
        <v>470739.86929957476</v>
      </c>
      <c r="L33" s="6">
        <v>23000</v>
      </c>
      <c r="M33" s="1">
        <v>0</v>
      </c>
      <c r="O33" s="1">
        <v>747728</v>
      </c>
      <c r="P33" s="1">
        <v>0</v>
      </c>
      <c r="R33" s="1">
        <v>0</v>
      </c>
      <c r="S33" s="1">
        <v>0</v>
      </c>
      <c r="U33" s="1">
        <v>0</v>
      </c>
      <c r="V33" s="9">
        <v>0</v>
      </c>
    </row>
    <row r="34" spans="1:22">
      <c r="A34" s="1" t="s">
        <v>55</v>
      </c>
      <c r="B34" s="6">
        <v>6517.7295116900059</v>
      </c>
      <c r="C34" s="1">
        <v>79482.847731417656</v>
      </c>
      <c r="D34" s="1">
        <v>0</v>
      </c>
      <c r="E34" s="1">
        <v>0</v>
      </c>
      <c r="F34" s="1">
        <v>0</v>
      </c>
      <c r="G34" s="9">
        <f>SUM(NV_FINANCIAL)</f>
        <v>86000.577243107662</v>
      </c>
      <c r="L34" s="6">
        <v>6900</v>
      </c>
      <c r="M34" s="1">
        <v>0</v>
      </c>
      <c r="O34" s="1">
        <v>91000</v>
      </c>
      <c r="P34" s="1">
        <v>0</v>
      </c>
      <c r="R34" s="1">
        <v>0</v>
      </c>
      <c r="S34" s="1">
        <v>0</v>
      </c>
      <c r="U34" s="1">
        <v>0</v>
      </c>
      <c r="V34" s="9">
        <v>0</v>
      </c>
    </row>
    <row r="35" spans="1:22">
      <c r="A35" s="1" t="s">
        <v>56</v>
      </c>
      <c r="B35" s="6">
        <v>0</v>
      </c>
      <c r="C35" s="1">
        <v>72467.262056729684</v>
      </c>
      <c r="D35" s="1">
        <v>0</v>
      </c>
      <c r="E35" s="1">
        <v>0</v>
      </c>
      <c r="F35" s="1">
        <v>0</v>
      </c>
      <c r="G35" s="9">
        <f>SUM(NH_FINANCIAL)</f>
        <v>72467.262056729684</v>
      </c>
      <c r="L35" s="6">
        <v>0</v>
      </c>
      <c r="M35" s="1">
        <v>0</v>
      </c>
      <c r="O35" s="1">
        <v>100000</v>
      </c>
      <c r="P35" s="1">
        <v>0</v>
      </c>
      <c r="R35" s="1">
        <v>0</v>
      </c>
      <c r="S35" s="1">
        <v>0</v>
      </c>
      <c r="U35" s="1">
        <v>0</v>
      </c>
      <c r="V35" s="9">
        <v>0</v>
      </c>
    </row>
    <row r="36" spans="1:22">
      <c r="A36" s="1" t="s">
        <v>57</v>
      </c>
      <c r="B36" s="6">
        <v>0</v>
      </c>
      <c r="C36" s="1">
        <v>-9.3132257461547852E-10</v>
      </c>
      <c r="D36" s="1">
        <v>0</v>
      </c>
      <c r="E36" s="1">
        <v>0</v>
      </c>
      <c r="F36" s="1">
        <v>0</v>
      </c>
      <c r="G36" s="9">
        <f>SUM(NJ_FINANCIAL)</f>
        <v>-9.3132257461547852E-10</v>
      </c>
      <c r="L36" s="6"/>
      <c r="V36" s="9"/>
    </row>
    <row r="37" spans="1:22">
      <c r="A37" s="1" t="s">
        <v>58</v>
      </c>
      <c r="B37" s="6">
        <v>568.10571212911225</v>
      </c>
      <c r="C37" s="1">
        <v>194889.64403849823</v>
      </c>
      <c r="D37" s="1">
        <v>0</v>
      </c>
      <c r="E37" s="1">
        <v>0</v>
      </c>
      <c r="F37" s="1">
        <v>0</v>
      </c>
      <c r="G37" s="9">
        <f>SUM(NM_FINANCIAL)</f>
        <v>195457.74975062735</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93769.819181190411</v>
      </c>
      <c r="C41" s="1">
        <v>789102.28498801915</v>
      </c>
      <c r="D41" s="1">
        <v>0</v>
      </c>
      <c r="E41" s="1">
        <v>0</v>
      </c>
      <c r="F41" s="1">
        <v>0</v>
      </c>
      <c r="G41" s="9">
        <f>SUM(OH_FINANCIAL)</f>
        <v>882872.1041692096</v>
      </c>
      <c r="L41" s="6">
        <v>130000</v>
      </c>
      <c r="M41" s="1">
        <v>0</v>
      </c>
      <c r="O41" s="1">
        <v>1070000</v>
      </c>
      <c r="P41" s="1">
        <v>0</v>
      </c>
      <c r="R41" s="1">
        <v>0</v>
      </c>
      <c r="S41" s="1">
        <v>0</v>
      </c>
      <c r="U41" s="1">
        <v>0</v>
      </c>
      <c r="V41" s="9">
        <v>0</v>
      </c>
    </row>
    <row r="42" spans="1:22">
      <c r="A42" s="1" t="s">
        <v>63</v>
      </c>
      <c r="B42" s="6">
        <v>0</v>
      </c>
      <c r="C42" s="1">
        <v>284681.77318788919</v>
      </c>
      <c r="D42" s="1">
        <v>0</v>
      </c>
      <c r="E42" s="1">
        <v>0</v>
      </c>
      <c r="F42" s="1">
        <v>0</v>
      </c>
      <c r="G42" s="9">
        <f>SUM(OK_FINANCIAL)</f>
        <v>284681.77318788919</v>
      </c>
      <c r="L42" s="6">
        <v>0</v>
      </c>
      <c r="M42" s="1">
        <v>0</v>
      </c>
      <c r="O42" s="1">
        <v>600000</v>
      </c>
      <c r="P42" s="1">
        <v>200000</v>
      </c>
      <c r="R42" s="1">
        <v>0</v>
      </c>
      <c r="S42" s="1">
        <v>0</v>
      </c>
      <c r="U42" s="1">
        <v>0</v>
      </c>
      <c r="V42" s="9">
        <v>0</v>
      </c>
    </row>
    <row r="43" spans="1:22">
      <c r="A43" s="1" t="s">
        <v>64</v>
      </c>
      <c r="B43" s="6">
        <v>0</v>
      </c>
      <c r="C43" s="1">
        <v>29376.097375355406</v>
      </c>
      <c r="D43" s="1">
        <v>0</v>
      </c>
      <c r="E43" s="1">
        <v>0</v>
      </c>
      <c r="F43" s="1">
        <v>0</v>
      </c>
      <c r="G43" s="9">
        <f>SUM(OR_FINANCIAL)</f>
        <v>29376.097375355406</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2319.4595470287577</v>
      </c>
      <c r="D46" s="1">
        <v>0</v>
      </c>
      <c r="E46" s="1">
        <v>0</v>
      </c>
      <c r="F46" s="1">
        <v>0</v>
      </c>
      <c r="G46" s="9">
        <f>SUM(RI_FINANCIAL)</f>
        <v>2319.4595470287577</v>
      </c>
      <c r="L46" s="6"/>
      <c r="V46" s="9"/>
    </row>
    <row r="47" spans="1:22">
      <c r="A47" s="1" t="s">
        <v>68</v>
      </c>
      <c r="B47" s="6">
        <v>0</v>
      </c>
      <c r="C47" s="1">
        <v>195662.30622008836</v>
      </c>
      <c r="D47" s="1">
        <v>0</v>
      </c>
      <c r="E47" s="1">
        <v>0</v>
      </c>
      <c r="F47" s="1">
        <v>0</v>
      </c>
      <c r="G47" s="9">
        <f>SUM(SC_FINANCIAL)</f>
        <v>195662.30622008836</v>
      </c>
      <c r="L47" s="6">
        <v>0</v>
      </c>
      <c r="M47" s="1">
        <v>0</v>
      </c>
      <c r="O47" s="1">
        <v>200000</v>
      </c>
      <c r="P47" s="1">
        <v>0</v>
      </c>
      <c r="R47" s="1">
        <v>0</v>
      </c>
      <c r="S47" s="1">
        <v>0</v>
      </c>
      <c r="U47" s="1">
        <v>0</v>
      </c>
      <c r="V47" s="9">
        <v>0</v>
      </c>
    </row>
    <row r="48" spans="1:22">
      <c r="A48" s="1" t="s">
        <v>69</v>
      </c>
      <c r="B48" s="6">
        <v>0</v>
      </c>
      <c r="C48" s="1">
        <v>0</v>
      </c>
      <c r="D48" s="1">
        <v>0</v>
      </c>
      <c r="E48" s="1">
        <v>0</v>
      </c>
      <c r="F48" s="1">
        <v>0</v>
      </c>
      <c r="G48" s="9">
        <f>SUM(SD_FINANCIAL)</f>
        <v>0</v>
      </c>
      <c r="L48" s="6"/>
      <c r="V48" s="9"/>
    </row>
    <row r="49" spans="1:22">
      <c r="A49" s="1" t="s">
        <v>70</v>
      </c>
      <c r="B49" s="6">
        <v>1690.1590616221431</v>
      </c>
      <c r="C49" s="1">
        <v>79428.896408618282</v>
      </c>
      <c r="D49" s="1">
        <v>0</v>
      </c>
      <c r="E49" s="1">
        <v>0</v>
      </c>
      <c r="F49" s="1">
        <v>0</v>
      </c>
      <c r="G49" s="9">
        <f>SUM(TN_FINANCIAL)</f>
        <v>81119.055470240419</v>
      </c>
      <c r="L49" s="6">
        <v>10000</v>
      </c>
      <c r="M49" s="1">
        <v>0</v>
      </c>
      <c r="O49" s="1">
        <v>115000</v>
      </c>
      <c r="P49" s="1">
        <v>0</v>
      </c>
      <c r="R49" s="1">
        <v>0</v>
      </c>
      <c r="S49" s="1">
        <v>0</v>
      </c>
      <c r="U49" s="1">
        <v>0</v>
      </c>
      <c r="V49" s="9">
        <v>0</v>
      </c>
    </row>
    <row r="50" spans="1:22">
      <c r="A50" s="1" t="s">
        <v>71</v>
      </c>
      <c r="B50" s="6">
        <v>56457.675564678735</v>
      </c>
      <c r="C50" s="1">
        <v>1214716.5862136623</v>
      </c>
      <c r="D50" s="1">
        <v>0</v>
      </c>
      <c r="E50" s="1">
        <v>0</v>
      </c>
      <c r="F50" s="1">
        <v>0</v>
      </c>
      <c r="G50" s="9">
        <f>SUM(TX_FINANCIAL)</f>
        <v>1271174.2617783411</v>
      </c>
      <c r="L50" s="6">
        <v>185265</v>
      </c>
      <c r="M50" s="1">
        <v>42450.53</v>
      </c>
      <c r="O50" s="1">
        <v>1924605</v>
      </c>
      <c r="P50" s="1">
        <v>441025.47000000003</v>
      </c>
      <c r="R50" s="1">
        <v>13</v>
      </c>
      <c r="S50" s="1">
        <v>1</v>
      </c>
      <c r="U50" s="1">
        <v>0</v>
      </c>
      <c r="V50" s="9">
        <v>0</v>
      </c>
    </row>
    <row r="51" spans="1:22">
      <c r="A51" s="1" t="s">
        <v>72</v>
      </c>
      <c r="B51" s="6">
        <v>7939.5715256585299</v>
      </c>
      <c r="C51" s="1">
        <v>51953.849844040844</v>
      </c>
      <c r="D51" s="1">
        <v>0</v>
      </c>
      <c r="E51" s="1">
        <v>0</v>
      </c>
      <c r="F51" s="1">
        <v>0</v>
      </c>
      <c r="G51" s="9">
        <f>SUM(UT_FINANCIAL)</f>
        <v>59893.421369699376</v>
      </c>
      <c r="L51" s="6">
        <v>29068</v>
      </c>
      <c r="M51" s="1">
        <v>0</v>
      </c>
      <c r="O51" s="1">
        <v>50931</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42711.789156096471</v>
      </c>
      <c r="C53" s="1">
        <v>390570.50765115384</v>
      </c>
      <c r="D53" s="1">
        <v>0</v>
      </c>
      <c r="E53" s="1">
        <v>0</v>
      </c>
      <c r="F53" s="1">
        <v>0</v>
      </c>
      <c r="G53" s="9">
        <f>SUM(VA_FINANCIAL)</f>
        <v>433282.2968072503</v>
      </c>
      <c r="L53" s="6">
        <v>67230</v>
      </c>
      <c r="M53" s="1">
        <v>0</v>
      </c>
      <c r="O53" s="1">
        <v>465271</v>
      </c>
      <c r="P53" s="1">
        <v>172914</v>
      </c>
      <c r="R53" s="1">
        <v>0</v>
      </c>
      <c r="S53" s="1">
        <v>0</v>
      </c>
      <c r="U53" s="1">
        <v>0</v>
      </c>
      <c r="V53" s="9">
        <v>0</v>
      </c>
    </row>
    <row r="54" spans="1:22">
      <c r="A54" s="1" t="s">
        <v>75</v>
      </c>
      <c r="B54" s="6">
        <v>0</v>
      </c>
      <c r="C54" s="1">
        <v>-4.6566128730773926E-10</v>
      </c>
      <c r="D54" s="1">
        <v>0</v>
      </c>
      <c r="E54" s="1">
        <v>0</v>
      </c>
      <c r="F54" s="1">
        <v>0</v>
      </c>
      <c r="G54" s="9">
        <f>SUM(WA_FINANCIAL)</f>
        <v>-4.6566128730773926E-10</v>
      </c>
      <c r="L54" s="6"/>
      <c r="V54" s="9"/>
    </row>
    <row r="55" spans="1:22">
      <c r="A55" s="1" t="s">
        <v>76</v>
      </c>
      <c r="B55" s="6">
        <v>0</v>
      </c>
      <c r="C55" s="1">
        <v>133347.76695481065</v>
      </c>
      <c r="D55" s="1">
        <v>0</v>
      </c>
      <c r="E55" s="1">
        <v>0</v>
      </c>
      <c r="F55" s="1">
        <v>0</v>
      </c>
      <c r="G55" s="9">
        <f>SUM(WV_FINANCIAL)</f>
        <v>133347.76695481065</v>
      </c>
      <c r="L55" s="6">
        <v>0</v>
      </c>
      <c r="M55" s="1">
        <v>0</v>
      </c>
      <c r="O55" s="1">
        <v>220000</v>
      </c>
      <c r="P55" s="1">
        <v>49006</v>
      </c>
      <c r="R55" s="1">
        <v>0</v>
      </c>
      <c r="S55" s="1">
        <v>0</v>
      </c>
      <c r="U55" s="1">
        <v>0</v>
      </c>
      <c r="V55" s="9">
        <v>0</v>
      </c>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525995.35967304953</v>
      </c>
      <c r="C60" s="1">
        <f>SUM(ALLOCATED)</f>
        <v>10650640.260326877</v>
      </c>
      <c r="D60" s="1">
        <f>SUM(HEALTH)</f>
        <v>0</v>
      </c>
      <c r="E60" s="1">
        <f>SUM(UNALLOCATED)</f>
        <v>0</v>
      </c>
      <c r="F60" s="1">
        <f>SUM(LTC)</f>
        <v>0</v>
      </c>
      <c r="G60" s="9">
        <f>SUM(ALL_BLOCKS)</f>
        <v>11176635.619999932</v>
      </c>
      <c r="L60" s="6">
        <f>SUM(LIFE_CALLED)</f>
        <v>859210</v>
      </c>
      <c r="M60" s="1">
        <f>SUM(LIFE_REFUNDED)</f>
        <v>42450.53</v>
      </c>
      <c r="O60" s="1">
        <f>SUM(ALLOC_CALLED)</f>
        <v>13560314</v>
      </c>
      <c r="P60" s="1">
        <f>SUM(ALLOC_REFUNDED)</f>
        <v>1359248.82</v>
      </c>
      <c r="R60" s="1">
        <f>SUM(HEALTH_CALLED)</f>
        <v>53013</v>
      </c>
      <c r="S60" s="1">
        <f>SUM(HEALTH_REFUNDED)</f>
        <v>1</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156</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21390848.639099997</v>
      </c>
      <c r="L10" s="6"/>
      <c r="V10" s="9"/>
    </row>
    <row r="11" spans="1:22">
      <c r="A11" s="1" t="s">
        <v>18</v>
      </c>
      <c r="B11" s="6">
        <v>105380.13046458495</v>
      </c>
      <c r="C11" s="1">
        <v>77716.360417622913</v>
      </c>
      <c r="D11" s="1">
        <v>4061.7123345762084</v>
      </c>
      <c r="E11" s="1">
        <v>0</v>
      </c>
      <c r="F11" s="1">
        <v>0</v>
      </c>
      <c r="G11" s="9">
        <f>SUM(CO_FINANCIAL)</f>
        <v>187158.20321678408</v>
      </c>
      <c r="I11" s="13"/>
      <c r="J11" s="16"/>
      <c r="L11" s="6">
        <v>265000</v>
      </c>
      <c r="M11" s="1">
        <v>0</v>
      </c>
      <c r="O11" s="1">
        <v>230000</v>
      </c>
      <c r="P11" s="1">
        <v>0</v>
      </c>
      <c r="R11" s="1">
        <v>5000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291176.92999999988</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6079.7391907090541</v>
      </c>
      <c r="C18" s="1">
        <v>15766.278408437818</v>
      </c>
      <c r="D18" s="1">
        <v>974.09046637177812</v>
      </c>
      <c r="E18" s="1">
        <v>0</v>
      </c>
      <c r="F18" s="1">
        <v>0</v>
      </c>
      <c r="G18" s="9">
        <f>SUM(ID_FINANCIAL)</f>
        <v>22820.108065518649</v>
      </c>
      <c r="I18" s="13" t="s">
        <v>31</v>
      </c>
      <c r="J18" s="16"/>
      <c r="L18" s="6">
        <v>18218</v>
      </c>
      <c r="M18" s="1">
        <v>0</v>
      </c>
      <c r="O18" s="1">
        <v>36782</v>
      </c>
      <c r="P18" s="1">
        <v>0</v>
      </c>
      <c r="R18" s="1">
        <v>0</v>
      </c>
      <c r="S18" s="1">
        <v>0</v>
      </c>
      <c r="U18" s="1">
        <v>0</v>
      </c>
      <c r="V18" s="9">
        <v>0</v>
      </c>
    </row>
    <row r="19" spans="1:22">
      <c r="A19" s="1" t="s">
        <v>32</v>
      </c>
      <c r="B19" s="6">
        <v>0</v>
      </c>
      <c r="C19" s="1">
        <v>0</v>
      </c>
      <c r="D19" s="1">
        <v>0</v>
      </c>
      <c r="E19" s="1">
        <v>0</v>
      </c>
      <c r="F19" s="1">
        <v>0</v>
      </c>
      <c r="G19" s="9">
        <f>SUM(IL_FINANCIAL)</f>
        <v>0</v>
      </c>
      <c r="I19" s="13" t="s">
        <v>33</v>
      </c>
      <c r="J19" s="16">
        <v>14856392</v>
      </c>
      <c r="L19" s="6"/>
      <c r="V19" s="9"/>
    </row>
    <row r="20" spans="1:22">
      <c r="A20" s="1" t="s">
        <v>34</v>
      </c>
      <c r="B20" s="6">
        <v>0</v>
      </c>
      <c r="C20" s="1">
        <v>0</v>
      </c>
      <c r="D20" s="1">
        <v>0</v>
      </c>
      <c r="E20" s="1">
        <v>0</v>
      </c>
      <c r="F20" s="1">
        <v>0</v>
      </c>
      <c r="G20" s="9">
        <f>SUM(IN_FINANCIAL)</f>
        <v>0</v>
      </c>
      <c r="I20" s="13" t="s">
        <v>35</v>
      </c>
      <c r="J20" s="16">
        <v>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2754999</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2596550.9999999995</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1474083.5690999962</v>
      </c>
      <c r="L26" s="6"/>
      <c r="V26" s="9"/>
    </row>
    <row r="27" spans="1:22">
      <c r="A27" s="1" t="s">
        <v>47</v>
      </c>
      <c r="B27" s="6">
        <v>0</v>
      </c>
      <c r="C27" s="1">
        <v>0</v>
      </c>
      <c r="D27" s="1">
        <v>0</v>
      </c>
      <c r="E27" s="1">
        <v>0</v>
      </c>
      <c r="F27" s="1">
        <v>0</v>
      </c>
      <c r="G27" s="9">
        <f>SUM(MA_FINANCIAL)</f>
        <v>0</v>
      </c>
      <c r="I27" s="13" t="s">
        <v>48</v>
      </c>
      <c r="J27" s="16">
        <f>SUM(ALL_BLOCKS)</f>
        <v>1474083.5691</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12880.392288419818</v>
      </c>
      <c r="C32" s="1">
        <v>966.71801063343423</v>
      </c>
      <c r="D32" s="1">
        <v>465.8244653606049</v>
      </c>
      <c r="E32" s="1">
        <v>0</v>
      </c>
      <c r="F32" s="1">
        <v>0</v>
      </c>
      <c r="G32" s="9">
        <f>SUM(MT_FINANCIAL)</f>
        <v>14312.934764413858</v>
      </c>
      <c r="L32" s="6">
        <v>30000</v>
      </c>
      <c r="M32" s="1">
        <v>0</v>
      </c>
      <c r="O32" s="1">
        <v>0</v>
      </c>
      <c r="P32" s="1">
        <v>0</v>
      </c>
      <c r="R32" s="1">
        <v>0</v>
      </c>
      <c r="S32" s="1">
        <v>0</v>
      </c>
      <c r="U32" s="1">
        <v>0</v>
      </c>
      <c r="V32" s="9">
        <v>0</v>
      </c>
    </row>
    <row r="33" spans="1:22">
      <c r="A33" s="1" t="s">
        <v>54</v>
      </c>
      <c r="B33" s="6">
        <v>689.11759118365444</v>
      </c>
      <c r="C33" s="1">
        <v>3267.5807195329762</v>
      </c>
      <c r="D33" s="1">
        <v>22.165199321494697</v>
      </c>
      <c r="E33" s="1">
        <v>0</v>
      </c>
      <c r="F33" s="1">
        <v>0</v>
      </c>
      <c r="G33" s="9">
        <f>SUM(NE_FINANCIAL)</f>
        <v>3978.8635100381252</v>
      </c>
      <c r="L33" s="6">
        <v>28935</v>
      </c>
      <c r="M33" s="1">
        <v>0</v>
      </c>
      <c r="O33" s="1">
        <v>77694</v>
      </c>
      <c r="P33" s="1">
        <v>0</v>
      </c>
      <c r="R33" s="1">
        <v>0</v>
      </c>
      <c r="S33" s="1">
        <v>0</v>
      </c>
      <c r="U33" s="1">
        <v>0</v>
      </c>
      <c r="V33" s="9">
        <v>0</v>
      </c>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47930.183782199696</v>
      </c>
      <c r="C37" s="1">
        <v>24758.064901972317</v>
      </c>
      <c r="D37" s="1">
        <v>3292.1362128114156</v>
      </c>
      <c r="E37" s="1">
        <v>0</v>
      </c>
      <c r="F37" s="1">
        <v>0</v>
      </c>
      <c r="G37" s="9">
        <f>SUM(NM_FINANCIAL)</f>
        <v>75980.384896983422</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295.46804106394598</v>
      </c>
      <c r="C40" s="1">
        <v>574.23202422952534</v>
      </c>
      <c r="D40" s="1">
        <v>9.3908050118765516</v>
      </c>
      <c r="E40" s="1">
        <v>0</v>
      </c>
      <c r="F40" s="1">
        <v>0</v>
      </c>
      <c r="G40" s="9">
        <f>SUM(ND_FINANCIAL)</f>
        <v>879.09087030534783</v>
      </c>
      <c r="L40" s="6">
        <v>1000</v>
      </c>
      <c r="M40" s="1">
        <v>0</v>
      </c>
      <c r="O40" s="1">
        <v>1000</v>
      </c>
      <c r="P40" s="1">
        <v>0</v>
      </c>
      <c r="R40" s="1">
        <v>0</v>
      </c>
      <c r="S40" s="1">
        <v>0</v>
      </c>
      <c r="U40" s="1">
        <v>0</v>
      </c>
      <c r="V40" s="9">
        <v>0</v>
      </c>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6460.5250101997153</v>
      </c>
      <c r="C48" s="1">
        <v>5017.9099929657959</v>
      </c>
      <c r="D48" s="1">
        <v>1358.0113559783847</v>
      </c>
      <c r="E48" s="1">
        <v>0</v>
      </c>
      <c r="F48" s="1">
        <v>0</v>
      </c>
      <c r="G48" s="9">
        <f>SUM(SD_FINANCIAL)</f>
        <v>12836.446359143896</v>
      </c>
      <c r="L48" s="6">
        <v>24000</v>
      </c>
      <c r="M48" s="1">
        <v>0</v>
      </c>
      <c r="O48" s="1">
        <v>7228</v>
      </c>
      <c r="P48" s="1">
        <v>0</v>
      </c>
      <c r="R48" s="1">
        <v>0</v>
      </c>
      <c r="S48" s="1">
        <v>0</v>
      </c>
      <c r="U48" s="1">
        <v>0</v>
      </c>
      <c r="V48" s="9">
        <v>0</v>
      </c>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5726.8829651670922</v>
      </c>
      <c r="C51" s="1">
        <v>0</v>
      </c>
      <c r="D51" s="1">
        <v>239.05049554694821</v>
      </c>
      <c r="E51" s="1">
        <v>0</v>
      </c>
      <c r="F51" s="1">
        <v>0</v>
      </c>
      <c r="G51" s="9">
        <f>SUM(UT_FINANCIAL)</f>
        <v>5965.9334607140399</v>
      </c>
      <c r="L51" s="6">
        <v>18000</v>
      </c>
      <c r="M51" s="1">
        <v>0</v>
      </c>
      <c r="O51" s="1">
        <v>0</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10115.274184277332</v>
      </c>
      <c r="C54" s="1">
        <v>0</v>
      </c>
      <c r="D54" s="1">
        <v>1224.8459285210597</v>
      </c>
      <c r="E54" s="1">
        <v>0</v>
      </c>
      <c r="F54" s="1">
        <v>0</v>
      </c>
      <c r="G54" s="9">
        <f>SUM(WA_FINANCIAL)</f>
        <v>11340.120112798391</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454042.12233999406</v>
      </c>
      <c r="C57" s="1">
        <v>632259.56460591336</v>
      </c>
      <c r="D57" s="1">
        <v>52509.79689739272</v>
      </c>
      <c r="E57" s="1">
        <v>0</v>
      </c>
      <c r="F57" s="1">
        <v>0</v>
      </c>
      <c r="G57" s="9">
        <f>SUM(WY_FINANCIAL)</f>
        <v>1138811.4838433</v>
      </c>
      <c r="L57" s="6">
        <v>1600148</v>
      </c>
      <c r="M57" s="1">
        <v>0</v>
      </c>
      <c r="O57" s="1">
        <v>2718848</v>
      </c>
      <c r="P57" s="1">
        <v>0</v>
      </c>
      <c r="R57" s="1">
        <v>30000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649599.83585779928</v>
      </c>
      <c r="C60" s="1">
        <f>SUM(ALLOCATED)</f>
        <v>760326.7090813081</v>
      </c>
      <c r="D60" s="1">
        <f>SUM(HEALTH)</f>
        <v>64157.024160892492</v>
      </c>
      <c r="E60" s="1">
        <f>SUM(UNALLOCATED)</f>
        <v>0</v>
      </c>
      <c r="F60" s="1">
        <f>SUM(LTC)</f>
        <v>0</v>
      </c>
      <c r="G60" s="9">
        <f>SUM(ALL_BLOCKS)</f>
        <v>1474083.5691</v>
      </c>
      <c r="L60" s="6">
        <f>SUM(LIFE_CALLED)</f>
        <v>1985301</v>
      </c>
      <c r="M60" s="1">
        <f>SUM(LIFE_REFUNDED)</f>
        <v>0</v>
      </c>
      <c r="O60" s="1">
        <f>SUM(ALLOC_CALLED)</f>
        <v>3071552</v>
      </c>
      <c r="P60" s="1">
        <f>SUM(ALLOC_REFUNDED)</f>
        <v>0</v>
      </c>
      <c r="R60" s="1">
        <f>SUM(HEALTH_CALLED)</f>
        <v>35000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157</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41016.598918888827</v>
      </c>
      <c r="C6" s="1">
        <v>18216.684281940252</v>
      </c>
      <c r="D6" s="1">
        <v>0</v>
      </c>
      <c r="E6" s="1">
        <v>0</v>
      </c>
      <c r="F6" s="1">
        <v>0</v>
      </c>
      <c r="G6" s="9">
        <f>SUM(AL_FINANCIAL)</f>
        <v>59233.283200829079</v>
      </c>
      <c r="L6" s="6">
        <v>52000</v>
      </c>
      <c r="M6" s="1">
        <v>0</v>
      </c>
      <c r="O6" s="1">
        <v>6439</v>
      </c>
      <c r="P6" s="1">
        <v>0</v>
      </c>
      <c r="R6" s="1">
        <v>0</v>
      </c>
      <c r="S6" s="1">
        <v>0</v>
      </c>
      <c r="U6" s="1">
        <v>0</v>
      </c>
      <c r="V6" s="9">
        <v>0</v>
      </c>
    </row>
    <row r="7" spans="1:22">
      <c r="A7" s="1" t="s">
        <v>12</v>
      </c>
      <c r="B7" s="6">
        <v>0</v>
      </c>
      <c r="C7" s="1">
        <v>0</v>
      </c>
      <c r="D7" s="1">
        <v>0</v>
      </c>
      <c r="E7" s="1">
        <v>0</v>
      </c>
      <c r="F7" s="1">
        <v>0</v>
      </c>
      <c r="G7" s="9">
        <f>SUM(AK_FINANCIAL)</f>
        <v>0</v>
      </c>
      <c r="I7" s="12"/>
      <c r="J7" s="15"/>
      <c r="L7" s="6">
        <v>110</v>
      </c>
      <c r="M7" s="1">
        <v>0</v>
      </c>
      <c r="O7" s="1">
        <v>0</v>
      </c>
      <c r="P7" s="1">
        <v>0</v>
      </c>
      <c r="R7" s="1">
        <v>0</v>
      </c>
      <c r="S7" s="1">
        <v>0</v>
      </c>
      <c r="U7" s="1">
        <v>0</v>
      </c>
      <c r="V7" s="9">
        <v>0</v>
      </c>
    </row>
    <row r="8" spans="1:22">
      <c r="A8" s="1" t="s">
        <v>13</v>
      </c>
      <c r="B8" s="6">
        <v>562873.04993936257</v>
      </c>
      <c r="C8" s="1">
        <v>953959.97063714778</v>
      </c>
      <c r="D8" s="1">
        <v>0</v>
      </c>
      <c r="E8" s="1">
        <v>0</v>
      </c>
      <c r="F8" s="1">
        <v>0</v>
      </c>
      <c r="G8" s="9">
        <f>SUM(AZ_FINANCIAL)</f>
        <v>1516833.0205765103</v>
      </c>
      <c r="I8" s="13" t="s">
        <v>14</v>
      </c>
      <c r="J8" s="16"/>
      <c r="L8" s="6">
        <v>689003</v>
      </c>
      <c r="M8" s="1">
        <v>0</v>
      </c>
      <c r="O8" s="1">
        <v>391573</v>
      </c>
      <c r="P8" s="1">
        <v>0</v>
      </c>
      <c r="R8" s="1">
        <v>0</v>
      </c>
      <c r="S8" s="1">
        <v>0</v>
      </c>
      <c r="U8" s="1">
        <v>0</v>
      </c>
      <c r="V8" s="9">
        <v>0</v>
      </c>
    </row>
    <row r="9" spans="1:22">
      <c r="A9" s="1" t="s">
        <v>15</v>
      </c>
      <c r="B9" s="6">
        <v>53504.016112616839</v>
      </c>
      <c r="C9" s="1">
        <v>99283.018669156489</v>
      </c>
      <c r="D9" s="1">
        <v>0</v>
      </c>
      <c r="E9" s="1">
        <v>0</v>
      </c>
      <c r="F9" s="1">
        <v>0</v>
      </c>
      <c r="G9" s="9">
        <f>SUM(AR_FINANCIAL)</f>
        <v>152787.03478177334</v>
      </c>
      <c r="I9" s="13"/>
      <c r="J9" s="16"/>
      <c r="L9" s="6">
        <v>190247</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286944298</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13437.614711387589</v>
      </c>
      <c r="C13" s="1">
        <v>4719.14881419829</v>
      </c>
      <c r="D13" s="1">
        <v>0</v>
      </c>
      <c r="E13" s="1">
        <v>0</v>
      </c>
      <c r="F13" s="1">
        <v>0</v>
      </c>
      <c r="G13" s="9">
        <f>SUM(DE_FINANCIAL)</f>
        <v>18156.763525585877</v>
      </c>
      <c r="I13" s="13" t="s">
        <v>22</v>
      </c>
      <c r="J13" s="16">
        <v>37921.869999999995</v>
      </c>
      <c r="L13" s="6">
        <v>18000</v>
      </c>
      <c r="M13" s="1">
        <v>0</v>
      </c>
      <c r="O13" s="1">
        <v>27000</v>
      </c>
      <c r="P13" s="1">
        <v>0</v>
      </c>
      <c r="R13" s="1">
        <v>0</v>
      </c>
      <c r="S13" s="1">
        <v>0</v>
      </c>
      <c r="U13" s="1">
        <v>0</v>
      </c>
      <c r="V13" s="9">
        <v>0</v>
      </c>
    </row>
    <row r="14" spans="1:22">
      <c r="A14" s="1" t="s">
        <v>23</v>
      </c>
      <c r="B14" s="6">
        <v>0</v>
      </c>
      <c r="C14" s="1">
        <v>0</v>
      </c>
      <c r="D14" s="1">
        <v>0</v>
      </c>
      <c r="E14" s="1">
        <v>0</v>
      </c>
      <c r="F14" s="1">
        <v>0</v>
      </c>
      <c r="G14" s="9">
        <f>SUM(DC_FINANCIAL)</f>
        <v>0</v>
      </c>
      <c r="I14" s="13" t="s">
        <v>24</v>
      </c>
      <c r="J14" s="16">
        <v>0</v>
      </c>
      <c r="L14" s="6"/>
      <c r="V14" s="9"/>
    </row>
    <row r="15" spans="1:22">
      <c r="A15" s="1" t="s">
        <v>25</v>
      </c>
      <c r="B15" s="6">
        <v>833739.94934081787</v>
      </c>
      <c r="C15" s="1">
        <v>651194.01144719159</v>
      </c>
      <c r="D15" s="1">
        <v>0</v>
      </c>
      <c r="E15" s="1">
        <v>0</v>
      </c>
      <c r="F15" s="1">
        <v>0</v>
      </c>
      <c r="G15" s="9">
        <f>SUM(FL_FINANCIAL)</f>
        <v>1484933.9607880095</v>
      </c>
      <c r="I15" s="13" t="s">
        <v>26</v>
      </c>
      <c r="J15" s="16">
        <v>4234013.8900000006</v>
      </c>
      <c r="L15" s="6">
        <v>1050000</v>
      </c>
      <c r="M15" s="1">
        <v>0</v>
      </c>
      <c r="O15" s="1">
        <v>610000</v>
      </c>
      <c r="P15" s="1">
        <v>0</v>
      </c>
      <c r="R15" s="1">
        <v>0</v>
      </c>
      <c r="S15" s="1">
        <v>0</v>
      </c>
      <c r="U15" s="1">
        <v>0</v>
      </c>
      <c r="V15" s="9">
        <v>0</v>
      </c>
    </row>
    <row r="16" spans="1:22">
      <c r="A16" s="1" t="s">
        <v>27</v>
      </c>
      <c r="B16" s="6">
        <v>88528.730966546849</v>
      </c>
      <c r="C16" s="1">
        <v>66960.511673847635</v>
      </c>
      <c r="D16" s="1">
        <v>0</v>
      </c>
      <c r="E16" s="1">
        <v>0</v>
      </c>
      <c r="F16" s="1">
        <v>0</v>
      </c>
      <c r="G16" s="9">
        <f>SUM(GA_FINANCIAL)</f>
        <v>155489.24264039448</v>
      </c>
      <c r="I16" s="13" t="s">
        <v>28</v>
      </c>
      <c r="J16" s="16">
        <v>0</v>
      </c>
      <c r="L16" s="6">
        <v>700000</v>
      </c>
      <c r="M16" s="1">
        <v>0</v>
      </c>
      <c r="O16" s="1">
        <v>300000</v>
      </c>
      <c r="P16" s="1">
        <v>7626.91</v>
      </c>
      <c r="R16" s="1">
        <v>0</v>
      </c>
      <c r="S16" s="1">
        <v>0</v>
      </c>
      <c r="U16" s="1">
        <v>0</v>
      </c>
      <c r="V16" s="9">
        <v>0</v>
      </c>
    </row>
    <row r="17" spans="1:22">
      <c r="A17" s="1" t="s">
        <v>29</v>
      </c>
      <c r="B17" s="6">
        <v>1116713.0212970136</v>
      </c>
      <c r="C17" s="1">
        <v>271035.88320471195</v>
      </c>
      <c r="D17" s="1">
        <v>0</v>
      </c>
      <c r="E17" s="1">
        <v>0</v>
      </c>
      <c r="F17" s="1">
        <v>0</v>
      </c>
      <c r="G17" s="9">
        <f>SUM(HI_FINANCIAL)</f>
        <v>1387748.9045017255</v>
      </c>
      <c r="I17" s="13"/>
      <c r="J17" s="16"/>
      <c r="L17" s="6">
        <v>1498749</v>
      </c>
      <c r="M17" s="1">
        <v>0</v>
      </c>
      <c r="O17" s="1">
        <v>326850</v>
      </c>
      <c r="P17" s="1">
        <v>0</v>
      </c>
      <c r="R17" s="1">
        <v>1129</v>
      </c>
      <c r="S17" s="1">
        <v>0</v>
      </c>
      <c r="U17" s="1">
        <v>0</v>
      </c>
      <c r="V17" s="9">
        <v>0</v>
      </c>
    </row>
    <row r="18" spans="1:22">
      <c r="A18" s="1" t="s">
        <v>30</v>
      </c>
      <c r="B18" s="6">
        <v>337624.52893879544</v>
      </c>
      <c r="C18" s="1">
        <v>658539.71998381882</v>
      </c>
      <c r="D18" s="1">
        <v>0</v>
      </c>
      <c r="E18" s="1">
        <v>0</v>
      </c>
      <c r="F18" s="1">
        <v>0</v>
      </c>
      <c r="G18" s="9">
        <f>SUM(ID_FINANCIAL)</f>
        <v>996164.24892261426</v>
      </c>
      <c r="I18" s="13" t="s">
        <v>31</v>
      </c>
      <c r="J18" s="16"/>
      <c r="L18" s="6">
        <v>801000</v>
      </c>
      <c r="M18" s="1">
        <v>765495</v>
      </c>
      <c r="O18" s="1">
        <v>987000</v>
      </c>
      <c r="P18" s="1">
        <v>0</v>
      </c>
      <c r="R18" s="1">
        <v>12000</v>
      </c>
      <c r="S18" s="1">
        <v>0</v>
      </c>
      <c r="U18" s="1">
        <v>0</v>
      </c>
      <c r="V18" s="9">
        <v>0</v>
      </c>
    </row>
    <row r="19" spans="1:22">
      <c r="A19" s="1" t="s">
        <v>32</v>
      </c>
      <c r="B19" s="6">
        <v>575072.04567004193</v>
      </c>
      <c r="C19" s="1">
        <v>731599.17904769559</v>
      </c>
      <c r="D19" s="1">
        <v>0</v>
      </c>
      <c r="E19" s="1">
        <v>0</v>
      </c>
      <c r="F19" s="1">
        <v>0</v>
      </c>
      <c r="G19" s="9">
        <f>SUM(IL_FINANCIAL)</f>
        <v>1306671.2247177376</v>
      </c>
      <c r="I19" s="13" t="s">
        <v>33</v>
      </c>
      <c r="J19" s="16">
        <v>202443924.18881601</v>
      </c>
      <c r="L19" s="6">
        <v>940000</v>
      </c>
      <c r="M19" s="1">
        <v>302000</v>
      </c>
      <c r="O19" s="1">
        <v>810000</v>
      </c>
      <c r="P19" s="1">
        <v>194000</v>
      </c>
      <c r="R19" s="1">
        <v>0</v>
      </c>
      <c r="S19" s="1">
        <v>0</v>
      </c>
      <c r="U19" s="1">
        <v>0</v>
      </c>
      <c r="V19" s="9">
        <v>0</v>
      </c>
    </row>
    <row r="20" spans="1:22">
      <c r="A20" s="1" t="s">
        <v>34</v>
      </c>
      <c r="B20" s="6">
        <v>119633.93625063084</v>
      </c>
      <c r="C20" s="1">
        <v>193575.14855894167</v>
      </c>
      <c r="D20" s="1">
        <v>0</v>
      </c>
      <c r="E20" s="1">
        <v>0</v>
      </c>
      <c r="F20" s="1">
        <v>0</v>
      </c>
      <c r="G20" s="9">
        <f>SUM(IN_FINANCIAL)</f>
        <v>313209.08480957249</v>
      </c>
      <c r="I20" s="13" t="s">
        <v>35</v>
      </c>
      <c r="J20" s="16">
        <v>32137465.317571491</v>
      </c>
      <c r="L20" s="6"/>
      <c r="V20" s="9"/>
    </row>
    <row r="21" spans="1:22">
      <c r="A21" s="1" t="s">
        <v>36</v>
      </c>
      <c r="B21" s="6">
        <v>76345.387741026731</v>
      </c>
      <c r="C21" s="1">
        <v>157453.13393958157</v>
      </c>
      <c r="D21" s="1">
        <v>0</v>
      </c>
      <c r="E21" s="1">
        <v>0</v>
      </c>
      <c r="F21" s="1">
        <v>0</v>
      </c>
      <c r="G21" s="9">
        <f>SUM(IA_FINANCIAL)</f>
        <v>233798.5216806083</v>
      </c>
      <c r="I21" s="13" t="s">
        <v>37</v>
      </c>
      <c r="J21" s="16"/>
      <c r="L21" s="6">
        <v>200000</v>
      </c>
      <c r="M21" s="1">
        <v>0</v>
      </c>
      <c r="O21" s="1">
        <v>0</v>
      </c>
      <c r="P21" s="1">
        <v>0</v>
      </c>
      <c r="R21" s="1">
        <v>0</v>
      </c>
      <c r="S21" s="1">
        <v>0</v>
      </c>
      <c r="U21" s="1">
        <v>0</v>
      </c>
      <c r="V21" s="9">
        <v>0</v>
      </c>
    </row>
    <row r="22" spans="1:22">
      <c r="A22" s="1" t="s">
        <v>38</v>
      </c>
      <c r="B22" s="6">
        <v>0</v>
      </c>
      <c r="C22" s="1">
        <v>0</v>
      </c>
      <c r="D22" s="1">
        <v>0</v>
      </c>
      <c r="E22" s="1">
        <v>0</v>
      </c>
      <c r="F22" s="1">
        <v>0</v>
      </c>
      <c r="G22" s="9">
        <f>SUM(KS_FINANCIAL)</f>
        <v>0</v>
      </c>
      <c r="I22" s="13" t="s">
        <v>39</v>
      </c>
      <c r="J22" s="16">
        <v>27830305.493612494</v>
      </c>
      <c r="L22" s="6"/>
      <c r="V22" s="9"/>
    </row>
    <row r="23" spans="1:22">
      <c r="A23" s="1" t="s">
        <v>40</v>
      </c>
      <c r="B23" s="6">
        <v>110755.68997327801</v>
      </c>
      <c r="C23" s="1">
        <v>63241.22334880237</v>
      </c>
      <c r="D23" s="1">
        <v>0</v>
      </c>
      <c r="E23" s="1">
        <v>0</v>
      </c>
      <c r="F23" s="1">
        <v>0</v>
      </c>
      <c r="G23" s="9">
        <f>SUM(KY_FINANCIAL)</f>
        <v>173996.91332208039</v>
      </c>
      <c r="I23" s="13" t="s">
        <v>41</v>
      </c>
      <c r="J23" s="16"/>
      <c r="L23" s="6">
        <v>119576</v>
      </c>
      <c r="M23" s="1">
        <v>0</v>
      </c>
      <c r="O23" s="1">
        <v>56024</v>
      </c>
      <c r="P23" s="1">
        <v>0</v>
      </c>
      <c r="R23" s="1">
        <v>0</v>
      </c>
      <c r="S23" s="1">
        <v>0</v>
      </c>
      <c r="U23" s="1">
        <v>0</v>
      </c>
      <c r="V23" s="9">
        <v>0</v>
      </c>
    </row>
    <row r="24" spans="1:22">
      <c r="A24" s="1" t="s">
        <v>42</v>
      </c>
      <c r="B24" s="6">
        <v>0</v>
      </c>
      <c r="C24" s="1">
        <v>0</v>
      </c>
      <c r="D24" s="1">
        <v>0</v>
      </c>
      <c r="E24" s="1">
        <v>0</v>
      </c>
      <c r="F24" s="1">
        <v>0</v>
      </c>
      <c r="G24" s="9">
        <f>SUM(LA_FINANCIAL)</f>
        <v>0</v>
      </c>
      <c r="I24" s="13" t="s">
        <v>43</v>
      </c>
      <c r="J24" s="16">
        <v>381030.99999999994</v>
      </c>
      <c r="L24" s="6"/>
      <c r="V24" s="9"/>
    </row>
    <row r="25" spans="1:22">
      <c r="A25" s="1" t="s">
        <v>44</v>
      </c>
      <c r="B25" s="6">
        <v>140150.53701118837</v>
      </c>
      <c r="C25" s="1">
        <v>236492.11827458662</v>
      </c>
      <c r="D25" s="1">
        <v>0</v>
      </c>
      <c r="E25" s="1">
        <v>0</v>
      </c>
      <c r="F25" s="1">
        <v>0</v>
      </c>
      <c r="G25" s="9">
        <f>SUM(ME_FINANCIAL)</f>
        <v>376642.65528577496</v>
      </c>
      <c r="I25" s="13"/>
      <c r="J25" s="16"/>
      <c r="L25" s="6">
        <v>134289</v>
      </c>
      <c r="M25" s="1">
        <v>0</v>
      </c>
      <c r="O25" s="1">
        <v>290711</v>
      </c>
      <c r="P25" s="1">
        <v>0</v>
      </c>
      <c r="R25" s="1">
        <v>0</v>
      </c>
      <c r="S25" s="1">
        <v>0</v>
      </c>
      <c r="U25" s="1">
        <v>0</v>
      </c>
      <c r="V25" s="9">
        <v>0</v>
      </c>
    </row>
    <row r="26" spans="1:22">
      <c r="A26" s="1" t="s">
        <v>45</v>
      </c>
      <c r="B26" s="6">
        <v>0</v>
      </c>
      <c r="C26" s="1">
        <v>0</v>
      </c>
      <c r="D26" s="1">
        <v>0</v>
      </c>
      <c r="E26" s="1">
        <v>0</v>
      </c>
      <c r="F26" s="1">
        <v>0</v>
      </c>
      <c r="G26" s="9">
        <f>SUM(MD_FINANCIAL)</f>
        <v>0</v>
      </c>
      <c r="I26" s="13" t="s">
        <v>46</v>
      </c>
      <c r="J26" s="16">
        <f>SUM(ADD_FINANCIAL)-SUM(LESS_FINANCIAL)</f>
        <v>28423507.75999999</v>
      </c>
      <c r="L26" s="6"/>
      <c r="V26" s="9"/>
    </row>
    <row r="27" spans="1:22">
      <c r="A27" s="1" t="s">
        <v>47</v>
      </c>
      <c r="B27" s="6">
        <v>141776.91650821277</v>
      </c>
      <c r="C27" s="1">
        <v>150552.39187148516</v>
      </c>
      <c r="D27" s="1">
        <v>0</v>
      </c>
      <c r="E27" s="1">
        <v>0</v>
      </c>
      <c r="F27" s="1">
        <v>0</v>
      </c>
      <c r="G27" s="9">
        <f>SUM(MA_FINANCIAL)</f>
        <v>292329.30837969796</v>
      </c>
      <c r="I27" s="13" t="s">
        <v>48</v>
      </c>
      <c r="J27" s="16">
        <f>SUM(ALL_BLOCKS)</f>
        <v>28423507.760000005</v>
      </c>
      <c r="L27" s="6">
        <v>104000</v>
      </c>
      <c r="M27" s="1">
        <v>0</v>
      </c>
      <c r="O27" s="1">
        <v>121000</v>
      </c>
      <c r="P27" s="1">
        <v>0</v>
      </c>
      <c r="R27" s="1">
        <v>0</v>
      </c>
      <c r="S27" s="1">
        <v>0</v>
      </c>
      <c r="U27" s="1">
        <v>0</v>
      </c>
      <c r="V27" s="9">
        <v>0</v>
      </c>
    </row>
    <row r="28" spans="1:22">
      <c r="A28" s="1" t="s">
        <v>49</v>
      </c>
      <c r="B28" s="6">
        <v>0</v>
      </c>
      <c r="C28" s="1">
        <v>0</v>
      </c>
      <c r="D28" s="1">
        <v>0</v>
      </c>
      <c r="E28" s="1">
        <v>0</v>
      </c>
      <c r="F28" s="1">
        <v>0</v>
      </c>
      <c r="G28" s="9">
        <f>SUM(MI_FINANCIAL)</f>
        <v>0</v>
      </c>
      <c r="I28" s="14"/>
      <c r="J28" s="17"/>
      <c r="L28" s="6"/>
      <c r="V28" s="9"/>
    </row>
    <row r="29" spans="1:22">
      <c r="A29" s="1" t="s">
        <v>50</v>
      </c>
      <c r="B29" s="6">
        <v>1159108.0449305968</v>
      </c>
      <c r="C29" s="1">
        <v>3190010.5023428905</v>
      </c>
      <c r="D29" s="1">
        <v>0</v>
      </c>
      <c r="E29" s="1">
        <v>0</v>
      </c>
      <c r="F29" s="1">
        <v>0</v>
      </c>
      <c r="G29" s="9">
        <f>SUM(MN_FINANCIAL)</f>
        <v>4349118.5472734869</v>
      </c>
      <c r="L29" s="6">
        <v>1650000</v>
      </c>
      <c r="M29" s="1">
        <v>0</v>
      </c>
      <c r="O29" s="1">
        <v>2950000</v>
      </c>
      <c r="P29" s="1">
        <v>0</v>
      </c>
      <c r="R29" s="1">
        <v>0</v>
      </c>
      <c r="S29" s="1">
        <v>0</v>
      </c>
      <c r="U29" s="1">
        <v>0</v>
      </c>
      <c r="V29" s="9">
        <v>0</v>
      </c>
    </row>
    <row r="30" spans="1:22">
      <c r="A30" s="1" t="s">
        <v>51</v>
      </c>
      <c r="B30" s="6">
        <v>9169.2300442626911</v>
      </c>
      <c r="C30" s="1">
        <v>9556.4323305378384</v>
      </c>
      <c r="D30" s="1">
        <v>0</v>
      </c>
      <c r="E30" s="1">
        <v>0</v>
      </c>
      <c r="F30" s="1">
        <v>0</v>
      </c>
      <c r="G30" s="9">
        <f>SUM(MS_FINANCIAL)</f>
        <v>18725.66237480053</v>
      </c>
      <c r="L30" s="6"/>
      <c r="V30" s="9"/>
    </row>
    <row r="31" spans="1:22">
      <c r="A31" s="1" t="s">
        <v>52</v>
      </c>
      <c r="B31" s="6">
        <v>41864.468917701794</v>
      </c>
      <c r="C31" s="1">
        <v>45151.772748700445</v>
      </c>
      <c r="D31" s="1">
        <v>0</v>
      </c>
      <c r="E31" s="1">
        <v>0</v>
      </c>
      <c r="F31" s="1">
        <v>0</v>
      </c>
      <c r="G31" s="9">
        <f>SUM(MO_FINANCIAL)</f>
        <v>87016.241666402231</v>
      </c>
      <c r="L31" s="6"/>
      <c r="V31" s="9"/>
    </row>
    <row r="32" spans="1:22">
      <c r="A32" s="1" t="s">
        <v>53</v>
      </c>
      <c r="B32" s="6">
        <v>126200.41721112057</v>
      </c>
      <c r="C32" s="1">
        <v>167714.56873202312</v>
      </c>
      <c r="D32" s="1">
        <v>0</v>
      </c>
      <c r="E32" s="1">
        <v>0</v>
      </c>
      <c r="F32" s="1">
        <v>0</v>
      </c>
      <c r="G32" s="9">
        <f>SUM(MT_FINANCIAL)</f>
        <v>293914.98594314372</v>
      </c>
      <c r="L32" s="6">
        <v>181500</v>
      </c>
      <c r="M32" s="1">
        <v>0</v>
      </c>
      <c r="O32" s="1">
        <v>223500</v>
      </c>
      <c r="P32" s="1">
        <v>0</v>
      </c>
      <c r="R32" s="1">
        <v>0</v>
      </c>
      <c r="S32" s="1">
        <v>0</v>
      </c>
      <c r="U32" s="1">
        <v>0</v>
      </c>
      <c r="V32" s="9">
        <v>0</v>
      </c>
    </row>
    <row r="33" spans="1:22">
      <c r="A33" s="1" t="s">
        <v>54</v>
      </c>
      <c r="B33" s="6">
        <v>178599.32052406488</v>
      </c>
      <c r="C33" s="1">
        <v>286483.87922460376</v>
      </c>
      <c r="D33" s="1">
        <v>0</v>
      </c>
      <c r="E33" s="1">
        <v>0</v>
      </c>
      <c r="F33" s="1">
        <v>0</v>
      </c>
      <c r="G33" s="9">
        <f>SUM(NE_FINANCIAL)</f>
        <v>465083.19974866865</v>
      </c>
      <c r="L33" s="6">
        <v>160000</v>
      </c>
      <c r="M33" s="1">
        <v>0</v>
      </c>
      <c r="O33" s="1">
        <v>334162</v>
      </c>
      <c r="P33" s="1">
        <v>0</v>
      </c>
      <c r="R33" s="1">
        <v>0</v>
      </c>
      <c r="S33" s="1">
        <v>0</v>
      </c>
      <c r="U33" s="1">
        <v>0</v>
      </c>
      <c r="V33" s="9">
        <v>0</v>
      </c>
    </row>
    <row r="34" spans="1:22">
      <c r="A34" s="1" t="s">
        <v>55</v>
      </c>
      <c r="B34" s="6">
        <v>168746.61792786431</v>
      </c>
      <c r="C34" s="1">
        <v>255794.45334771089</v>
      </c>
      <c r="D34" s="1">
        <v>0</v>
      </c>
      <c r="E34" s="1">
        <v>0</v>
      </c>
      <c r="F34" s="1">
        <v>0</v>
      </c>
      <c r="G34" s="9">
        <f>SUM(NV_FINANCIAL)</f>
        <v>424541.0712755752</v>
      </c>
      <c r="L34" s="6">
        <v>544500</v>
      </c>
      <c r="M34" s="1">
        <v>0</v>
      </c>
      <c r="O34" s="1">
        <v>242200</v>
      </c>
      <c r="P34" s="1">
        <v>0</v>
      </c>
      <c r="R34" s="1">
        <v>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163249.10227097981</v>
      </c>
      <c r="C37" s="1">
        <v>245552.02483974615</v>
      </c>
      <c r="D37" s="1">
        <v>0</v>
      </c>
      <c r="E37" s="1">
        <v>0</v>
      </c>
      <c r="F37" s="1">
        <v>0</v>
      </c>
      <c r="G37" s="9">
        <f>SUM(NM_FINANCIAL)</f>
        <v>408801.12711072597</v>
      </c>
      <c r="L37" s="6">
        <v>475000</v>
      </c>
      <c r="M37" s="1">
        <v>0</v>
      </c>
      <c r="O37" s="1">
        <v>300000</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352721.40908600512</v>
      </c>
      <c r="C39" s="1">
        <v>247141.90972070448</v>
      </c>
      <c r="D39" s="1">
        <v>0</v>
      </c>
      <c r="E39" s="1">
        <v>0</v>
      </c>
      <c r="F39" s="1">
        <v>0</v>
      </c>
      <c r="G39" s="9">
        <f>SUM(NC_FINANCIAL)</f>
        <v>599863.31880670961</v>
      </c>
      <c r="L39" s="6">
        <v>360000</v>
      </c>
      <c r="M39" s="1">
        <v>0</v>
      </c>
      <c r="O39" s="1">
        <v>240000</v>
      </c>
      <c r="P39" s="1">
        <v>0</v>
      </c>
      <c r="R39" s="1">
        <v>0</v>
      </c>
      <c r="S39" s="1">
        <v>0</v>
      </c>
      <c r="U39" s="1">
        <v>0</v>
      </c>
      <c r="V39" s="9">
        <v>0</v>
      </c>
    </row>
    <row r="40" spans="1:22">
      <c r="A40" s="1" t="s">
        <v>61</v>
      </c>
      <c r="B40" s="6">
        <v>134532.69635246971</v>
      </c>
      <c r="C40" s="1">
        <v>84886.748181397677</v>
      </c>
      <c r="D40" s="1">
        <v>0</v>
      </c>
      <c r="E40" s="1">
        <v>0</v>
      </c>
      <c r="F40" s="1">
        <v>0</v>
      </c>
      <c r="G40" s="9">
        <f>SUM(ND_FINANCIAL)</f>
        <v>219419.44453386738</v>
      </c>
      <c r="L40" s="6">
        <v>259900</v>
      </c>
      <c r="M40" s="1">
        <v>0</v>
      </c>
      <c r="O40" s="1">
        <v>21700</v>
      </c>
      <c r="P40" s="1">
        <v>0</v>
      </c>
      <c r="R40" s="1">
        <v>0</v>
      </c>
      <c r="S40" s="1">
        <v>0</v>
      </c>
      <c r="U40" s="1">
        <v>0</v>
      </c>
      <c r="V40" s="9">
        <v>0</v>
      </c>
    </row>
    <row r="41" spans="1:22">
      <c r="A41" s="1" t="s">
        <v>62</v>
      </c>
      <c r="B41" s="6">
        <v>1139683.0003453719</v>
      </c>
      <c r="C41" s="1">
        <v>604188.09435696446</v>
      </c>
      <c r="D41" s="1">
        <v>0</v>
      </c>
      <c r="E41" s="1">
        <v>0</v>
      </c>
      <c r="F41" s="1">
        <v>0</v>
      </c>
      <c r="G41" s="9">
        <f>SUM(OH_FINANCIAL)</f>
        <v>1743871.0947023365</v>
      </c>
      <c r="L41" s="6">
        <v>2600000</v>
      </c>
      <c r="M41" s="1">
        <v>0</v>
      </c>
      <c r="O41" s="1">
        <v>600000</v>
      </c>
      <c r="P41" s="1">
        <v>0</v>
      </c>
      <c r="R41" s="1">
        <v>0</v>
      </c>
      <c r="S41" s="1">
        <v>0</v>
      </c>
      <c r="U41" s="1">
        <v>0</v>
      </c>
      <c r="V41" s="9">
        <v>0</v>
      </c>
    </row>
    <row r="42" spans="1:22">
      <c r="A42" s="1" t="s">
        <v>63</v>
      </c>
      <c r="B42" s="6">
        <v>797768.4393092962</v>
      </c>
      <c r="C42" s="1">
        <v>809975.52325455612</v>
      </c>
      <c r="D42" s="1">
        <v>0</v>
      </c>
      <c r="E42" s="1">
        <v>0</v>
      </c>
      <c r="F42" s="1">
        <v>0</v>
      </c>
      <c r="G42" s="9">
        <f>SUM(OK_FINANCIAL)</f>
        <v>1607743.9625638523</v>
      </c>
      <c r="L42" s="6">
        <v>959500</v>
      </c>
      <c r="M42" s="1">
        <v>35700</v>
      </c>
      <c r="O42" s="1">
        <v>0</v>
      </c>
      <c r="P42" s="1">
        <v>34300</v>
      </c>
      <c r="R42" s="1">
        <v>0</v>
      </c>
      <c r="S42" s="1">
        <v>0</v>
      </c>
      <c r="U42" s="1">
        <v>0</v>
      </c>
      <c r="V42" s="9">
        <v>0</v>
      </c>
    </row>
    <row r="43" spans="1:22">
      <c r="A43" s="1" t="s">
        <v>64</v>
      </c>
      <c r="B43" s="6">
        <v>902918.44633946544</v>
      </c>
      <c r="C43" s="1">
        <v>958049.66294901969</v>
      </c>
      <c r="D43" s="1">
        <v>0</v>
      </c>
      <c r="E43" s="1">
        <v>0</v>
      </c>
      <c r="F43" s="1">
        <v>0</v>
      </c>
      <c r="G43" s="9">
        <f>SUM(OR_FINANCIAL)</f>
        <v>1860968.1092884853</v>
      </c>
      <c r="L43" s="6">
        <v>1117921</v>
      </c>
      <c r="M43" s="1">
        <v>0</v>
      </c>
      <c r="O43" s="1">
        <v>1237317</v>
      </c>
      <c r="P43" s="1">
        <v>0</v>
      </c>
      <c r="R43" s="1">
        <v>0</v>
      </c>
      <c r="S43" s="1">
        <v>0</v>
      </c>
      <c r="U43" s="1">
        <v>0</v>
      </c>
      <c r="V43" s="9">
        <v>0</v>
      </c>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7034.933784503758</v>
      </c>
      <c r="C46" s="1">
        <v>17266.329515515503</v>
      </c>
      <c r="D46" s="1">
        <v>0</v>
      </c>
      <c r="E46" s="1">
        <v>0</v>
      </c>
      <c r="F46" s="1">
        <v>0</v>
      </c>
      <c r="G46" s="9">
        <f>SUM(RI_FINANCIAL)</f>
        <v>24301.263300019262</v>
      </c>
      <c r="L46" s="6"/>
      <c r="V46" s="9"/>
    </row>
    <row r="47" spans="1:22">
      <c r="A47" s="1" t="s">
        <v>68</v>
      </c>
      <c r="B47" s="6">
        <v>75966.502372452029</v>
      </c>
      <c r="C47" s="1">
        <v>25115.213653558778</v>
      </c>
      <c r="D47" s="1">
        <v>0</v>
      </c>
      <c r="E47" s="1">
        <v>0</v>
      </c>
      <c r="F47" s="1">
        <v>0</v>
      </c>
      <c r="G47" s="9">
        <f>SUM(SC_FINANCIAL)</f>
        <v>101081.71602601081</v>
      </c>
      <c r="L47" s="6">
        <v>275000</v>
      </c>
      <c r="M47" s="1">
        <v>0</v>
      </c>
      <c r="O47" s="1">
        <v>87000</v>
      </c>
      <c r="P47" s="1">
        <v>0</v>
      </c>
      <c r="R47" s="1">
        <v>0</v>
      </c>
      <c r="S47" s="1">
        <v>0</v>
      </c>
      <c r="U47" s="1">
        <v>0</v>
      </c>
      <c r="V47" s="9">
        <v>0</v>
      </c>
    </row>
    <row r="48" spans="1:22">
      <c r="A48" s="1" t="s">
        <v>69</v>
      </c>
      <c r="B48" s="6">
        <v>197753.89087142725</v>
      </c>
      <c r="C48" s="1">
        <v>42331.543071198255</v>
      </c>
      <c r="D48" s="1">
        <v>0</v>
      </c>
      <c r="E48" s="1">
        <v>0</v>
      </c>
      <c r="F48" s="1">
        <v>0</v>
      </c>
      <c r="G48" s="9">
        <f>SUM(SD_FINANCIAL)</f>
        <v>240085.4339426255</v>
      </c>
      <c r="L48" s="6">
        <v>214000</v>
      </c>
      <c r="M48" s="1">
        <v>0</v>
      </c>
      <c r="O48" s="1">
        <v>0</v>
      </c>
      <c r="P48" s="1">
        <v>0</v>
      </c>
      <c r="R48" s="1">
        <v>0</v>
      </c>
      <c r="S48" s="1">
        <v>0</v>
      </c>
      <c r="U48" s="1">
        <v>0</v>
      </c>
      <c r="V48" s="9">
        <v>0</v>
      </c>
    </row>
    <row r="49" spans="1:22">
      <c r="A49" s="1" t="s">
        <v>70</v>
      </c>
      <c r="B49" s="6">
        <v>47619.005146322699</v>
      </c>
      <c r="C49" s="1">
        <v>78301.801453576729</v>
      </c>
      <c r="D49" s="1">
        <v>0</v>
      </c>
      <c r="E49" s="1">
        <v>0</v>
      </c>
      <c r="F49" s="1">
        <v>0</v>
      </c>
      <c r="G49" s="9">
        <f>SUM(TN_FINANCIAL)</f>
        <v>125920.80659989943</v>
      </c>
      <c r="L49" s="6">
        <v>53000</v>
      </c>
      <c r="M49" s="1">
        <v>0</v>
      </c>
      <c r="O49" s="1">
        <v>47000</v>
      </c>
      <c r="P49" s="1">
        <v>0</v>
      </c>
      <c r="R49" s="1">
        <v>0</v>
      </c>
      <c r="S49" s="1">
        <v>0</v>
      </c>
      <c r="U49" s="1">
        <v>0</v>
      </c>
      <c r="V49" s="9">
        <v>0</v>
      </c>
    </row>
    <row r="50" spans="1:22">
      <c r="A50" s="1" t="s">
        <v>71</v>
      </c>
      <c r="B50" s="6">
        <v>405951.60862088914</v>
      </c>
      <c r="C50" s="1">
        <v>241595.69688777911</v>
      </c>
      <c r="D50" s="1">
        <v>0</v>
      </c>
      <c r="E50" s="1">
        <v>0</v>
      </c>
      <c r="F50" s="1">
        <v>0</v>
      </c>
      <c r="G50" s="9">
        <f>SUM(TX_FINANCIAL)</f>
        <v>647547.3055086683</v>
      </c>
      <c r="L50" s="6">
        <v>820656</v>
      </c>
      <c r="M50" s="1">
        <v>145354.19570000001</v>
      </c>
      <c r="O50" s="1">
        <v>50605</v>
      </c>
      <c r="P50" s="1">
        <v>8957.7101000000002</v>
      </c>
      <c r="R50" s="1">
        <v>17530</v>
      </c>
      <c r="S50" s="1">
        <v>3117.0942000000005</v>
      </c>
      <c r="U50" s="1">
        <v>0</v>
      </c>
      <c r="V50" s="9">
        <v>0</v>
      </c>
    </row>
    <row r="51" spans="1:22">
      <c r="A51" s="1" t="s">
        <v>72</v>
      </c>
      <c r="B51" s="6">
        <v>133726.42889979633</v>
      </c>
      <c r="C51" s="1">
        <v>143785.12678942521</v>
      </c>
      <c r="D51" s="1">
        <v>0</v>
      </c>
      <c r="E51" s="1">
        <v>0</v>
      </c>
      <c r="F51" s="1">
        <v>0</v>
      </c>
      <c r="G51" s="9">
        <f>SUM(UT_FINANCIAL)</f>
        <v>277511.55568922154</v>
      </c>
      <c r="L51" s="6">
        <v>502653</v>
      </c>
      <c r="M51" s="1">
        <v>238038</v>
      </c>
      <c r="O51" s="1">
        <v>127347</v>
      </c>
      <c r="P51" s="1">
        <v>59510</v>
      </c>
      <c r="R51" s="1">
        <v>0</v>
      </c>
      <c r="S51" s="1">
        <v>0</v>
      </c>
      <c r="U51" s="1">
        <v>0</v>
      </c>
      <c r="V51" s="9">
        <v>0</v>
      </c>
    </row>
    <row r="52" spans="1:22">
      <c r="A52" s="1" t="s">
        <v>73</v>
      </c>
      <c r="B52" s="6">
        <v>25579.914686980312</v>
      </c>
      <c r="C52" s="1">
        <v>14565.171754983348</v>
      </c>
      <c r="D52" s="1">
        <v>0</v>
      </c>
      <c r="E52" s="1">
        <v>0</v>
      </c>
      <c r="F52" s="1">
        <v>0</v>
      </c>
      <c r="G52" s="9">
        <f>SUM(VT_FINANCIAL)</f>
        <v>40145.086441963664</v>
      </c>
      <c r="L52" s="6">
        <v>23664</v>
      </c>
      <c r="M52" s="1">
        <v>0</v>
      </c>
      <c r="O52" s="1">
        <v>26356</v>
      </c>
      <c r="P52" s="1">
        <v>0</v>
      </c>
      <c r="R52" s="1">
        <v>0</v>
      </c>
      <c r="S52" s="1">
        <v>0</v>
      </c>
      <c r="U52" s="1">
        <v>0</v>
      </c>
      <c r="V52" s="9">
        <v>0</v>
      </c>
    </row>
    <row r="53" spans="1:22">
      <c r="A53" s="1" t="s">
        <v>74</v>
      </c>
      <c r="B53" s="6">
        <v>129312.22231847604</v>
      </c>
      <c r="C53" s="1">
        <v>74725.170526510745</v>
      </c>
      <c r="D53" s="1">
        <v>0</v>
      </c>
      <c r="E53" s="1">
        <v>0</v>
      </c>
      <c r="F53" s="1">
        <v>0</v>
      </c>
      <c r="G53" s="9">
        <f>SUM(VA_FINANCIAL)</f>
        <v>204037.39284498678</v>
      </c>
      <c r="L53" s="6">
        <v>161684</v>
      </c>
      <c r="M53" s="1">
        <v>0</v>
      </c>
      <c r="O53" s="1">
        <v>80556</v>
      </c>
      <c r="P53" s="1">
        <v>0</v>
      </c>
      <c r="R53" s="1">
        <v>0</v>
      </c>
      <c r="S53" s="1">
        <v>0</v>
      </c>
      <c r="U53" s="1">
        <v>0</v>
      </c>
      <c r="V53" s="9">
        <v>0</v>
      </c>
    </row>
    <row r="54" spans="1:22">
      <c r="A54" s="1" t="s">
        <v>75</v>
      </c>
      <c r="B54" s="6">
        <v>1858492.707977108</v>
      </c>
      <c r="C54" s="1">
        <v>4231923.9706330122</v>
      </c>
      <c r="D54" s="1">
        <v>0</v>
      </c>
      <c r="E54" s="1">
        <v>0</v>
      </c>
      <c r="F54" s="1">
        <v>0</v>
      </c>
      <c r="G54" s="9">
        <f>SUM(WA_FINANCIAL)</f>
        <v>6090416.67861012</v>
      </c>
      <c r="L54" s="6">
        <v>2100000</v>
      </c>
      <c r="M54" s="1">
        <v>132392</v>
      </c>
      <c r="O54" s="1">
        <v>4231613</v>
      </c>
      <c r="P54" s="1">
        <v>0</v>
      </c>
      <c r="R54" s="1">
        <v>0</v>
      </c>
      <c r="S54" s="1">
        <v>0</v>
      </c>
      <c r="U54" s="1">
        <v>0</v>
      </c>
      <c r="V54" s="9">
        <v>0</v>
      </c>
    </row>
    <row r="55" spans="1:22">
      <c r="A55" s="1" t="s">
        <v>76</v>
      </c>
      <c r="B55" s="6">
        <v>5606.4784992657133</v>
      </c>
      <c r="C55" s="1">
        <v>1363.5321350116342</v>
      </c>
      <c r="D55" s="1">
        <v>0</v>
      </c>
      <c r="E55" s="1">
        <v>0</v>
      </c>
      <c r="F55" s="1">
        <v>0</v>
      </c>
      <c r="G55" s="9">
        <f>SUM(WV_FINANCIAL)</f>
        <v>6970.010634277347</v>
      </c>
      <c r="L55" s="6">
        <v>85455</v>
      </c>
      <c r="M55" s="1">
        <v>105938</v>
      </c>
      <c r="O55" s="1">
        <v>14545</v>
      </c>
      <c r="P55" s="1">
        <v>18617</v>
      </c>
      <c r="R55" s="1">
        <v>0</v>
      </c>
      <c r="S55" s="1">
        <v>0</v>
      </c>
      <c r="U55" s="1">
        <v>0</v>
      </c>
      <c r="V55" s="9">
        <v>0</v>
      </c>
    </row>
    <row r="56" spans="1:22">
      <c r="A56" s="1" t="s">
        <v>77</v>
      </c>
      <c r="B56" s="6">
        <v>0</v>
      </c>
      <c r="C56" s="1">
        <v>0</v>
      </c>
      <c r="D56" s="1">
        <v>0</v>
      </c>
      <c r="E56" s="1">
        <v>0</v>
      </c>
      <c r="F56" s="1">
        <v>0</v>
      </c>
      <c r="G56" s="9">
        <f>SUM(WI_FINANCIAL)</f>
        <v>0</v>
      </c>
      <c r="L56" s="6"/>
      <c r="V56" s="9"/>
    </row>
    <row r="57" spans="1:22">
      <c r="A57" s="1" t="s">
        <v>78</v>
      </c>
      <c r="B57" s="6">
        <v>61989.996300651219</v>
      </c>
      <c r="C57" s="1">
        <v>56439.581680586212</v>
      </c>
      <c r="D57" s="1">
        <v>0</v>
      </c>
      <c r="E57" s="1">
        <v>0</v>
      </c>
      <c r="F57" s="1">
        <v>0</v>
      </c>
      <c r="G57" s="9">
        <f>SUM(WY_FINANCIAL)</f>
        <v>118429.57798123744</v>
      </c>
      <c r="L57" s="6">
        <v>84175</v>
      </c>
      <c r="M57" s="1">
        <v>0</v>
      </c>
      <c r="O57" s="1">
        <v>60825</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12334766.906116879</v>
      </c>
      <c r="C60" s="1">
        <f>SUM(ALLOCATED)</f>
        <v>16088740.853883121</v>
      </c>
      <c r="D60" s="1">
        <f>SUM(HEALTH)</f>
        <v>0</v>
      </c>
      <c r="E60" s="1">
        <f>SUM(UNALLOCATED)</f>
        <v>0</v>
      </c>
      <c r="F60" s="1">
        <f>SUM(LTC)</f>
        <v>0</v>
      </c>
      <c r="G60" s="9">
        <f>SUM(ALL_BLOCKS)</f>
        <v>28423507.760000005</v>
      </c>
      <c r="L60" s="6">
        <f>SUM(LIFE_CALLED)</f>
        <v>19125582</v>
      </c>
      <c r="M60" s="1">
        <f>SUM(LIFE_REFUNDED)</f>
        <v>1724917.1957</v>
      </c>
      <c r="O60" s="1">
        <f>SUM(ALLOC_CALLED)</f>
        <v>14801323</v>
      </c>
      <c r="P60" s="1">
        <f>SUM(ALLOC_REFUNDED)</f>
        <v>323011.6201</v>
      </c>
      <c r="R60" s="1">
        <f>SUM(HEALTH_CALLED)</f>
        <v>30659</v>
      </c>
      <c r="S60" s="1">
        <f>SUM(HEALTH_REFUNDED)</f>
        <v>3117.0942000000005</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158</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1746561.1684463371</v>
      </c>
      <c r="C6" s="1">
        <v>0</v>
      </c>
      <c r="D6" s="1">
        <v>22182.125047548456</v>
      </c>
      <c r="E6" s="1">
        <v>0</v>
      </c>
      <c r="F6" s="1">
        <v>0</v>
      </c>
      <c r="G6" s="9">
        <f>SUM(AL_FINANCIAL)</f>
        <v>1768743.2934938855</v>
      </c>
      <c r="L6" s="6"/>
      <c r="V6" s="9"/>
    </row>
    <row r="7" spans="1:22">
      <c r="A7" s="1" t="s">
        <v>12</v>
      </c>
      <c r="B7" s="6">
        <v>153672.85520467584</v>
      </c>
      <c r="C7" s="1">
        <v>0</v>
      </c>
      <c r="D7" s="1">
        <v>0</v>
      </c>
      <c r="E7" s="1">
        <v>0</v>
      </c>
      <c r="F7" s="1">
        <v>0</v>
      </c>
      <c r="G7" s="9">
        <f>SUM(AK_FINANCIAL)</f>
        <v>153672.85520467584</v>
      </c>
      <c r="I7" s="12"/>
      <c r="J7" s="15"/>
      <c r="L7" s="6"/>
      <c r="V7" s="9"/>
    </row>
    <row r="8" spans="1:22">
      <c r="A8" s="1" t="s">
        <v>13</v>
      </c>
      <c r="B8" s="6">
        <v>2030684.0911390025</v>
      </c>
      <c r="C8" s="1">
        <v>0</v>
      </c>
      <c r="D8" s="1">
        <v>27810.709195530231</v>
      </c>
      <c r="E8" s="1">
        <v>0</v>
      </c>
      <c r="F8" s="1">
        <v>0</v>
      </c>
      <c r="G8" s="9">
        <f>SUM(AZ_FINANCIAL)</f>
        <v>2058494.8003345327</v>
      </c>
      <c r="I8" s="13" t="s">
        <v>14</v>
      </c>
      <c r="J8" s="16"/>
      <c r="L8" s="6"/>
      <c r="V8" s="9"/>
    </row>
    <row r="9" spans="1:22">
      <c r="A9" s="1" t="s">
        <v>15</v>
      </c>
      <c r="B9" s="6">
        <v>991644.45551002061</v>
      </c>
      <c r="C9" s="1">
        <v>0</v>
      </c>
      <c r="D9" s="1">
        <v>0</v>
      </c>
      <c r="E9" s="1">
        <v>0</v>
      </c>
      <c r="F9" s="1">
        <v>0</v>
      </c>
      <c r="G9" s="9">
        <f>SUM(AR_FINANCIAL)</f>
        <v>991644.45551002061</v>
      </c>
      <c r="I9" s="13"/>
      <c r="J9" s="16"/>
      <c r="L9" s="6"/>
      <c r="V9" s="9"/>
    </row>
    <row r="10" spans="1:22">
      <c r="A10" s="1" t="s">
        <v>16</v>
      </c>
      <c r="B10" s="6">
        <v>11026376.333152667</v>
      </c>
      <c r="C10" s="1">
        <v>0</v>
      </c>
      <c r="D10" s="1">
        <v>73168.59201221753</v>
      </c>
      <c r="E10" s="1">
        <v>0</v>
      </c>
      <c r="F10" s="1">
        <v>0</v>
      </c>
      <c r="G10" s="9">
        <f>SUM(CA_FINANCIAL)</f>
        <v>11099544.925164884</v>
      </c>
      <c r="I10" s="13" t="s">
        <v>17</v>
      </c>
      <c r="J10" s="16">
        <v>97703597</v>
      </c>
      <c r="L10" s="6"/>
      <c r="V10" s="9"/>
    </row>
    <row r="11" spans="1:22">
      <c r="A11" s="1" t="s">
        <v>18</v>
      </c>
      <c r="B11" s="6">
        <v>1616952.636828295</v>
      </c>
      <c r="C11" s="1">
        <v>0</v>
      </c>
      <c r="D11" s="1">
        <v>35094.347242314121</v>
      </c>
      <c r="E11" s="1">
        <v>0</v>
      </c>
      <c r="F11" s="1">
        <v>0</v>
      </c>
      <c r="G11" s="9">
        <f>SUM(CO_FINANCIAL)</f>
        <v>1652046.9840706091</v>
      </c>
      <c r="I11" s="13"/>
      <c r="J11" s="16"/>
      <c r="L11" s="6"/>
      <c r="V11" s="9"/>
    </row>
    <row r="12" spans="1:22">
      <c r="A12" s="1" t="s">
        <v>19</v>
      </c>
      <c r="B12" s="6">
        <v>1547854.6368718978</v>
      </c>
      <c r="C12" s="1">
        <v>0</v>
      </c>
      <c r="D12" s="1">
        <v>20195.860241549552</v>
      </c>
      <c r="E12" s="1">
        <v>0</v>
      </c>
      <c r="F12" s="1">
        <v>0</v>
      </c>
      <c r="G12" s="9">
        <f>SUM(CT_FINANCIAL)</f>
        <v>1568050.4971134474</v>
      </c>
      <c r="I12" s="13" t="s">
        <v>20</v>
      </c>
      <c r="J12" s="16"/>
      <c r="L12" s="6"/>
      <c r="V12" s="9"/>
    </row>
    <row r="13" spans="1:22">
      <c r="A13" s="1" t="s">
        <v>21</v>
      </c>
      <c r="B13" s="6">
        <v>383518.21524152317</v>
      </c>
      <c r="C13" s="1">
        <v>0</v>
      </c>
      <c r="D13" s="1">
        <v>5628.5841479817782</v>
      </c>
      <c r="E13" s="1">
        <v>0</v>
      </c>
      <c r="F13" s="1">
        <v>0</v>
      </c>
      <c r="G13" s="9">
        <f>SUM(DE_FINANCIAL)</f>
        <v>389146.79938950494</v>
      </c>
      <c r="I13" s="13" t="s">
        <v>22</v>
      </c>
      <c r="J13" s="16">
        <v>0</v>
      </c>
      <c r="L13" s="6"/>
      <c r="V13" s="9"/>
    </row>
    <row r="14" spans="1:22">
      <c r="A14" s="1" t="s">
        <v>23</v>
      </c>
      <c r="B14" s="6">
        <v>144845.23398627667</v>
      </c>
      <c r="C14" s="1">
        <v>0</v>
      </c>
      <c r="D14" s="1">
        <v>0</v>
      </c>
      <c r="E14" s="1">
        <v>0</v>
      </c>
      <c r="F14" s="1">
        <v>0</v>
      </c>
      <c r="G14" s="9">
        <f>SUM(DC_FINANCIAL)</f>
        <v>144845.23398627667</v>
      </c>
      <c r="I14" s="13" t="s">
        <v>24</v>
      </c>
      <c r="J14" s="16">
        <v>0</v>
      </c>
      <c r="L14" s="6"/>
      <c r="V14" s="9"/>
    </row>
    <row r="15" spans="1:22">
      <c r="A15" s="1" t="s">
        <v>25</v>
      </c>
      <c r="B15" s="6">
        <v>8644243.4478136804</v>
      </c>
      <c r="C15" s="1">
        <v>0</v>
      </c>
      <c r="D15" s="1">
        <v>106276.67444853274</v>
      </c>
      <c r="E15" s="1">
        <v>0</v>
      </c>
      <c r="F15" s="1">
        <v>0</v>
      </c>
      <c r="G15" s="9">
        <f>SUM(FL_FINANCIAL)</f>
        <v>8750520.1222622134</v>
      </c>
      <c r="I15" s="13" t="s">
        <v>26</v>
      </c>
      <c r="J15" s="16">
        <v>62254.95999999997</v>
      </c>
      <c r="L15" s="6"/>
      <c r="V15" s="9"/>
    </row>
    <row r="16" spans="1:22">
      <c r="A16" s="1" t="s">
        <v>27</v>
      </c>
      <c r="B16" s="6">
        <v>3777059.1410695128</v>
      </c>
      <c r="C16" s="1">
        <v>0</v>
      </c>
      <c r="D16" s="1">
        <v>26817.076473939847</v>
      </c>
      <c r="E16" s="1">
        <v>0</v>
      </c>
      <c r="F16" s="1">
        <v>0</v>
      </c>
      <c r="G16" s="9">
        <f>SUM(GA_FINANCIAL)</f>
        <v>3803876.2175434525</v>
      </c>
      <c r="I16" s="13" t="s">
        <v>28</v>
      </c>
      <c r="J16" s="16">
        <v>0</v>
      </c>
      <c r="L16" s="6"/>
      <c r="V16" s="9"/>
    </row>
    <row r="17" spans="1:22">
      <c r="A17" s="1" t="s">
        <v>29</v>
      </c>
      <c r="B17" s="6">
        <v>320847.30790423491</v>
      </c>
      <c r="C17" s="1">
        <v>0</v>
      </c>
      <c r="D17" s="1">
        <v>0</v>
      </c>
      <c r="E17" s="1">
        <v>0</v>
      </c>
      <c r="F17" s="1">
        <v>0</v>
      </c>
      <c r="G17" s="9">
        <f>SUM(HI_FINANCIAL)</f>
        <v>320847.30790423491</v>
      </c>
      <c r="I17" s="13"/>
      <c r="J17" s="16"/>
      <c r="L17" s="6"/>
      <c r="V17" s="9"/>
    </row>
    <row r="18" spans="1:22">
      <c r="A18" s="1" t="s">
        <v>30</v>
      </c>
      <c r="B18" s="6">
        <v>175039.46094900559</v>
      </c>
      <c r="C18" s="1">
        <v>0</v>
      </c>
      <c r="D18" s="1">
        <v>7946.0598611774758</v>
      </c>
      <c r="E18" s="1">
        <v>0</v>
      </c>
      <c r="F18" s="1">
        <v>0</v>
      </c>
      <c r="G18" s="9">
        <f>SUM(ID_FINANCIAL)</f>
        <v>182985.52081018305</v>
      </c>
      <c r="I18" s="13" t="s">
        <v>31</v>
      </c>
      <c r="J18" s="16"/>
      <c r="L18" s="6"/>
      <c r="V18" s="9"/>
    </row>
    <row r="19" spans="1:22">
      <c r="A19" s="1" t="s">
        <v>32</v>
      </c>
      <c r="B19" s="6">
        <v>4578476.4644842045</v>
      </c>
      <c r="C19" s="1">
        <v>0</v>
      </c>
      <c r="D19" s="1">
        <v>78797.176160199306</v>
      </c>
      <c r="E19" s="1">
        <v>0</v>
      </c>
      <c r="F19" s="1">
        <v>0</v>
      </c>
      <c r="G19" s="9">
        <f>SUM(IL_FINANCIAL)</f>
        <v>4657273.6406444041</v>
      </c>
      <c r="I19" s="13" t="s">
        <v>33</v>
      </c>
      <c r="J19" s="16">
        <v>0</v>
      </c>
      <c r="L19" s="6"/>
      <c r="V19" s="9"/>
    </row>
    <row r="20" spans="1:22">
      <c r="A20" s="1" t="s">
        <v>34</v>
      </c>
      <c r="B20" s="6">
        <v>2046300.0349991631</v>
      </c>
      <c r="C20" s="1">
        <v>0</v>
      </c>
      <c r="D20" s="1">
        <v>62905.056437844352</v>
      </c>
      <c r="E20" s="1">
        <v>0</v>
      </c>
      <c r="F20" s="1">
        <v>0</v>
      </c>
      <c r="G20" s="9">
        <f>SUM(IN_FINANCIAL)</f>
        <v>2109205.0914370073</v>
      </c>
      <c r="I20" s="13" t="s">
        <v>35</v>
      </c>
      <c r="J20" s="16">
        <v>0</v>
      </c>
      <c r="L20" s="6"/>
      <c r="V20" s="9"/>
    </row>
    <row r="21" spans="1:22">
      <c r="A21" s="1" t="s">
        <v>36</v>
      </c>
      <c r="B21" s="6">
        <v>474387.07836372289</v>
      </c>
      <c r="C21" s="1">
        <v>0</v>
      </c>
      <c r="D21" s="1">
        <v>21189.492963139935</v>
      </c>
      <c r="E21" s="1">
        <v>0</v>
      </c>
      <c r="F21" s="1">
        <v>0</v>
      </c>
      <c r="G21" s="9">
        <f>SUM(IA_FINANCIAL)</f>
        <v>495576.57132686285</v>
      </c>
      <c r="I21" s="13" t="s">
        <v>37</v>
      </c>
      <c r="J21" s="16"/>
      <c r="L21" s="6"/>
      <c r="V21" s="9"/>
    </row>
    <row r="22" spans="1:22">
      <c r="A22" s="1" t="s">
        <v>38</v>
      </c>
      <c r="B22" s="6">
        <v>616558.60980006051</v>
      </c>
      <c r="C22" s="1">
        <v>0</v>
      </c>
      <c r="D22" s="1">
        <v>22182.125047548456</v>
      </c>
      <c r="E22" s="1">
        <v>0</v>
      </c>
      <c r="F22" s="1">
        <v>0</v>
      </c>
      <c r="G22" s="9">
        <f>SUM(KS_FINANCIAL)</f>
        <v>638740.73484760895</v>
      </c>
      <c r="I22" s="13" t="s">
        <v>39</v>
      </c>
      <c r="J22" s="16">
        <v>0</v>
      </c>
      <c r="L22" s="6"/>
      <c r="V22" s="9"/>
    </row>
    <row r="23" spans="1:22">
      <c r="A23" s="1" t="s">
        <v>40</v>
      </c>
      <c r="B23" s="6">
        <v>852111.60432225687</v>
      </c>
      <c r="C23" s="1">
        <v>0</v>
      </c>
      <c r="D23" s="1">
        <v>993.6327215903832</v>
      </c>
      <c r="E23" s="1">
        <v>0</v>
      </c>
      <c r="F23" s="1">
        <v>0</v>
      </c>
      <c r="G23" s="9">
        <f>SUM(KY_FINANCIAL)</f>
        <v>853105.23704384721</v>
      </c>
      <c r="I23" s="13" t="s">
        <v>41</v>
      </c>
      <c r="J23" s="16"/>
      <c r="L23" s="6"/>
      <c r="V23" s="9"/>
    </row>
    <row r="24" spans="1:22">
      <c r="A24" s="1" t="s">
        <v>42</v>
      </c>
      <c r="B24" s="6">
        <v>2089406.4841566577</v>
      </c>
      <c r="C24" s="1">
        <v>0</v>
      </c>
      <c r="D24" s="1">
        <v>13574.644009159254</v>
      </c>
      <c r="E24" s="1">
        <v>0</v>
      </c>
      <c r="F24" s="1">
        <v>0</v>
      </c>
      <c r="G24" s="9">
        <f>SUM(LA_FINANCIAL)</f>
        <v>2102981.1281658169</v>
      </c>
      <c r="I24" s="13" t="s">
        <v>43</v>
      </c>
      <c r="J24" s="16">
        <v>0</v>
      </c>
      <c r="L24" s="6"/>
      <c r="V24" s="9"/>
    </row>
    <row r="25" spans="1:22">
      <c r="A25" s="1" t="s">
        <v>44</v>
      </c>
      <c r="B25" s="6">
        <v>364127.86793137371</v>
      </c>
      <c r="C25" s="1">
        <v>0</v>
      </c>
      <c r="D25" s="1">
        <v>662.42181439358876</v>
      </c>
      <c r="E25" s="1">
        <v>0</v>
      </c>
      <c r="F25" s="1">
        <v>0</v>
      </c>
      <c r="G25" s="9">
        <f>SUM(ME_FINANCIAL)</f>
        <v>364790.28974576731</v>
      </c>
      <c r="I25" s="13"/>
      <c r="J25" s="16"/>
      <c r="L25" s="6"/>
      <c r="V25" s="9"/>
    </row>
    <row r="26" spans="1:22">
      <c r="A26" s="1" t="s">
        <v>45</v>
      </c>
      <c r="B26" s="6">
        <v>2931159.4923722642</v>
      </c>
      <c r="C26" s="1">
        <v>0</v>
      </c>
      <c r="D26" s="1">
        <v>85749.603299786395</v>
      </c>
      <c r="E26" s="1">
        <v>0</v>
      </c>
      <c r="F26" s="1">
        <v>0</v>
      </c>
      <c r="G26" s="9">
        <f>SUM(MD_FINANCIAL)</f>
        <v>3016909.0956720505</v>
      </c>
      <c r="I26" s="13" t="s">
        <v>46</v>
      </c>
      <c r="J26" s="16">
        <f>SUM(ADD_FINANCIAL)-SUM(LESS_FINANCIAL)</f>
        <v>97765851.959999993</v>
      </c>
      <c r="L26" s="6"/>
      <c r="V26" s="9"/>
    </row>
    <row r="27" spans="1:22">
      <c r="A27" s="1" t="s">
        <v>47</v>
      </c>
      <c r="B27" s="6">
        <v>2061329.6054707516</v>
      </c>
      <c r="C27" s="1">
        <v>0</v>
      </c>
      <c r="D27" s="1">
        <v>91378.18744776817</v>
      </c>
      <c r="E27" s="1">
        <v>0</v>
      </c>
      <c r="F27" s="1">
        <v>0</v>
      </c>
      <c r="G27" s="9">
        <f>SUM(MA_FINANCIAL)</f>
        <v>2152707.79291852</v>
      </c>
      <c r="I27" s="13" t="s">
        <v>48</v>
      </c>
      <c r="J27" s="16">
        <f>SUM(ALL_BLOCKS)</f>
        <v>97765851.959999993</v>
      </c>
      <c r="L27" s="6"/>
      <c r="V27" s="9"/>
    </row>
    <row r="28" spans="1:22">
      <c r="A28" s="1" t="s">
        <v>49</v>
      </c>
      <c r="B28" s="6">
        <v>2046201.9725553405</v>
      </c>
      <c r="C28" s="1">
        <v>0</v>
      </c>
      <c r="D28" s="1">
        <v>36419.190871101295</v>
      </c>
      <c r="E28" s="1">
        <v>0</v>
      </c>
      <c r="F28" s="1">
        <v>0</v>
      </c>
      <c r="G28" s="9">
        <f>SUM(MI_FINANCIAL)</f>
        <v>2082621.1634264418</v>
      </c>
      <c r="I28" s="14"/>
      <c r="J28" s="17"/>
      <c r="L28" s="6"/>
      <c r="V28" s="9"/>
    </row>
    <row r="29" spans="1:22">
      <c r="A29" s="1" t="s">
        <v>50</v>
      </c>
      <c r="B29" s="6">
        <v>973478.88811047189</v>
      </c>
      <c r="C29" s="1">
        <v>0</v>
      </c>
      <c r="D29" s="1">
        <v>29796.974001529135</v>
      </c>
      <c r="E29" s="1">
        <v>0</v>
      </c>
      <c r="F29" s="1">
        <v>0</v>
      </c>
      <c r="G29" s="9">
        <f>SUM(MN_FINANCIAL)</f>
        <v>1003275.8621120011</v>
      </c>
      <c r="L29" s="6"/>
      <c r="V29" s="9"/>
    </row>
    <row r="30" spans="1:22">
      <c r="A30" s="1" t="s">
        <v>51</v>
      </c>
      <c r="B30" s="6">
        <v>758882.23808804131</v>
      </c>
      <c r="C30" s="1">
        <v>0</v>
      </c>
      <c r="D30" s="1">
        <v>662.42181439358876</v>
      </c>
      <c r="E30" s="1">
        <v>0</v>
      </c>
      <c r="F30" s="1">
        <v>0</v>
      </c>
      <c r="G30" s="9">
        <f>SUM(MS_FINANCIAL)</f>
        <v>759544.65990243491</v>
      </c>
      <c r="L30" s="6"/>
      <c r="V30" s="9"/>
    </row>
    <row r="31" spans="1:22">
      <c r="A31" s="1" t="s">
        <v>52</v>
      </c>
      <c r="B31" s="6">
        <v>1246226.5673197138</v>
      </c>
      <c r="C31" s="1">
        <v>0</v>
      </c>
      <c r="D31" s="1">
        <v>17215.962713960263</v>
      </c>
      <c r="E31" s="1">
        <v>0</v>
      </c>
      <c r="F31" s="1">
        <v>0</v>
      </c>
      <c r="G31" s="9">
        <f>SUM(MO_FINANCIAL)</f>
        <v>1263442.5300336741</v>
      </c>
      <c r="L31" s="6"/>
      <c r="V31" s="9"/>
    </row>
    <row r="32" spans="1:22">
      <c r="A32" s="1" t="s">
        <v>53</v>
      </c>
      <c r="B32" s="6">
        <v>210671.15035798037</v>
      </c>
      <c r="C32" s="1">
        <v>0</v>
      </c>
      <c r="D32" s="1">
        <v>331.21090719679438</v>
      </c>
      <c r="E32" s="1">
        <v>0</v>
      </c>
      <c r="F32" s="1">
        <v>0</v>
      </c>
      <c r="G32" s="9">
        <f>SUM(MT_FINANCIAL)</f>
        <v>211002.36126517717</v>
      </c>
      <c r="L32" s="6"/>
      <c r="V32" s="9"/>
    </row>
    <row r="33" spans="1:22">
      <c r="A33" s="1" t="s">
        <v>54</v>
      </c>
      <c r="B33" s="6">
        <v>357308.52553697443</v>
      </c>
      <c r="C33" s="1">
        <v>0</v>
      </c>
      <c r="D33" s="1">
        <v>11257.168295963556</v>
      </c>
      <c r="E33" s="1">
        <v>0</v>
      </c>
      <c r="F33" s="1">
        <v>0</v>
      </c>
      <c r="G33" s="9">
        <f>SUM(NE_FINANCIAL)</f>
        <v>368565.69383293798</v>
      </c>
      <c r="L33" s="6"/>
      <c r="V33" s="9"/>
    </row>
    <row r="34" spans="1:22">
      <c r="A34" s="1" t="s">
        <v>55</v>
      </c>
      <c r="B34" s="6">
        <v>1080619.1124469528</v>
      </c>
      <c r="C34" s="1">
        <v>0</v>
      </c>
      <c r="D34" s="1">
        <v>6952.4271395870919</v>
      </c>
      <c r="E34" s="1">
        <v>0</v>
      </c>
      <c r="F34" s="1">
        <v>0</v>
      </c>
      <c r="G34" s="9">
        <f>SUM(NV_FINANCIAL)</f>
        <v>1087571.5395865398</v>
      </c>
      <c r="L34" s="6"/>
      <c r="V34" s="9"/>
    </row>
    <row r="35" spans="1:22">
      <c r="A35" s="1" t="s">
        <v>56</v>
      </c>
      <c r="B35" s="6">
        <v>366687.49784258037</v>
      </c>
      <c r="C35" s="1">
        <v>0</v>
      </c>
      <c r="D35" s="1">
        <v>0</v>
      </c>
      <c r="E35" s="1">
        <v>0</v>
      </c>
      <c r="F35" s="1">
        <v>0</v>
      </c>
      <c r="G35" s="9">
        <f>SUM(NH_FINANCIAL)</f>
        <v>366687.49784258037</v>
      </c>
      <c r="L35" s="6"/>
      <c r="V35" s="9"/>
    </row>
    <row r="36" spans="1:22">
      <c r="A36" s="1" t="s">
        <v>57</v>
      </c>
      <c r="B36" s="6">
        <v>5606495.0821921425</v>
      </c>
      <c r="C36" s="1">
        <v>0</v>
      </c>
      <c r="D36" s="1">
        <v>24499.60076074415</v>
      </c>
      <c r="E36" s="1">
        <v>0</v>
      </c>
      <c r="F36" s="1">
        <v>0</v>
      </c>
      <c r="G36" s="9">
        <f>SUM(NJ_FINANCIAL)</f>
        <v>5630994.6829528864</v>
      </c>
      <c r="L36" s="6"/>
      <c r="V36" s="9"/>
    </row>
    <row r="37" spans="1:22">
      <c r="A37" s="1" t="s">
        <v>58</v>
      </c>
      <c r="B37" s="6">
        <v>516217.71511434158</v>
      </c>
      <c r="C37" s="1">
        <v>0</v>
      </c>
      <c r="D37" s="1">
        <v>20527.071148746345</v>
      </c>
      <c r="E37" s="1">
        <v>0</v>
      </c>
      <c r="F37" s="1">
        <v>0</v>
      </c>
      <c r="G37" s="9">
        <f>SUM(NM_FINANCIAL)</f>
        <v>536744.78626308788</v>
      </c>
      <c r="L37" s="6"/>
      <c r="V37" s="9"/>
    </row>
    <row r="38" spans="1:22">
      <c r="A38" s="1" t="s">
        <v>59</v>
      </c>
      <c r="B38" s="6">
        <v>0</v>
      </c>
      <c r="C38" s="1">
        <v>0</v>
      </c>
      <c r="D38" s="1">
        <v>0</v>
      </c>
      <c r="E38" s="1">
        <v>0</v>
      </c>
      <c r="F38" s="1">
        <v>0</v>
      </c>
      <c r="G38" s="9">
        <f>SUM(NY_FINANCIAL)</f>
        <v>0</v>
      </c>
      <c r="L38" s="6"/>
      <c r="V38" s="9"/>
    </row>
    <row r="39" spans="1:22">
      <c r="A39" s="1" t="s">
        <v>60</v>
      </c>
      <c r="B39" s="6">
        <v>3841353.0819157837</v>
      </c>
      <c r="C39" s="1">
        <v>0</v>
      </c>
      <c r="D39" s="1">
        <v>210898.29499826336</v>
      </c>
      <c r="E39" s="1">
        <v>0</v>
      </c>
      <c r="F39" s="1">
        <v>0</v>
      </c>
      <c r="G39" s="9">
        <f>SUM(NC_FINANCIAL)</f>
        <v>4052251.3769140472</v>
      </c>
      <c r="L39" s="6"/>
      <c r="V39" s="9"/>
    </row>
    <row r="40" spans="1:22">
      <c r="A40" s="1" t="s">
        <v>61</v>
      </c>
      <c r="B40" s="6">
        <v>189609.73895411895</v>
      </c>
      <c r="C40" s="1">
        <v>0</v>
      </c>
      <c r="D40" s="1">
        <v>0</v>
      </c>
      <c r="E40" s="1">
        <v>0</v>
      </c>
      <c r="F40" s="1">
        <v>0</v>
      </c>
      <c r="G40" s="9">
        <f>SUM(ND_FINANCIAL)</f>
        <v>189609.73895411895</v>
      </c>
      <c r="L40" s="6"/>
      <c r="V40" s="9"/>
    </row>
    <row r="41" spans="1:22">
      <c r="A41" s="1" t="s">
        <v>62</v>
      </c>
      <c r="B41" s="6">
        <v>2503502.1704015634</v>
      </c>
      <c r="C41" s="1">
        <v>0</v>
      </c>
      <c r="D41" s="1">
        <v>94026.874068160658</v>
      </c>
      <c r="E41" s="1">
        <v>0</v>
      </c>
      <c r="F41" s="1">
        <v>0</v>
      </c>
      <c r="G41" s="9">
        <f>SUM(OH_FINANCIAL)</f>
        <v>2597529.0444697239</v>
      </c>
      <c r="L41" s="6"/>
      <c r="V41" s="9"/>
    </row>
    <row r="42" spans="1:22">
      <c r="A42" s="1" t="s">
        <v>63</v>
      </c>
      <c r="B42" s="6">
        <v>1115493.3195092569</v>
      </c>
      <c r="C42" s="1">
        <v>0</v>
      </c>
      <c r="D42" s="1">
        <v>23175.757769138836</v>
      </c>
      <c r="E42" s="1">
        <v>0</v>
      </c>
      <c r="F42" s="1">
        <v>0</v>
      </c>
      <c r="G42" s="9">
        <f>SUM(OK_FINANCIAL)</f>
        <v>1138669.0772783956</v>
      </c>
      <c r="L42" s="6"/>
      <c r="V42" s="9"/>
    </row>
    <row r="43" spans="1:22">
      <c r="A43" s="1" t="s">
        <v>64</v>
      </c>
      <c r="B43" s="6">
        <v>931899.41129250091</v>
      </c>
      <c r="C43" s="1">
        <v>0</v>
      </c>
      <c r="D43" s="1">
        <v>9932.3246671763791</v>
      </c>
      <c r="E43" s="1">
        <v>0</v>
      </c>
      <c r="F43" s="1">
        <v>0</v>
      </c>
      <c r="G43" s="9">
        <f>SUM(OR_FINANCIAL)</f>
        <v>941831.73595967726</v>
      </c>
      <c r="L43" s="6"/>
      <c r="V43" s="9"/>
    </row>
    <row r="44" spans="1:22">
      <c r="A44" s="1" t="s">
        <v>65</v>
      </c>
      <c r="B44" s="6">
        <v>3871348.1820793217</v>
      </c>
      <c r="C44" s="1">
        <v>0</v>
      </c>
      <c r="D44" s="1">
        <v>0</v>
      </c>
      <c r="E44" s="1">
        <v>0</v>
      </c>
      <c r="F44" s="1">
        <v>0</v>
      </c>
      <c r="G44" s="9">
        <f>SUM(PA_FINANCIAL)</f>
        <v>3871348.1820793217</v>
      </c>
      <c r="L44" s="6"/>
      <c r="V44" s="9"/>
    </row>
    <row r="45" spans="1:22">
      <c r="A45" s="1" t="s">
        <v>66</v>
      </c>
      <c r="B45" s="6">
        <v>0</v>
      </c>
      <c r="C45" s="1">
        <v>0</v>
      </c>
      <c r="D45" s="1">
        <v>0</v>
      </c>
      <c r="E45" s="1">
        <v>0</v>
      </c>
      <c r="F45" s="1">
        <v>0</v>
      </c>
      <c r="G45" s="9">
        <f>SUM(PR_FINANCIAL)</f>
        <v>0</v>
      </c>
      <c r="L45" s="6"/>
      <c r="V45" s="9"/>
    </row>
    <row r="46" spans="1:22">
      <c r="A46" s="1" t="s">
        <v>67</v>
      </c>
      <c r="B46" s="6">
        <v>245119.08598081072</v>
      </c>
      <c r="C46" s="1">
        <v>0</v>
      </c>
      <c r="D46" s="1">
        <v>6952.4271395870919</v>
      </c>
      <c r="E46" s="1">
        <v>0</v>
      </c>
      <c r="F46" s="1">
        <v>0</v>
      </c>
      <c r="G46" s="9">
        <f>SUM(RI_FINANCIAL)</f>
        <v>252071.51312039781</v>
      </c>
      <c r="L46" s="6"/>
      <c r="V46" s="9"/>
    </row>
    <row r="47" spans="1:22">
      <c r="A47" s="1" t="s">
        <v>68</v>
      </c>
      <c r="B47" s="6">
        <v>1632242.372967168</v>
      </c>
      <c r="C47" s="1">
        <v>0</v>
      </c>
      <c r="D47" s="1">
        <v>24499.60076074415</v>
      </c>
      <c r="E47" s="1">
        <v>0</v>
      </c>
      <c r="F47" s="1">
        <v>0</v>
      </c>
      <c r="G47" s="9">
        <f>SUM(SC_FINANCIAL)</f>
        <v>1656741.9737279122</v>
      </c>
      <c r="L47" s="6"/>
      <c r="V47" s="9"/>
    </row>
    <row r="48" spans="1:22">
      <c r="A48" s="1" t="s">
        <v>69</v>
      </c>
      <c r="B48" s="6">
        <v>148934.83814855252</v>
      </c>
      <c r="C48" s="1">
        <v>0</v>
      </c>
      <c r="D48" s="1">
        <v>2979.8975275892863</v>
      </c>
      <c r="E48" s="1">
        <v>0</v>
      </c>
      <c r="F48" s="1">
        <v>0</v>
      </c>
      <c r="G48" s="9">
        <f>SUM(SD_FINANCIAL)</f>
        <v>151914.73567614181</v>
      </c>
      <c r="L48" s="6"/>
      <c r="V48" s="9"/>
    </row>
    <row r="49" spans="1:22">
      <c r="A49" s="1" t="s">
        <v>70</v>
      </c>
      <c r="B49" s="6">
        <v>1715273.2450438314</v>
      </c>
      <c r="C49" s="1">
        <v>0</v>
      </c>
      <c r="D49" s="1">
        <v>42709.196196294797</v>
      </c>
      <c r="E49" s="1">
        <v>0</v>
      </c>
      <c r="F49" s="1">
        <v>0</v>
      </c>
      <c r="G49" s="9">
        <f>SUM(TN_FINANCIAL)</f>
        <v>1757982.4412401263</v>
      </c>
      <c r="L49" s="6"/>
      <c r="V49" s="9"/>
    </row>
    <row r="50" spans="1:22">
      <c r="A50" s="1" t="s">
        <v>71</v>
      </c>
      <c r="B50" s="6">
        <v>10943043.26864708</v>
      </c>
      <c r="C50" s="1">
        <v>0</v>
      </c>
      <c r="D50" s="1">
        <v>46682.726445474465</v>
      </c>
      <c r="E50" s="1">
        <v>0</v>
      </c>
      <c r="F50" s="1">
        <v>0</v>
      </c>
      <c r="G50" s="9">
        <f>SUM(TX_FINANCIAL)</f>
        <v>10989725.995092554</v>
      </c>
      <c r="L50" s="6"/>
      <c r="V50" s="9"/>
    </row>
    <row r="51" spans="1:22">
      <c r="A51" s="1" t="s">
        <v>72</v>
      </c>
      <c r="B51" s="6">
        <v>592252.13201541593</v>
      </c>
      <c r="C51" s="1">
        <v>0</v>
      </c>
      <c r="D51" s="1">
        <v>7283.6380467838862</v>
      </c>
      <c r="E51" s="1">
        <v>0</v>
      </c>
      <c r="F51" s="1">
        <v>0</v>
      </c>
      <c r="G51" s="9">
        <f>SUM(UT_FINANCIAL)</f>
        <v>599535.77006219979</v>
      </c>
      <c r="L51" s="6"/>
      <c r="V51" s="9"/>
    </row>
    <row r="52" spans="1:22">
      <c r="A52" s="1" t="s">
        <v>73</v>
      </c>
      <c r="B52" s="6">
        <v>169535.95644875674</v>
      </c>
      <c r="C52" s="1">
        <v>0</v>
      </c>
      <c r="D52" s="1">
        <v>0</v>
      </c>
      <c r="E52" s="1">
        <v>0</v>
      </c>
      <c r="F52" s="1">
        <v>0</v>
      </c>
      <c r="G52" s="9">
        <f>SUM(VT_FINANCIAL)</f>
        <v>169535.95644875674</v>
      </c>
      <c r="L52" s="6"/>
      <c r="V52" s="9"/>
    </row>
    <row r="53" spans="1:22">
      <c r="A53" s="1" t="s">
        <v>74</v>
      </c>
      <c r="B53" s="6">
        <v>2300669.0110891191</v>
      </c>
      <c r="C53" s="1">
        <v>0</v>
      </c>
      <c r="D53" s="1">
        <v>64229.900066631526</v>
      </c>
      <c r="E53" s="1">
        <v>0</v>
      </c>
      <c r="F53" s="1">
        <v>0</v>
      </c>
      <c r="G53" s="9">
        <f>SUM(VA_FINANCIAL)</f>
        <v>2364898.9111557505</v>
      </c>
      <c r="L53" s="6"/>
      <c r="V53" s="9"/>
    </row>
    <row r="54" spans="1:22">
      <c r="A54" s="1" t="s">
        <v>75</v>
      </c>
      <c r="B54" s="6">
        <v>2159729.2640236556</v>
      </c>
      <c r="C54" s="1">
        <v>0</v>
      </c>
      <c r="D54" s="1">
        <v>45357.882816687292</v>
      </c>
      <c r="E54" s="1">
        <v>0</v>
      </c>
      <c r="F54" s="1">
        <v>0</v>
      </c>
      <c r="G54" s="9">
        <f>SUM(WA_FINANCIAL)</f>
        <v>2205087.1468403428</v>
      </c>
      <c r="L54" s="6"/>
      <c r="V54" s="9"/>
    </row>
    <row r="55" spans="1:22">
      <c r="A55" s="1" t="s">
        <v>76</v>
      </c>
      <c r="B55" s="6">
        <v>378746.17652121652</v>
      </c>
      <c r="C55" s="1">
        <v>0</v>
      </c>
      <c r="D55" s="1">
        <v>5959.7950551785725</v>
      </c>
      <c r="E55" s="1">
        <v>0</v>
      </c>
      <c r="F55" s="1">
        <v>0</v>
      </c>
      <c r="G55" s="9">
        <f>SUM(WV_FINANCIAL)</f>
        <v>384705.9715763951</v>
      </c>
      <c r="L55" s="6"/>
      <c r="V55" s="9"/>
    </row>
    <row r="56" spans="1:22">
      <c r="A56" s="1" t="s">
        <v>77</v>
      </c>
      <c r="B56" s="6">
        <v>1546196.5810615502</v>
      </c>
      <c r="C56" s="1">
        <v>0</v>
      </c>
      <c r="D56" s="1">
        <v>25493.233482334534</v>
      </c>
      <c r="E56" s="1">
        <v>0</v>
      </c>
      <c r="F56" s="1">
        <v>0</v>
      </c>
      <c r="G56" s="9">
        <f>SUM(WI_FINANCIAL)</f>
        <v>1571689.8145438847</v>
      </c>
      <c r="L56" s="6"/>
      <c r="V56" s="9"/>
    </row>
    <row r="57" spans="1:22">
      <c r="A57" s="1" t="s">
        <v>78</v>
      </c>
      <c r="B57" s="6">
        <v>279597.04071909696</v>
      </c>
      <c r="C57" s="1">
        <v>0</v>
      </c>
      <c r="D57" s="1">
        <v>4966.1623335881895</v>
      </c>
      <c r="E57" s="1">
        <v>0</v>
      </c>
      <c r="F57" s="1">
        <v>0</v>
      </c>
      <c r="G57" s="9">
        <f>SUM(WY_FINANCIAL)</f>
        <v>284563.20305268513</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96300489.852400944</v>
      </c>
      <c r="C60" s="1">
        <f>SUM(ALLOCATED)</f>
        <v>0</v>
      </c>
      <c r="D60" s="1">
        <f>SUM(HEALTH)</f>
        <v>1465362.1075990763</v>
      </c>
      <c r="E60" s="1">
        <f>SUM(UNALLOCATED)</f>
        <v>0</v>
      </c>
      <c r="F60" s="1">
        <f>SUM(LTC)</f>
        <v>0</v>
      </c>
      <c r="G60" s="9">
        <f>SUM(ALL_BLOCKS)</f>
        <v>97765851.959999993</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87</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72330.559275481821</v>
      </c>
      <c r="E6" s="1">
        <v>0</v>
      </c>
      <c r="F6" s="1">
        <v>0</v>
      </c>
      <c r="G6" s="9">
        <f>SUM(AL_FINANCIAL)</f>
        <v>72330.559275481821</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2046046.4295300767</v>
      </c>
      <c r="E8" s="1">
        <v>0</v>
      </c>
      <c r="F8" s="1">
        <v>0</v>
      </c>
      <c r="G8" s="9">
        <f>SUM(AZ_FINANCIAL)</f>
        <v>2046046.4295300767</v>
      </c>
      <c r="I8" s="13" t="s">
        <v>14</v>
      </c>
      <c r="J8" s="16"/>
      <c r="L8" s="6"/>
      <c r="V8" s="9"/>
    </row>
    <row r="9" spans="1:22">
      <c r="A9" s="1" t="s">
        <v>15</v>
      </c>
      <c r="B9" s="6">
        <v>0</v>
      </c>
      <c r="C9" s="1">
        <v>0</v>
      </c>
      <c r="D9" s="1">
        <v>-1663.01881738663</v>
      </c>
      <c r="E9" s="1">
        <v>0</v>
      </c>
      <c r="F9" s="1">
        <v>0</v>
      </c>
      <c r="G9" s="9">
        <f>SUM(AR_FINANCIAL)</f>
        <v>-1663.01881738663</v>
      </c>
      <c r="I9" s="13"/>
      <c r="J9" s="16"/>
      <c r="L9" s="6"/>
      <c r="V9" s="9"/>
    </row>
    <row r="10" spans="1:22">
      <c r="A10" s="1" t="s">
        <v>16</v>
      </c>
      <c r="B10" s="6">
        <v>0</v>
      </c>
      <c r="C10" s="1">
        <v>0</v>
      </c>
      <c r="D10" s="1">
        <v>2525210.7167260665</v>
      </c>
      <c r="E10" s="1">
        <v>0</v>
      </c>
      <c r="F10" s="1">
        <v>0</v>
      </c>
      <c r="G10" s="9">
        <f>SUM(CA_FINANCIAL)</f>
        <v>2525210.7167260665</v>
      </c>
      <c r="I10" s="13" t="s">
        <v>17</v>
      </c>
      <c r="J10" s="16">
        <v>385667154.38576686</v>
      </c>
      <c r="L10" s="6"/>
      <c r="V10" s="9"/>
    </row>
    <row r="11" spans="1:22">
      <c r="A11" s="1" t="s">
        <v>18</v>
      </c>
      <c r="B11" s="6">
        <v>0</v>
      </c>
      <c r="C11" s="1">
        <v>0</v>
      </c>
      <c r="D11" s="1">
        <v>21736563.945599783</v>
      </c>
      <c r="E11" s="1">
        <v>0</v>
      </c>
      <c r="F11" s="1">
        <v>0</v>
      </c>
      <c r="G11" s="9">
        <f>SUM(CO_FINANCIAL)</f>
        <v>21736563.945599783</v>
      </c>
      <c r="I11" s="13"/>
      <c r="J11" s="16"/>
      <c r="L11" s="6">
        <v>0</v>
      </c>
      <c r="M11" s="1">
        <v>0</v>
      </c>
      <c r="O11" s="1">
        <v>0</v>
      </c>
      <c r="P11" s="1">
        <v>0</v>
      </c>
      <c r="R11" s="1">
        <v>16000000</v>
      </c>
      <c r="S11" s="1">
        <v>0</v>
      </c>
      <c r="U11" s="1">
        <v>0</v>
      </c>
      <c r="V11" s="9">
        <v>0</v>
      </c>
    </row>
    <row r="12" spans="1:22">
      <c r="A12" s="1" t="s">
        <v>19</v>
      </c>
      <c r="B12" s="6">
        <v>0</v>
      </c>
      <c r="C12" s="1">
        <v>0</v>
      </c>
      <c r="D12" s="1">
        <v>26701844.167760108</v>
      </c>
      <c r="E12" s="1">
        <v>0</v>
      </c>
      <c r="F12" s="1">
        <v>0</v>
      </c>
      <c r="G12" s="9">
        <f>SUM(CT_FINANCIAL)</f>
        <v>26701844.167760108</v>
      </c>
      <c r="I12" s="13" t="s">
        <v>20</v>
      </c>
      <c r="J12" s="16"/>
      <c r="L12" s="6">
        <v>0</v>
      </c>
      <c r="M12" s="1">
        <v>0</v>
      </c>
      <c r="O12" s="1">
        <v>0</v>
      </c>
      <c r="P12" s="1">
        <v>0</v>
      </c>
      <c r="R12" s="1">
        <v>1173019</v>
      </c>
      <c r="S12" s="1">
        <v>0</v>
      </c>
      <c r="U12" s="1">
        <v>0</v>
      </c>
      <c r="V12" s="9">
        <v>0</v>
      </c>
    </row>
    <row r="13" spans="1:22">
      <c r="A13" s="1" t="s">
        <v>21</v>
      </c>
      <c r="B13" s="6">
        <v>0</v>
      </c>
      <c r="C13" s="1">
        <v>0</v>
      </c>
      <c r="D13" s="1">
        <v>591821.32542031095</v>
      </c>
      <c r="E13" s="1">
        <v>0</v>
      </c>
      <c r="F13" s="1">
        <v>0</v>
      </c>
      <c r="G13" s="9">
        <f>SUM(DE_FINANCIAL)</f>
        <v>591821.32542031095</v>
      </c>
      <c r="I13" s="13" t="s">
        <v>22</v>
      </c>
      <c r="J13" s="16">
        <v>0</v>
      </c>
      <c r="L13" s="6">
        <v>0</v>
      </c>
      <c r="M13" s="1">
        <v>0</v>
      </c>
      <c r="O13" s="1">
        <v>0</v>
      </c>
      <c r="P13" s="1">
        <v>0</v>
      </c>
      <c r="R13" s="1">
        <v>596000</v>
      </c>
      <c r="S13" s="1">
        <v>0</v>
      </c>
      <c r="U13" s="1">
        <v>0</v>
      </c>
      <c r="V13" s="9">
        <v>0</v>
      </c>
    </row>
    <row r="14" spans="1:22">
      <c r="A14" s="1" t="s">
        <v>23</v>
      </c>
      <c r="B14" s="6">
        <v>0</v>
      </c>
      <c r="C14" s="1">
        <v>0</v>
      </c>
      <c r="D14" s="1">
        <v>184386.87041818973</v>
      </c>
      <c r="E14" s="1">
        <v>0</v>
      </c>
      <c r="F14" s="1">
        <v>0</v>
      </c>
      <c r="G14" s="9">
        <f>SUM(DC_FINANCIAL)</f>
        <v>184386.87041818973</v>
      </c>
      <c r="I14" s="13" t="s">
        <v>24</v>
      </c>
      <c r="J14" s="16">
        <v>3102445.1342655225</v>
      </c>
      <c r="L14" s="6">
        <v>0</v>
      </c>
      <c r="M14" s="1">
        <v>0</v>
      </c>
      <c r="O14" s="1">
        <v>0</v>
      </c>
      <c r="P14" s="1">
        <v>0</v>
      </c>
      <c r="R14" s="1">
        <v>142500</v>
      </c>
      <c r="S14" s="1">
        <v>0</v>
      </c>
      <c r="U14" s="1">
        <v>0</v>
      </c>
      <c r="V14" s="9">
        <v>0</v>
      </c>
    </row>
    <row r="15" spans="1:22">
      <c r="A15" s="1" t="s">
        <v>25</v>
      </c>
      <c r="B15" s="6">
        <v>0</v>
      </c>
      <c r="C15" s="1">
        <v>0</v>
      </c>
      <c r="D15" s="1">
        <v>16323743.985989597</v>
      </c>
      <c r="E15" s="1">
        <v>0</v>
      </c>
      <c r="F15" s="1">
        <v>0</v>
      </c>
      <c r="G15" s="9">
        <f>SUM(FL_FINANCIAL)</f>
        <v>16323743.985989597</v>
      </c>
      <c r="I15" s="13" t="s">
        <v>26</v>
      </c>
      <c r="J15" s="16">
        <v>5702944.8431983031</v>
      </c>
      <c r="L15" s="6">
        <v>0</v>
      </c>
      <c r="M15" s="1">
        <v>0</v>
      </c>
      <c r="O15" s="1">
        <v>0</v>
      </c>
      <c r="P15" s="1">
        <v>0</v>
      </c>
      <c r="R15" s="1">
        <v>14795535</v>
      </c>
      <c r="S15" s="1">
        <v>0</v>
      </c>
      <c r="U15" s="1">
        <v>0</v>
      </c>
      <c r="V15" s="9">
        <v>0</v>
      </c>
    </row>
    <row r="16" spans="1:22">
      <c r="A16" s="1" t="s">
        <v>27</v>
      </c>
      <c r="B16" s="6">
        <v>0</v>
      </c>
      <c r="C16" s="1">
        <v>0</v>
      </c>
      <c r="D16" s="1">
        <v>1586135.610394096</v>
      </c>
      <c r="E16" s="1">
        <v>0</v>
      </c>
      <c r="F16" s="1">
        <v>0</v>
      </c>
      <c r="G16" s="9">
        <f>SUM(GA_FINANCIAL)</f>
        <v>1586135.610394096</v>
      </c>
      <c r="I16" s="13" t="s">
        <v>28</v>
      </c>
      <c r="J16" s="16">
        <v>332612228.06057483</v>
      </c>
      <c r="L16" s="6">
        <v>0</v>
      </c>
      <c r="M16" s="1">
        <v>0</v>
      </c>
      <c r="O16" s="1">
        <v>0</v>
      </c>
      <c r="P16" s="1">
        <v>0</v>
      </c>
      <c r="R16" s="1">
        <v>1700000</v>
      </c>
      <c r="S16" s="1">
        <v>0</v>
      </c>
      <c r="U16" s="1">
        <v>0</v>
      </c>
      <c r="V16" s="9">
        <v>0</v>
      </c>
    </row>
    <row r="17" spans="1:22">
      <c r="A17" s="1" t="s">
        <v>29</v>
      </c>
      <c r="B17" s="6">
        <v>0</v>
      </c>
      <c r="C17" s="1">
        <v>0</v>
      </c>
      <c r="D17" s="1">
        <v>17874.309859258909</v>
      </c>
      <c r="E17" s="1">
        <v>0</v>
      </c>
      <c r="F17" s="1">
        <v>0</v>
      </c>
      <c r="G17" s="9">
        <f>SUM(HI_FINANCIAL)</f>
        <v>17874.309859258909</v>
      </c>
      <c r="I17" s="13"/>
      <c r="J17" s="16"/>
      <c r="L17" s="6"/>
      <c r="V17" s="9"/>
    </row>
    <row r="18" spans="1:22">
      <c r="A18" s="1" t="s">
        <v>30</v>
      </c>
      <c r="B18" s="6">
        <v>0</v>
      </c>
      <c r="C18" s="1">
        <v>0</v>
      </c>
      <c r="D18" s="1">
        <v>131106.6508247508</v>
      </c>
      <c r="E18" s="1">
        <v>0</v>
      </c>
      <c r="F18" s="1">
        <v>0</v>
      </c>
      <c r="G18" s="9">
        <f>SUM(ID_FINANCIAL)</f>
        <v>131106.6508247508</v>
      </c>
      <c r="I18" s="13" t="s">
        <v>31</v>
      </c>
      <c r="J18" s="16"/>
      <c r="L18" s="6"/>
      <c r="V18" s="9"/>
    </row>
    <row r="19" spans="1:22">
      <c r="A19" s="1" t="s">
        <v>32</v>
      </c>
      <c r="B19" s="6">
        <v>0</v>
      </c>
      <c r="C19" s="1">
        <v>0</v>
      </c>
      <c r="D19" s="1">
        <v>329916.80761860777</v>
      </c>
      <c r="E19" s="1">
        <v>0</v>
      </c>
      <c r="F19" s="1">
        <v>0</v>
      </c>
      <c r="G19" s="9">
        <f>SUM(IL_FINANCIAL)</f>
        <v>329916.80761860777</v>
      </c>
      <c r="I19" s="13" t="s">
        <v>33</v>
      </c>
      <c r="J19" s="16">
        <v>53058590.087657958</v>
      </c>
      <c r="L19" s="6"/>
      <c r="V19" s="9"/>
    </row>
    <row r="20" spans="1:22">
      <c r="A20" s="1" t="s">
        <v>34</v>
      </c>
      <c r="B20" s="6">
        <v>0</v>
      </c>
      <c r="C20" s="1">
        <v>0</v>
      </c>
      <c r="D20" s="1">
        <v>177093.67318781579</v>
      </c>
      <c r="E20" s="1">
        <v>0</v>
      </c>
      <c r="F20" s="1">
        <v>0</v>
      </c>
      <c r="G20" s="9">
        <f>SUM(IN_FINANCIAL)</f>
        <v>177093.67318781579</v>
      </c>
      <c r="I20" s="13" t="s">
        <v>35</v>
      </c>
      <c r="J20" s="16">
        <v>332608564.29810888</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13081321.427468432</v>
      </c>
      <c r="E22" s="1">
        <v>0</v>
      </c>
      <c r="F22" s="1">
        <v>0</v>
      </c>
      <c r="G22" s="9">
        <f>SUM(KS_FINANCIAL)</f>
        <v>13081321.427468432</v>
      </c>
      <c r="I22" s="13" t="s">
        <v>39</v>
      </c>
      <c r="J22" s="16">
        <v>0</v>
      </c>
      <c r="L22" s="6">
        <v>0</v>
      </c>
      <c r="M22" s="1">
        <v>0</v>
      </c>
      <c r="O22" s="1">
        <v>0</v>
      </c>
      <c r="P22" s="1">
        <v>0</v>
      </c>
      <c r="R22" s="1">
        <v>9800000</v>
      </c>
      <c r="S22" s="1">
        <v>0</v>
      </c>
      <c r="U22" s="1">
        <v>0</v>
      </c>
      <c r="V22" s="9">
        <v>0</v>
      </c>
    </row>
    <row r="23" spans="1:22">
      <c r="A23" s="1" t="s">
        <v>40</v>
      </c>
      <c r="B23" s="6">
        <v>0</v>
      </c>
      <c r="C23" s="1">
        <v>0</v>
      </c>
      <c r="D23" s="1">
        <v>60438.489652006727</v>
      </c>
      <c r="E23" s="1">
        <v>0</v>
      </c>
      <c r="F23" s="1">
        <v>0</v>
      </c>
      <c r="G23" s="9">
        <f>SUM(KY_FINANCIAL)</f>
        <v>60438.489652006727</v>
      </c>
      <c r="I23" s="13" t="s">
        <v>41</v>
      </c>
      <c r="J23" s="16"/>
      <c r="L23" s="6"/>
      <c r="V23" s="9"/>
    </row>
    <row r="24" spans="1:22">
      <c r="A24" s="1" t="s">
        <v>42</v>
      </c>
      <c r="B24" s="6">
        <v>0</v>
      </c>
      <c r="C24" s="1">
        <v>0</v>
      </c>
      <c r="D24" s="1">
        <v>169061.16584259365</v>
      </c>
      <c r="E24" s="1">
        <v>0</v>
      </c>
      <c r="F24" s="1">
        <v>0</v>
      </c>
      <c r="G24" s="9">
        <f>SUM(LA_FINANCIAL)</f>
        <v>169061.16584259365</v>
      </c>
      <c r="I24" s="13" t="s">
        <v>43</v>
      </c>
      <c r="J24" s="16">
        <v>0</v>
      </c>
      <c r="L24" s="6"/>
      <c r="V24" s="9"/>
    </row>
    <row r="25" spans="1:22">
      <c r="A25" s="1" t="s">
        <v>44</v>
      </c>
      <c r="B25" s="6">
        <v>0</v>
      </c>
      <c r="C25" s="1">
        <v>0</v>
      </c>
      <c r="D25" s="1">
        <v>806219.25432312838</v>
      </c>
      <c r="E25" s="1">
        <v>0</v>
      </c>
      <c r="F25" s="1">
        <v>0</v>
      </c>
      <c r="G25" s="9">
        <f>SUM(ME_FINANCIAL)</f>
        <v>806219.25432312838</v>
      </c>
      <c r="I25" s="13"/>
      <c r="J25" s="16"/>
      <c r="L25" s="6">
        <v>0</v>
      </c>
      <c r="M25" s="1">
        <v>0</v>
      </c>
      <c r="O25" s="1">
        <v>0</v>
      </c>
      <c r="P25" s="1">
        <v>0</v>
      </c>
      <c r="R25" s="1">
        <v>566000</v>
      </c>
      <c r="S25" s="1">
        <v>0</v>
      </c>
      <c r="U25" s="1">
        <v>0</v>
      </c>
      <c r="V25" s="9">
        <v>0</v>
      </c>
    </row>
    <row r="26" spans="1:22">
      <c r="A26" s="1" t="s">
        <v>45</v>
      </c>
      <c r="B26" s="6">
        <v>0</v>
      </c>
      <c r="C26" s="1">
        <v>0</v>
      </c>
      <c r="D26" s="1">
        <v>2451321.3031346924</v>
      </c>
      <c r="E26" s="1">
        <v>0</v>
      </c>
      <c r="F26" s="1">
        <v>0</v>
      </c>
      <c r="G26" s="9">
        <f>SUM(MD_FINANCIAL)</f>
        <v>2451321.3031346924</v>
      </c>
      <c r="I26" s="13" t="s">
        <v>46</v>
      </c>
      <c r="J26" s="16">
        <f>SUM(ADD_FINANCIAL)-SUM(LESS_FINANCIAL)</f>
        <v>341417618.03803861</v>
      </c>
      <c r="L26" s="6"/>
      <c r="V26" s="9"/>
    </row>
    <row r="27" spans="1:22">
      <c r="A27" s="1" t="s">
        <v>47</v>
      </c>
      <c r="B27" s="6">
        <v>0</v>
      </c>
      <c r="C27" s="1">
        <v>0</v>
      </c>
      <c r="D27" s="1">
        <v>2513775.9086584132</v>
      </c>
      <c r="E27" s="1">
        <v>0</v>
      </c>
      <c r="F27" s="1">
        <v>0</v>
      </c>
      <c r="G27" s="9">
        <f>SUM(MA_FINANCIAL)</f>
        <v>2513775.9086584132</v>
      </c>
      <c r="I27" s="13" t="s">
        <v>48</v>
      </c>
      <c r="J27" s="16">
        <f>SUM(ALL_BLOCKS)</f>
        <v>341417618.03803885</v>
      </c>
      <c r="L27" s="6">
        <v>0</v>
      </c>
      <c r="M27" s="1">
        <v>0</v>
      </c>
      <c r="O27" s="1">
        <v>0</v>
      </c>
      <c r="P27" s="1">
        <v>0</v>
      </c>
      <c r="R27" s="1">
        <v>1898000</v>
      </c>
      <c r="S27" s="1">
        <v>0</v>
      </c>
      <c r="U27" s="1">
        <v>0</v>
      </c>
      <c r="V27" s="9">
        <v>0</v>
      </c>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150936.90297635683</v>
      </c>
      <c r="E29" s="1">
        <v>0</v>
      </c>
      <c r="F29" s="1">
        <v>0</v>
      </c>
      <c r="G29" s="9">
        <f>SUM(MN_FINANCIAL)</f>
        <v>150936.90297635683</v>
      </c>
      <c r="L29" s="6">
        <v>0</v>
      </c>
      <c r="M29" s="1">
        <v>0</v>
      </c>
      <c r="O29" s="1">
        <v>0</v>
      </c>
      <c r="P29" s="1">
        <v>0</v>
      </c>
      <c r="R29" s="1">
        <v>150000</v>
      </c>
      <c r="S29" s="1">
        <v>0</v>
      </c>
      <c r="U29" s="1">
        <v>0</v>
      </c>
      <c r="V29" s="9">
        <v>0</v>
      </c>
    </row>
    <row r="30" spans="1:22">
      <c r="A30" s="1" t="s">
        <v>51</v>
      </c>
      <c r="B30" s="6">
        <v>0</v>
      </c>
      <c r="C30" s="1">
        <v>0</v>
      </c>
      <c r="D30" s="1">
        <v>11317.821031516751</v>
      </c>
      <c r="E30" s="1">
        <v>0</v>
      </c>
      <c r="F30" s="1">
        <v>0</v>
      </c>
      <c r="G30" s="9">
        <f>SUM(MS_FINANCIAL)</f>
        <v>11317.821031516751</v>
      </c>
      <c r="L30" s="6"/>
      <c r="V30" s="9"/>
    </row>
    <row r="31" spans="1:22">
      <c r="A31" s="1" t="s">
        <v>52</v>
      </c>
      <c r="B31" s="6">
        <v>0</v>
      </c>
      <c r="C31" s="1">
        <v>0</v>
      </c>
      <c r="D31" s="1">
        <v>384662.47001193441</v>
      </c>
      <c r="E31" s="1">
        <v>0</v>
      </c>
      <c r="F31" s="1">
        <v>0</v>
      </c>
      <c r="G31" s="9">
        <f>SUM(MO_FINANCIAL)</f>
        <v>384662.47001193441</v>
      </c>
      <c r="L31" s="6">
        <v>0</v>
      </c>
      <c r="M31" s="1">
        <v>0</v>
      </c>
      <c r="O31" s="1">
        <v>0</v>
      </c>
      <c r="P31" s="1">
        <v>0</v>
      </c>
      <c r="R31" s="1">
        <v>267450</v>
      </c>
      <c r="S31" s="1">
        <v>0</v>
      </c>
      <c r="U31" s="1">
        <v>0</v>
      </c>
      <c r="V31" s="9">
        <v>0</v>
      </c>
    </row>
    <row r="32" spans="1:22">
      <c r="A32" s="1" t="s">
        <v>53</v>
      </c>
      <c r="B32" s="6">
        <v>0</v>
      </c>
      <c r="C32" s="1">
        <v>0</v>
      </c>
      <c r="D32" s="1">
        <v>93918.04062778737</v>
      </c>
      <c r="E32" s="1">
        <v>0</v>
      </c>
      <c r="F32" s="1">
        <v>0</v>
      </c>
      <c r="G32" s="9">
        <f>SUM(MT_FINANCIAL)</f>
        <v>93918.04062778737</v>
      </c>
      <c r="L32" s="6"/>
      <c r="V32" s="9"/>
    </row>
    <row r="33" spans="1:22">
      <c r="A33" s="1" t="s">
        <v>54</v>
      </c>
      <c r="B33" s="6">
        <v>0</v>
      </c>
      <c r="C33" s="1">
        <v>0</v>
      </c>
      <c r="D33" s="1">
        <v>106619.71658239751</v>
      </c>
      <c r="E33" s="1">
        <v>0</v>
      </c>
      <c r="F33" s="1">
        <v>0</v>
      </c>
      <c r="G33" s="9">
        <f>SUM(NE_FINANCIAL)</f>
        <v>106619.71658239751</v>
      </c>
      <c r="L33" s="6"/>
      <c r="V33" s="9"/>
    </row>
    <row r="34" spans="1:22">
      <c r="A34" s="1" t="s">
        <v>55</v>
      </c>
      <c r="B34" s="6">
        <v>0</v>
      </c>
      <c r="C34" s="1">
        <v>0</v>
      </c>
      <c r="D34" s="1">
        <v>190721.02161348899</v>
      </c>
      <c r="E34" s="1">
        <v>0</v>
      </c>
      <c r="F34" s="1">
        <v>0</v>
      </c>
      <c r="G34" s="9">
        <f>SUM(NV_FINANCIAL)</f>
        <v>190721.02161348899</v>
      </c>
      <c r="L34" s="6"/>
      <c r="V34" s="9"/>
    </row>
    <row r="35" spans="1:22">
      <c r="A35" s="1" t="s">
        <v>56</v>
      </c>
      <c r="B35" s="6">
        <v>0</v>
      </c>
      <c r="C35" s="1">
        <v>0</v>
      </c>
      <c r="D35" s="1">
        <v>417293.5389080171</v>
      </c>
      <c r="E35" s="1">
        <v>0</v>
      </c>
      <c r="F35" s="1">
        <v>0</v>
      </c>
      <c r="G35" s="9">
        <f>SUM(NH_FINANCIAL)</f>
        <v>417293.5389080171</v>
      </c>
      <c r="L35" s="6"/>
      <c r="V35" s="9"/>
    </row>
    <row r="36" spans="1:22">
      <c r="A36" s="1" t="s">
        <v>57</v>
      </c>
      <c r="B36" s="6">
        <v>0</v>
      </c>
      <c r="C36" s="1">
        <v>0</v>
      </c>
      <c r="D36" s="1">
        <v>166228375.81288436</v>
      </c>
      <c r="E36" s="1">
        <v>0</v>
      </c>
      <c r="F36" s="1">
        <v>0</v>
      </c>
      <c r="G36" s="9">
        <f>SUM(NJ_FINANCIAL)</f>
        <v>166228375.81288436</v>
      </c>
      <c r="L36" s="6">
        <v>0</v>
      </c>
      <c r="M36" s="1">
        <v>0</v>
      </c>
      <c r="O36" s="1">
        <v>0</v>
      </c>
      <c r="P36" s="1">
        <v>0</v>
      </c>
      <c r="R36" s="1">
        <v>125949000</v>
      </c>
      <c r="S36" s="1">
        <v>0</v>
      </c>
      <c r="U36" s="1">
        <v>0</v>
      </c>
      <c r="V36" s="9">
        <v>0</v>
      </c>
    </row>
    <row r="37" spans="1:22">
      <c r="A37" s="1" t="s">
        <v>58</v>
      </c>
      <c r="B37" s="6">
        <v>0</v>
      </c>
      <c r="C37" s="1">
        <v>0</v>
      </c>
      <c r="D37" s="1">
        <v>338451.0570314902</v>
      </c>
      <c r="E37" s="1">
        <v>0</v>
      </c>
      <c r="F37" s="1">
        <v>0</v>
      </c>
      <c r="G37" s="9">
        <f>SUM(NM_FINANCIAL)</f>
        <v>338451.0570314902</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3071513.4512029565</v>
      </c>
      <c r="E39" s="1">
        <v>0</v>
      </c>
      <c r="F39" s="1">
        <v>0</v>
      </c>
      <c r="G39" s="9">
        <f>SUM(NC_FINANCIAL)</f>
        <v>3071513.4512029565</v>
      </c>
      <c r="L39" s="6">
        <v>0</v>
      </c>
      <c r="M39" s="1">
        <v>0</v>
      </c>
      <c r="O39" s="1">
        <v>0</v>
      </c>
      <c r="P39" s="1">
        <v>0</v>
      </c>
      <c r="R39" s="1">
        <v>2500000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0</v>
      </c>
      <c r="C41" s="1">
        <v>0</v>
      </c>
      <c r="D41" s="1">
        <v>335370.83561812853</v>
      </c>
      <c r="E41" s="1">
        <v>0</v>
      </c>
      <c r="F41" s="1">
        <v>0</v>
      </c>
      <c r="G41" s="9">
        <f>SUM(OH_FINANCIAL)</f>
        <v>335370.83561812853</v>
      </c>
      <c r="L41" s="6"/>
      <c r="V41" s="9"/>
    </row>
    <row r="42" spans="1:22">
      <c r="A42" s="1" t="s">
        <v>63</v>
      </c>
      <c r="B42" s="6">
        <v>0</v>
      </c>
      <c r="C42" s="1">
        <v>0</v>
      </c>
      <c r="D42" s="1">
        <v>82126.050176517194</v>
      </c>
      <c r="E42" s="1">
        <v>0</v>
      </c>
      <c r="F42" s="1">
        <v>0</v>
      </c>
      <c r="G42" s="9">
        <f>SUM(OK_FINANCIAL)</f>
        <v>82126.050176517194</v>
      </c>
      <c r="L42" s="6"/>
      <c r="V42" s="9"/>
    </row>
    <row r="43" spans="1:22">
      <c r="A43" s="1" t="s">
        <v>64</v>
      </c>
      <c r="B43" s="6">
        <v>0</v>
      </c>
      <c r="C43" s="1">
        <v>0</v>
      </c>
      <c r="D43" s="1">
        <v>171321.28208692832</v>
      </c>
      <c r="E43" s="1">
        <v>0</v>
      </c>
      <c r="F43" s="1">
        <v>0</v>
      </c>
      <c r="G43" s="9">
        <f>SUM(OR_FINANCIAL)</f>
        <v>171321.28208692832</v>
      </c>
      <c r="L43" s="6"/>
      <c r="V43" s="9"/>
    </row>
    <row r="44" spans="1:22">
      <c r="A44" s="1" t="s">
        <v>65</v>
      </c>
      <c r="B44" s="6">
        <v>0</v>
      </c>
      <c r="C44" s="1">
        <v>0</v>
      </c>
      <c r="D44" s="1">
        <v>9342504.9690396059</v>
      </c>
      <c r="E44" s="1">
        <v>0</v>
      </c>
      <c r="F44" s="1">
        <v>0</v>
      </c>
      <c r="G44" s="9">
        <f>SUM(PA_FINANCIAL)</f>
        <v>9342504.9690396059</v>
      </c>
      <c r="L44" s="6">
        <v>0</v>
      </c>
      <c r="M44" s="1">
        <v>0</v>
      </c>
      <c r="O44" s="1">
        <v>0</v>
      </c>
      <c r="P44" s="1">
        <v>0</v>
      </c>
      <c r="R44" s="1">
        <v>8294000</v>
      </c>
      <c r="S44" s="1">
        <v>0</v>
      </c>
      <c r="U44" s="1">
        <v>0</v>
      </c>
      <c r="V44" s="9">
        <v>0</v>
      </c>
    </row>
    <row r="45" spans="1:22">
      <c r="A45" s="1" t="s">
        <v>66</v>
      </c>
      <c r="B45" s="6">
        <v>0</v>
      </c>
      <c r="C45" s="1">
        <v>0</v>
      </c>
      <c r="D45" s="1">
        <v>0</v>
      </c>
      <c r="E45" s="1">
        <v>0</v>
      </c>
      <c r="F45" s="1">
        <v>0</v>
      </c>
      <c r="G45" s="9">
        <f>SUM(PR_FINANCIAL)</f>
        <v>0</v>
      </c>
      <c r="L45" s="6"/>
      <c r="V45" s="9"/>
    </row>
    <row r="46" spans="1:22">
      <c r="A46" s="1" t="s">
        <v>67</v>
      </c>
      <c r="B46" s="6">
        <v>0</v>
      </c>
      <c r="C46" s="1">
        <v>0</v>
      </c>
      <c r="D46" s="1">
        <v>349474.26565438794</v>
      </c>
      <c r="E46" s="1">
        <v>0</v>
      </c>
      <c r="F46" s="1">
        <v>0</v>
      </c>
      <c r="G46" s="9">
        <f>SUM(RI_FINANCIAL)</f>
        <v>349474.26565438794</v>
      </c>
      <c r="L46" s="6">
        <v>0</v>
      </c>
      <c r="M46" s="1">
        <v>0</v>
      </c>
      <c r="O46" s="1">
        <v>0</v>
      </c>
      <c r="P46" s="1">
        <v>0</v>
      </c>
      <c r="R46" s="1">
        <v>599122</v>
      </c>
      <c r="S46" s="1">
        <v>0</v>
      </c>
      <c r="U46" s="1">
        <v>0</v>
      </c>
      <c r="V46" s="9">
        <v>0</v>
      </c>
    </row>
    <row r="47" spans="1:22">
      <c r="A47" s="1" t="s">
        <v>68</v>
      </c>
      <c r="B47" s="6">
        <v>0</v>
      </c>
      <c r="C47" s="1">
        <v>0</v>
      </c>
      <c r="D47" s="1">
        <v>2900422.0163313025</v>
      </c>
      <c r="E47" s="1">
        <v>0</v>
      </c>
      <c r="F47" s="1">
        <v>0</v>
      </c>
      <c r="G47" s="9">
        <f>SUM(SC_FINANCIAL)</f>
        <v>2900422.0163313025</v>
      </c>
      <c r="L47" s="6"/>
      <c r="V47" s="9"/>
    </row>
    <row r="48" spans="1:22">
      <c r="A48" s="1" t="s">
        <v>69</v>
      </c>
      <c r="B48" s="6">
        <v>0</v>
      </c>
      <c r="C48" s="1">
        <v>0</v>
      </c>
      <c r="D48" s="1">
        <v>57107.741060052111</v>
      </c>
      <c r="E48" s="1">
        <v>0</v>
      </c>
      <c r="F48" s="1">
        <v>0</v>
      </c>
      <c r="G48" s="9">
        <f>SUM(SD_FINANCIAL)</f>
        <v>57107.741060052111</v>
      </c>
      <c r="L48" s="6"/>
      <c r="V48" s="9"/>
    </row>
    <row r="49" spans="1:22">
      <c r="A49" s="1" t="s">
        <v>70</v>
      </c>
      <c r="B49" s="6">
        <v>0</v>
      </c>
      <c r="C49" s="1">
        <v>0</v>
      </c>
      <c r="D49" s="1">
        <v>1229918.472935064</v>
      </c>
      <c r="E49" s="1">
        <v>0</v>
      </c>
      <c r="F49" s="1">
        <v>0</v>
      </c>
      <c r="G49" s="9">
        <f>SUM(TN_FINANCIAL)</f>
        <v>1229918.472935064</v>
      </c>
      <c r="L49" s="6">
        <v>0</v>
      </c>
      <c r="M49" s="1">
        <v>0</v>
      </c>
      <c r="O49" s="1">
        <v>0</v>
      </c>
      <c r="P49" s="1">
        <v>0</v>
      </c>
      <c r="R49" s="1">
        <v>1288597</v>
      </c>
      <c r="S49" s="1">
        <v>7752</v>
      </c>
      <c r="U49" s="1">
        <v>0</v>
      </c>
      <c r="V49" s="9">
        <v>0</v>
      </c>
    </row>
    <row r="50" spans="1:22">
      <c r="A50" s="1" t="s">
        <v>71</v>
      </c>
      <c r="B50" s="6">
        <v>0</v>
      </c>
      <c r="C50" s="1">
        <v>0</v>
      </c>
      <c r="D50" s="1">
        <v>910410.24628502864</v>
      </c>
      <c r="E50" s="1">
        <v>0</v>
      </c>
      <c r="F50" s="1">
        <v>0</v>
      </c>
      <c r="G50" s="9">
        <f>SUM(TX_FINANCIAL)</f>
        <v>910410.24628502864</v>
      </c>
      <c r="L50" s="6"/>
      <c r="V50" s="9"/>
    </row>
    <row r="51" spans="1:22">
      <c r="A51" s="1" t="s">
        <v>72</v>
      </c>
      <c r="B51" s="6">
        <v>0</v>
      </c>
      <c r="C51" s="1">
        <v>0</v>
      </c>
      <c r="D51" s="1">
        <v>42667.697344856169</v>
      </c>
      <c r="E51" s="1">
        <v>0</v>
      </c>
      <c r="F51" s="1">
        <v>0</v>
      </c>
      <c r="G51" s="9">
        <f>SUM(UT_FINANCIAL)</f>
        <v>42667.697344856169</v>
      </c>
      <c r="L51" s="6"/>
      <c r="V51" s="9"/>
    </row>
    <row r="52" spans="1:22">
      <c r="A52" s="1" t="s">
        <v>73</v>
      </c>
      <c r="B52" s="6">
        <v>0</v>
      </c>
      <c r="C52" s="1">
        <v>0</v>
      </c>
      <c r="D52" s="1">
        <v>97040.537475202451</v>
      </c>
      <c r="E52" s="1">
        <v>0</v>
      </c>
      <c r="F52" s="1">
        <v>0</v>
      </c>
      <c r="G52" s="9">
        <f>SUM(VT_FINANCIAL)</f>
        <v>97040.537475202451</v>
      </c>
      <c r="L52" s="6"/>
      <c r="V52" s="9"/>
    </row>
    <row r="53" spans="1:22">
      <c r="A53" s="1" t="s">
        <v>74</v>
      </c>
      <c r="B53" s="6">
        <v>0</v>
      </c>
      <c r="C53" s="1">
        <v>0</v>
      </c>
      <c r="D53" s="1">
        <v>59058931.672964193</v>
      </c>
      <c r="E53" s="1">
        <v>0</v>
      </c>
      <c r="F53" s="1">
        <v>0</v>
      </c>
      <c r="G53" s="9">
        <f>SUM(VA_FINANCIAL)</f>
        <v>59058931.672964193</v>
      </c>
      <c r="L53" s="6"/>
      <c r="V53" s="9"/>
    </row>
    <row r="54" spans="1:22">
      <c r="A54" s="1" t="s">
        <v>75</v>
      </c>
      <c r="B54" s="6">
        <v>0</v>
      </c>
      <c r="C54" s="1">
        <v>0</v>
      </c>
      <c r="D54" s="1">
        <v>296314.35781044234</v>
      </c>
      <c r="E54" s="1">
        <v>0</v>
      </c>
      <c r="F54" s="1">
        <v>0</v>
      </c>
      <c r="G54" s="9">
        <f>SUM(WA_FINANCIAL)</f>
        <v>296314.35781044234</v>
      </c>
      <c r="L54" s="6"/>
      <c r="V54" s="9"/>
    </row>
    <row r="55" spans="1:22">
      <c r="A55" s="1" t="s">
        <v>76</v>
      </c>
      <c r="B55" s="6">
        <v>0</v>
      </c>
      <c r="C55" s="1">
        <v>0</v>
      </c>
      <c r="D55" s="1">
        <v>4045648.4775207015</v>
      </c>
      <c r="E55" s="1">
        <v>0</v>
      </c>
      <c r="F55" s="1">
        <v>0</v>
      </c>
      <c r="G55" s="9">
        <f>SUM(WV_FINANCIAL)</f>
        <v>4045648.4775207015</v>
      </c>
      <c r="L55" s="6">
        <v>0</v>
      </c>
      <c r="M55" s="1">
        <v>0</v>
      </c>
      <c r="O55" s="1">
        <v>0</v>
      </c>
      <c r="P55" s="1">
        <v>0</v>
      </c>
      <c r="R55" s="1">
        <v>3620000</v>
      </c>
      <c r="S55" s="1">
        <v>0</v>
      </c>
      <c r="U55" s="1">
        <v>0</v>
      </c>
      <c r="V55" s="9">
        <v>0</v>
      </c>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341417618.03803885</v>
      </c>
      <c r="E60" s="1">
        <f>SUM(UNALLOCATED)</f>
        <v>0</v>
      </c>
      <c r="F60" s="1">
        <f>SUM(LTC)</f>
        <v>0</v>
      </c>
      <c r="G60" s="9">
        <f>SUM(ALL_BLOCKS)</f>
        <v>341417618.03803885</v>
      </c>
      <c r="L60" s="6">
        <f>SUM(LIFE_CALLED)</f>
        <v>0</v>
      </c>
      <c r="M60" s="1">
        <f>SUM(LIFE_REFUNDED)</f>
        <v>0</v>
      </c>
      <c r="O60" s="1">
        <f>SUM(ALLOC_CALLED)</f>
        <v>0</v>
      </c>
      <c r="P60" s="1">
        <f>SUM(ALLOC_REFUNDED)</f>
        <v>0</v>
      </c>
      <c r="R60" s="1">
        <f>SUM(HEALTH_CALLED)</f>
        <v>189339223</v>
      </c>
      <c r="S60" s="1">
        <f>SUM(HEALTH_REFUNDED)</f>
        <v>7752</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159</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7778257.6732422747</v>
      </c>
      <c r="E6" s="1">
        <v>0</v>
      </c>
      <c r="F6" s="1">
        <v>0</v>
      </c>
      <c r="G6" s="9">
        <f>SUM(AL_FINANCIAL)</f>
        <v>7778257.6732422747</v>
      </c>
      <c r="L6" s="6"/>
      <c r="V6" s="9"/>
    </row>
    <row r="7" spans="1:22">
      <c r="A7" s="1" t="s">
        <v>12</v>
      </c>
      <c r="B7" s="6">
        <v>0</v>
      </c>
      <c r="C7" s="1">
        <v>0</v>
      </c>
      <c r="D7" s="1">
        <v>1218471.2961579782</v>
      </c>
      <c r="E7" s="1">
        <v>0</v>
      </c>
      <c r="F7" s="1">
        <v>0</v>
      </c>
      <c r="G7" s="9">
        <f>SUM(AK_FINANCIAL)</f>
        <v>1218471.2961579782</v>
      </c>
      <c r="I7" s="12"/>
      <c r="J7" s="15"/>
      <c r="L7" s="6">
        <v>0</v>
      </c>
      <c r="M7" s="1">
        <v>0</v>
      </c>
      <c r="O7" s="1">
        <v>0</v>
      </c>
      <c r="P7" s="1">
        <v>0</v>
      </c>
      <c r="R7" s="1">
        <v>1050000</v>
      </c>
      <c r="S7" s="1">
        <v>0</v>
      </c>
      <c r="U7" s="1">
        <v>0</v>
      </c>
      <c r="V7" s="9">
        <v>0</v>
      </c>
    </row>
    <row r="8" spans="1:22">
      <c r="A8" s="1" t="s">
        <v>13</v>
      </c>
      <c r="B8" s="6">
        <v>0</v>
      </c>
      <c r="C8" s="1">
        <v>0</v>
      </c>
      <c r="D8" s="1">
        <v>125459451.2765968</v>
      </c>
      <c r="E8" s="1">
        <v>0</v>
      </c>
      <c r="F8" s="1">
        <v>0</v>
      </c>
      <c r="G8" s="9">
        <f>SUM(AZ_FINANCIAL)</f>
        <v>125459451.2765968</v>
      </c>
      <c r="I8" s="13" t="s">
        <v>14</v>
      </c>
      <c r="J8" s="16"/>
      <c r="L8" s="6">
        <v>0</v>
      </c>
      <c r="M8" s="1">
        <v>0</v>
      </c>
      <c r="O8" s="1">
        <v>0</v>
      </c>
      <c r="P8" s="1">
        <v>0</v>
      </c>
      <c r="R8" s="1">
        <v>45824000</v>
      </c>
      <c r="S8" s="1">
        <v>3181</v>
      </c>
      <c r="U8" s="1">
        <v>0</v>
      </c>
      <c r="V8" s="9">
        <v>0</v>
      </c>
    </row>
    <row r="9" spans="1:22">
      <c r="A9" s="1" t="s">
        <v>15</v>
      </c>
      <c r="B9" s="6">
        <v>0</v>
      </c>
      <c r="C9" s="1">
        <v>0</v>
      </c>
      <c r="D9" s="1">
        <v>4587811.1705898037</v>
      </c>
      <c r="E9" s="1">
        <v>0</v>
      </c>
      <c r="F9" s="1">
        <v>0</v>
      </c>
      <c r="G9" s="9">
        <f>SUM(AR_FINANCIAL)</f>
        <v>4587811.1705898037</v>
      </c>
      <c r="I9" s="13"/>
      <c r="J9" s="16"/>
      <c r="L9" s="6">
        <v>0</v>
      </c>
      <c r="M9" s="1">
        <v>0</v>
      </c>
      <c r="O9" s="1">
        <v>0</v>
      </c>
      <c r="P9" s="1">
        <v>0</v>
      </c>
      <c r="R9" s="1">
        <v>0</v>
      </c>
      <c r="S9" s="1">
        <v>0</v>
      </c>
      <c r="U9" s="1">
        <v>0</v>
      </c>
      <c r="V9" s="9">
        <v>0</v>
      </c>
    </row>
    <row r="10" spans="1:22">
      <c r="A10" s="1" t="s">
        <v>16</v>
      </c>
      <c r="B10" s="6">
        <v>0</v>
      </c>
      <c r="C10" s="1">
        <v>0</v>
      </c>
      <c r="D10" s="1">
        <v>412371085.6207248</v>
      </c>
      <c r="E10" s="1">
        <v>0</v>
      </c>
      <c r="F10" s="1">
        <v>0</v>
      </c>
      <c r="G10" s="9">
        <f>SUM(CA_FINANCIAL)</f>
        <v>412371085.6207248</v>
      </c>
      <c r="I10" s="13" t="s">
        <v>17</v>
      </c>
      <c r="J10" s="16">
        <v>2571757855.5164804</v>
      </c>
      <c r="L10" s="6">
        <v>0</v>
      </c>
      <c r="M10" s="1">
        <v>0</v>
      </c>
      <c r="O10" s="1">
        <v>0</v>
      </c>
      <c r="P10" s="1">
        <v>0</v>
      </c>
      <c r="R10" s="1">
        <v>325000000</v>
      </c>
      <c r="S10" s="1">
        <v>0</v>
      </c>
      <c r="U10" s="1">
        <v>0</v>
      </c>
      <c r="V10" s="9">
        <v>0</v>
      </c>
    </row>
    <row r="11" spans="1:22">
      <c r="A11" s="1" t="s">
        <v>18</v>
      </c>
      <c r="B11" s="6">
        <v>0</v>
      </c>
      <c r="C11" s="1">
        <v>0</v>
      </c>
      <c r="D11" s="1">
        <v>43366156.880987339</v>
      </c>
      <c r="E11" s="1">
        <v>0</v>
      </c>
      <c r="F11" s="1">
        <v>0</v>
      </c>
      <c r="G11" s="9">
        <f>SUM(CO_FINANCIAL)</f>
        <v>43366156.880987339</v>
      </c>
      <c r="I11" s="13"/>
      <c r="J11" s="16"/>
      <c r="L11" s="6">
        <v>0</v>
      </c>
      <c r="M11" s="1">
        <v>0</v>
      </c>
      <c r="O11" s="1">
        <v>0</v>
      </c>
      <c r="P11" s="1">
        <v>0</v>
      </c>
      <c r="R11" s="1">
        <v>37000000</v>
      </c>
      <c r="S11" s="1">
        <v>0</v>
      </c>
      <c r="U11" s="1">
        <v>0</v>
      </c>
      <c r="V11" s="9">
        <v>0</v>
      </c>
    </row>
    <row r="12" spans="1:22">
      <c r="A12" s="1" t="s">
        <v>19</v>
      </c>
      <c r="B12" s="6">
        <v>0</v>
      </c>
      <c r="C12" s="1">
        <v>0</v>
      </c>
      <c r="D12" s="1">
        <v>2551274.725022254</v>
      </c>
      <c r="E12" s="1">
        <v>0</v>
      </c>
      <c r="F12" s="1">
        <v>0</v>
      </c>
      <c r="G12" s="9">
        <f>SUM(CT_FINANCIAL)</f>
        <v>2551274.725022254</v>
      </c>
      <c r="I12" s="13" t="s">
        <v>20</v>
      </c>
      <c r="J12" s="16"/>
      <c r="L12" s="6">
        <v>0</v>
      </c>
      <c r="M12" s="1">
        <v>0</v>
      </c>
      <c r="O12" s="1">
        <v>0</v>
      </c>
      <c r="P12" s="1">
        <v>0</v>
      </c>
      <c r="R12" s="1">
        <v>23910973</v>
      </c>
      <c r="S12" s="1">
        <v>0</v>
      </c>
      <c r="U12" s="1">
        <v>0</v>
      </c>
      <c r="V12" s="9">
        <v>0</v>
      </c>
    </row>
    <row r="13" spans="1:22">
      <c r="A13" s="1" t="s">
        <v>21</v>
      </c>
      <c r="B13" s="6">
        <v>0</v>
      </c>
      <c r="C13" s="1">
        <v>0</v>
      </c>
      <c r="D13" s="1">
        <v>3146639.4205666431</v>
      </c>
      <c r="E13" s="1">
        <v>0</v>
      </c>
      <c r="F13" s="1">
        <v>0</v>
      </c>
      <c r="G13" s="9">
        <f>SUM(DE_FINANCIAL)</f>
        <v>3146639.4205666431</v>
      </c>
      <c r="I13" s="13" t="s">
        <v>22</v>
      </c>
      <c r="J13" s="16">
        <v>0</v>
      </c>
      <c r="L13" s="6">
        <v>0</v>
      </c>
      <c r="M13" s="1">
        <v>0</v>
      </c>
      <c r="O13" s="1">
        <v>0</v>
      </c>
      <c r="P13" s="1">
        <v>0</v>
      </c>
      <c r="R13" s="1">
        <v>3022000</v>
      </c>
      <c r="S13" s="1">
        <v>0</v>
      </c>
      <c r="U13" s="1">
        <v>0</v>
      </c>
      <c r="V13" s="9">
        <v>0</v>
      </c>
    </row>
    <row r="14" spans="1:22">
      <c r="A14" s="1" t="s">
        <v>23</v>
      </c>
      <c r="B14" s="6">
        <v>0</v>
      </c>
      <c r="C14" s="1">
        <v>0</v>
      </c>
      <c r="D14" s="1">
        <v>1448807.4967301073</v>
      </c>
      <c r="E14" s="1">
        <v>0</v>
      </c>
      <c r="F14" s="1">
        <v>0</v>
      </c>
      <c r="G14" s="9">
        <f>SUM(DC_FINANCIAL)</f>
        <v>1448807.4967301073</v>
      </c>
      <c r="I14" s="13" t="s">
        <v>24</v>
      </c>
      <c r="J14" s="16">
        <v>19741911.865734477</v>
      </c>
      <c r="L14" s="6">
        <v>0</v>
      </c>
      <c r="M14" s="1">
        <v>0</v>
      </c>
      <c r="O14" s="1">
        <v>0</v>
      </c>
      <c r="P14" s="1">
        <v>0</v>
      </c>
      <c r="R14" s="1">
        <v>1256500</v>
      </c>
      <c r="S14" s="1">
        <v>0</v>
      </c>
      <c r="U14" s="1">
        <v>0</v>
      </c>
      <c r="V14" s="9">
        <v>0</v>
      </c>
    </row>
    <row r="15" spans="1:22">
      <c r="A15" s="1" t="s">
        <v>25</v>
      </c>
      <c r="B15" s="6">
        <v>0</v>
      </c>
      <c r="C15" s="1">
        <v>0</v>
      </c>
      <c r="D15" s="1">
        <v>353762985.63530064</v>
      </c>
      <c r="E15" s="1">
        <v>0</v>
      </c>
      <c r="F15" s="1">
        <v>0</v>
      </c>
      <c r="G15" s="9">
        <f>SUM(FL_FINANCIAL)</f>
        <v>353762985.63530064</v>
      </c>
      <c r="I15" s="13" t="s">
        <v>26</v>
      </c>
      <c r="J15" s="16">
        <v>38010149.156801701</v>
      </c>
      <c r="L15" s="6">
        <v>0</v>
      </c>
      <c r="M15" s="1">
        <v>0</v>
      </c>
      <c r="O15" s="1">
        <v>0</v>
      </c>
      <c r="P15" s="1">
        <v>0</v>
      </c>
      <c r="R15" s="1">
        <v>318880371</v>
      </c>
      <c r="S15" s="1">
        <v>0</v>
      </c>
      <c r="U15" s="1">
        <v>0</v>
      </c>
      <c r="V15" s="9">
        <v>0</v>
      </c>
    </row>
    <row r="16" spans="1:22">
      <c r="A16" s="1" t="s">
        <v>27</v>
      </c>
      <c r="B16" s="6">
        <v>0</v>
      </c>
      <c r="C16" s="1">
        <v>0</v>
      </c>
      <c r="D16" s="1">
        <v>66907631.854184695</v>
      </c>
      <c r="E16" s="1">
        <v>0</v>
      </c>
      <c r="F16" s="1">
        <v>0</v>
      </c>
      <c r="G16" s="9">
        <f>SUM(GA_FINANCIAL)</f>
        <v>66907631.854184695</v>
      </c>
      <c r="I16" s="13" t="s">
        <v>28</v>
      </c>
      <c r="J16" s="16">
        <v>2402886805.4517045</v>
      </c>
      <c r="L16" s="6">
        <v>0</v>
      </c>
      <c r="M16" s="1">
        <v>0</v>
      </c>
      <c r="O16" s="1">
        <v>0</v>
      </c>
      <c r="P16" s="1">
        <v>0</v>
      </c>
      <c r="R16" s="1">
        <v>69000000</v>
      </c>
      <c r="S16" s="1">
        <v>0</v>
      </c>
      <c r="U16" s="1">
        <v>0</v>
      </c>
      <c r="V16" s="9">
        <v>0</v>
      </c>
    </row>
    <row r="17" spans="1:22">
      <c r="A17" s="1" t="s">
        <v>29</v>
      </c>
      <c r="B17" s="6">
        <v>0</v>
      </c>
      <c r="C17" s="1">
        <v>0</v>
      </c>
      <c r="D17" s="1">
        <v>9569333.5616373904</v>
      </c>
      <c r="E17" s="1">
        <v>0</v>
      </c>
      <c r="F17" s="1">
        <v>0</v>
      </c>
      <c r="G17" s="9">
        <f>SUM(HI_FINANCIAL)</f>
        <v>9569333.5616373904</v>
      </c>
      <c r="I17" s="13"/>
      <c r="J17" s="16"/>
      <c r="L17" s="6">
        <v>0</v>
      </c>
      <c r="M17" s="1">
        <v>0</v>
      </c>
      <c r="O17" s="1">
        <v>0</v>
      </c>
      <c r="P17" s="1">
        <v>0</v>
      </c>
      <c r="R17" s="1">
        <v>7499854</v>
      </c>
      <c r="S17" s="1">
        <v>0</v>
      </c>
      <c r="U17" s="1">
        <v>0</v>
      </c>
      <c r="V17" s="9">
        <v>0</v>
      </c>
    </row>
    <row r="18" spans="1:22">
      <c r="A18" s="1" t="s">
        <v>30</v>
      </c>
      <c r="B18" s="6">
        <v>0</v>
      </c>
      <c r="C18" s="1">
        <v>0</v>
      </c>
      <c r="D18" s="1">
        <v>8089108.4268067554</v>
      </c>
      <c r="E18" s="1">
        <v>0</v>
      </c>
      <c r="F18" s="1">
        <v>0</v>
      </c>
      <c r="G18" s="9">
        <f>SUM(ID_FINANCIAL)</f>
        <v>8089108.4268067554</v>
      </c>
      <c r="I18" s="13" t="s">
        <v>31</v>
      </c>
      <c r="J18" s="16"/>
      <c r="L18" s="6">
        <v>0</v>
      </c>
      <c r="M18" s="1">
        <v>0</v>
      </c>
      <c r="O18" s="1">
        <v>0</v>
      </c>
      <c r="P18" s="1">
        <v>0</v>
      </c>
      <c r="R18" s="1">
        <v>4000000</v>
      </c>
      <c r="S18" s="1">
        <v>0</v>
      </c>
      <c r="U18" s="1">
        <v>0</v>
      </c>
      <c r="V18" s="9">
        <v>0</v>
      </c>
    </row>
    <row r="19" spans="1:22">
      <c r="A19" s="1" t="s">
        <v>32</v>
      </c>
      <c r="B19" s="6">
        <v>0</v>
      </c>
      <c r="C19" s="1">
        <v>0</v>
      </c>
      <c r="D19" s="1">
        <v>86333711.936856255</v>
      </c>
      <c r="E19" s="1">
        <v>0</v>
      </c>
      <c r="F19" s="1">
        <v>0</v>
      </c>
      <c r="G19" s="9">
        <f>SUM(IL_FINANCIAL)</f>
        <v>86333711.936856255</v>
      </c>
      <c r="I19" s="13" t="s">
        <v>33</v>
      </c>
      <c r="J19" s="16">
        <v>168871050.06477627</v>
      </c>
      <c r="L19" s="6">
        <v>0</v>
      </c>
      <c r="M19" s="1">
        <v>0</v>
      </c>
      <c r="O19" s="1">
        <v>0</v>
      </c>
      <c r="P19" s="1">
        <v>0</v>
      </c>
      <c r="R19" s="1">
        <v>25000000</v>
      </c>
      <c r="S19" s="1">
        <v>0</v>
      </c>
      <c r="U19" s="1">
        <v>0</v>
      </c>
      <c r="V19" s="9">
        <v>0</v>
      </c>
    </row>
    <row r="20" spans="1:22">
      <c r="A20" s="1" t="s">
        <v>34</v>
      </c>
      <c r="B20" s="6">
        <v>0</v>
      </c>
      <c r="C20" s="1">
        <v>0</v>
      </c>
      <c r="D20" s="1">
        <v>28299129.072340127</v>
      </c>
      <c r="E20" s="1">
        <v>0</v>
      </c>
      <c r="F20" s="1">
        <v>0</v>
      </c>
      <c r="G20" s="9">
        <f>SUM(IN_FINANCIAL)</f>
        <v>28299129.072340127</v>
      </c>
      <c r="I20" s="13" t="s">
        <v>35</v>
      </c>
      <c r="J20" s="16">
        <v>2402886805.4517045</v>
      </c>
      <c r="L20" s="6">
        <v>0</v>
      </c>
      <c r="M20" s="1">
        <v>0</v>
      </c>
      <c r="O20" s="1">
        <v>0</v>
      </c>
      <c r="P20" s="1">
        <v>0</v>
      </c>
      <c r="R20" s="1">
        <v>18637000</v>
      </c>
      <c r="S20" s="1">
        <v>0</v>
      </c>
      <c r="U20" s="1">
        <v>0</v>
      </c>
      <c r="V20" s="9">
        <v>0</v>
      </c>
    </row>
    <row r="21" spans="1:22">
      <c r="A21" s="1" t="s">
        <v>36</v>
      </c>
      <c r="B21" s="6">
        <v>0</v>
      </c>
      <c r="C21" s="1">
        <v>0</v>
      </c>
      <c r="D21" s="1">
        <v>89045534.064724773</v>
      </c>
      <c r="E21" s="1">
        <v>0</v>
      </c>
      <c r="F21" s="1">
        <v>0</v>
      </c>
      <c r="G21" s="9">
        <f>SUM(IA_FINANCIAL)</f>
        <v>89045534.064724773</v>
      </c>
      <c r="I21" s="13" t="s">
        <v>37</v>
      </c>
      <c r="J21" s="16"/>
      <c r="L21" s="6">
        <v>0</v>
      </c>
      <c r="M21" s="1">
        <v>0</v>
      </c>
      <c r="O21" s="1">
        <v>0</v>
      </c>
      <c r="P21" s="1">
        <v>0</v>
      </c>
      <c r="R21" s="1">
        <v>45500000</v>
      </c>
      <c r="S21" s="1">
        <v>0</v>
      </c>
      <c r="U21" s="1">
        <v>0</v>
      </c>
      <c r="V21" s="9">
        <v>0</v>
      </c>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28958485.224601597</v>
      </c>
      <c r="E23" s="1">
        <v>0</v>
      </c>
      <c r="F23" s="1">
        <v>0</v>
      </c>
      <c r="G23" s="9">
        <f>SUM(KY_FINANCIAL)</f>
        <v>28958485.224601597</v>
      </c>
      <c r="I23" s="13" t="s">
        <v>41</v>
      </c>
      <c r="J23" s="16"/>
      <c r="L23" s="6">
        <v>0</v>
      </c>
      <c r="M23" s="1">
        <v>0</v>
      </c>
      <c r="O23" s="1">
        <v>0</v>
      </c>
      <c r="P23" s="1">
        <v>0</v>
      </c>
      <c r="R23" s="1">
        <v>25806772</v>
      </c>
      <c r="S23" s="1">
        <v>0</v>
      </c>
      <c r="U23" s="1">
        <v>0</v>
      </c>
      <c r="V23" s="9">
        <v>0</v>
      </c>
    </row>
    <row r="24" spans="1:22">
      <c r="A24" s="1" t="s">
        <v>42</v>
      </c>
      <c r="B24" s="6">
        <v>0</v>
      </c>
      <c r="C24" s="1">
        <v>0</v>
      </c>
      <c r="D24" s="1">
        <v>10491514.305200849</v>
      </c>
      <c r="E24" s="1">
        <v>0</v>
      </c>
      <c r="F24" s="1">
        <v>0</v>
      </c>
      <c r="G24" s="9">
        <f>SUM(LA_FINANCIAL)</f>
        <v>10491514.305200849</v>
      </c>
      <c r="I24" s="13" t="s">
        <v>43</v>
      </c>
      <c r="J24" s="16">
        <v>0</v>
      </c>
      <c r="L24" s="6">
        <v>0</v>
      </c>
      <c r="M24" s="1">
        <v>0</v>
      </c>
      <c r="O24" s="1">
        <v>0</v>
      </c>
      <c r="P24" s="1">
        <v>0</v>
      </c>
      <c r="R24" s="1">
        <v>3640000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30192951.028653421</v>
      </c>
      <c r="E26" s="1">
        <v>0</v>
      </c>
      <c r="F26" s="1">
        <v>0</v>
      </c>
      <c r="G26" s="9">
        <f>SUM(MD_FINANCIAL)</f>
        <v>30192951.028653421</v>
      </c>
      <c r="I26" s="13" t="s">
        <v>46</v>
      </c>
      <c r="J26" s="16">
        <f>SUM(ADD_FINANCIAL)-SUM(LESS_FINANCIAL)</f>
        <v>2460638866.4742398</v>
      </c>
      <c r="L26" s="6">
        <v>0</v>
      </c>
      <c r="M26" s="1">
        <v>0</v>
      </c>
      <c r="O26" s="1">
        <v>0</v>
      </c>
      <c r="P26" s="1">
        <v>0</v>
      </c>
      <c r="R26" s="1">
        <v>30000000</v>
      </c>
      <c r="S26" s="1">
        <v>0</v>
      </c>
      <c r="U26" s="1">
        <v>0</v>
      </c>
      <c r="V26" s="9">
        <v>0</v>
      </c>
    </row>
    <row r="27" spans="1:22">
      <c r="A27" s="1" t="s">
        <v>47</v>
      </c>
      <c r="B27" s="6">
        <v>0</v>
      </c>
      <c r="C27" s="1">
        <v>0</v>
      </c>
      <c r="D27" s="1">
        <v>0</v>
      </c>
      <c r="E27" s="1">
        <v>0</v>
      </c>
      <c r="F27" s="1">
        <v>0</v>
      </c>
      <c r="G27" s="9">
        <f>SUM(MA_FINANCIAL)</f>
        <v>0</v>
      </c>
      <c r="I27" s="13" t="s">
        <v>48</v>
      </c>
      <c r="J27" s="16">
        <f>SUM(ALL_BLOCKS)</f>
        <v>2460638866.4742403</v>
      </c>
      <c r="L27" s="6"/>
      <c r="V27" s="9"/>
    </row>
    <row r="28" spans="1:22">
      <c r="A28" s="1" t="s">
        <v>49</v>
      </c>
      <c r="B28" s="6">
        <v>0</v>
      </c>
      <c r="C28" s="1">
        <v>0</v>
      </c>
      <c r="D28" s="1">
        <v>33270897.521745127</v>
      </c>
      <c r="E28" s="1">
        <v>0</v>
      </c>
      <c r="F28" s="1">
        <v>0</v>
      </c>
      <c r="G28" s="9">
        <f>SUM(MI_FINANCIAL)</f>
        <v>33270897.521745127</v>
      </c>
      <c r="I28" s="14"/>
      <c r="J28" s="17"/>
      <c r="L28" s="6">
        <v>0</v>
      </c>
      <c r="M28" s="1">
        <v>0</v>
      </c>
      <c r="O28" s="1">
        <v>0</v>
      </c>
      <c r="P28" s="1">
        <v>0</v>
      </c>
      <c r="R28" s="1">
        <v>26160311</v>
      </c>
      <c r="S28" s="1">
        <v>0</v>
      </c>
      <c r="U28" s="1">
        <v>0</v>
      </c>
      <c r="V28" s="9">
        <v>0</v>
      </c>
    </row>
    <row r="29" spans="1:22">
      <c r="A29" s="1" t="s">
        <v>50</v>
      </c>
      <c r="B29" s="6">
        <v>0</v>
      </c>
      <c r="C29" s="1">
        <v>0</v>
      </c>
      <c r="D29" s="1">
        <v>4172942.1943425238</v>
      </c>
      <c r="E29" s="1">
        <v>0</v>
      </c>
      <c r="F29" s="1">
        <v>0</v>
      </c>
      <c r="G29" s="9">
        <f>SUM(MN_FINANCIAL)</f>
        <v>4172942.1943425238</v>
      </c>
      <c r="L29" s="6">
        <v>0</v>
      </c>
      <c r="M29" s="1">
        <v>0</v>
      </c>
      <c r="O29" s="1">
        <v>0</v>
      </c>
      <c r="P29" s="1">
        <v>0</v>
      </c>
      <c r="R29" s="1">
        <v>4400000</v>
      </c>
      <c r="S29" s="1">
        <v>0</v>
      </c>
      <c r="U29" s="1">
        <v>0</v>
      </c>
      <c r="V29" s="9">
        <v>0</v>
      </c>
    </row>
    <row r="30" spans="1:22">
      <c r="A30" s="1" t="s">
        <v>51</v>
      </c>
      <c r="B30" s="6">
        <v>0</v>
      </c>
      <c r="C30" s="1">
        <v>0</v>
      </c>
      <c r="D30" s="1">
        <v>14010429.616589416</v>
      </c>
      <c r="E30" s="1">
        <v>0</v>
      </c>
      <c r="F30" s="1">
        <v>0</v>
      </c>
      <c r="G30" s="9">
        <f>SUM(MS_FINANCIAL)</f>
        <v>14010429.616589416</v>
      </c>
      <c r="L30" s="6">
        <v>0</v>
      </c>
      <c r="M30" s="1">
        <v>0</v>
      </c>
      <c r="O30" s="1">
        <v>0</v>
      </c>
      <c r="P30" s="1">
        <v>0</v>
      </c>
      <c r="R30" s="1">
        <v>10500000</v>
      </c>
      <c r="S30" s="1">
        <v>0</v>
      </c>
      <c r="U30" s="1">
        <v>0</v>
      </c>
      <c r="V30" s="9">
        <v>0</v>
      </c>
    </row>
    <row r="31" spans="1:22">
      <c r="A31" s="1" t="s">
        <v>52</v>
      </c>
      <c r="B31" s="6">
        <v>0</v>
      </c>
      <c r="C31" s="1">
        <v>0</v>
      </c>
      <c r="D31" s="1">
        <v>12247882.107283298</v>
      </c>
      <c r="E31" s="1">
        <v>0</v>
      </c>
      <c r="F31" s="1">
        <v>0</v>
      </c>
      <c r="G31" s="9">
        <f>SUM(MO_FINANCIAL)</f>
        <v>12247882.107283298</v>
      </c>
      <c r="L31" s="6">
        <v>0</v>
      </c>
      <c r="M31" s="1">
        <v>0</v>
      </c>
      <c r="O31" s="1">
        <v>0</v>
      </c>
      <c r="P31" s="1">
        <v>0</v>
      </c>
      <c r="R31" s="1">
        <v>10574767</v>
      </c>
      <c r="S31" s="1">
        <v>0</v>
      </c>
      <c r="U31" s="1">
        <v>0</v>
      </c>
      <c r="V31" s="9">
        <v>0</v>
      </c>
    </row>
    <row r="32" spans="1:22">
      <c r="A32" s="1" t="s">
        <v>53</v>
      </c>
      <c r="B32" s="6">
        <v>0</v>
      </c>
      <c r="C32" s="1">
        <v>0</v>
      </c>
      <c r="D32" s="1">
        <v>4661339.2356908144</v>
      </c>
      <c r="E32" s="1">
        <v>0</v>
      </c>
      <c r="F32" s="1">
        <v>0</v>
      </c>
      <c r="G32" s="9">
        <f>SUM(MT_FINANCIAL)</f>
        <v>4661339.2356908144</v>
      </c>
      <c r="L32" s="6">
        <v>0</v>
      </c>
      <c r="M32" s="1">
        <v>0</v>
      </c>
      <c r="O32" s="1">
        <v>0</v>
      </c>
      <c r="P32" s="1">
        <v>0</v>
      </c>
      <c r="R32" s="1">
        <v>3432860</v>
      </c>
      <c r="S32" s="1">
        <v>0</v>
      </c>
      <c r="U32" s="1">
        <v>0</v>
      </c>
      <c r="V32" s="9">
        <v>0</v>
      </c>
    </row>
    <row r="33" spans="1:22">
      <c r="A33" s="1" t="s">
        <v>54</v>
      </c>
      <c r="B33" s="6">
        <v>0</v>
      </c>
      <c r="C33" s="1">
        <v>0</v>
      </c>
      <c r="D33" s="1">
        <v>25860004.74860711</v>
      </c>
      <c r="E33" s="1">
        <v>0</v>
      </c>
      <c r="F33" s="1">
        <v>0</v>
      </c>
      <c r="G33" s="9">
        <f>SUM(NE_FINANCIAL)</f>
        <v>25860004.74860711</v>
      </c>
      <c r="L33" s="6">
        <v>0</v>
      </c>
      <c r="M33" s="1">
        <v>0</v>
      </c>
      <c r="O33" s="1">
        <v>0</v>
      </c>
      <c r="P33" s="1">
        <v>0</v>
      </c>
      <c r="R33" s="1">
        <v>11340626</v>
      </c>
      <c r="S33" s="1">
        <v>0</v>
      </c>
      <c r="U33" s="1">
        <v>0</v>
      </c>
      <c r="V33" s="9">
        <v>0</v>
      </c>
    </row>
    <row r="34" spans="1:22">
      <c r="A34" s="1" t="s">
        <v>55</v>
      </c>
      <c r="B34" s="6">
        <v>0</v>
      </c>
      <c r="C34" s="1">
        <v>0</v>
      </c>
      <c r="D34" s="1">
        <v>13750725.391246988</v>
      </c>
      <c r="E34" s="1">
        <v>0</v>
      </c>
      <c r="F34" s="1">
        <v>0</v>
      </c>
      <c r="G34" s="9">
        <f>SUM(NV_FINANCIAL)</f>
        <v>13750725.391246988</v>
      </c>
      <c r="L34" s="6">
        <v>0</v>
      </c>
      <c r="M34" s="1">
        <v>0</v>
      </c>
      <c r="O34" s="1">
        <v>0</v>
      </c>
      <c r="P34" s="1">
        <v>0</v>
      </c>
      <c r="R34" s="1">
        <v>16000000</v>
      </c>
      <c r="S34" s="1">
        <v>0</v>
      </c>
      <c r="U34" s="1">
        <v>0</v>
      </c>
      <c r="V34" s="9">
        <v>0</v>
      </c>
    </row>
    <row r="35" spans="1:22">
      <c r="A35" s="1" t="s">
        <v>56</v>
      </c>
      <c r="B35" s="6">
        <v>0</v>
      </c>
      <c r="C35" s="1">
        <v>0</v>
      </c>
      <c r="D35" s="1">
        <v>7174232.3271075301</v>
      </c>
      <c r="E35" s="1">
        <v>0</v>
      </c>
      <c r="F35" s="1">
        <v>0</v>
      </c>
      <c r="G35" s="9">
        <f>SUM(NH_FINANCIAL)</f>
        <v>7174232.3271075301</v>
      </c>
      <c r="L35" s="6">
        <v>0</v>
      </c>
      <c r="M35" s="1">
        <v>0</v>
      </c>
      <c r="O35" s="1">
        <v>0</v>
      </c>
      <c r="P35" s="1">
        <v>0</v>
      </c>
      <c r="R35" s="1">
        <v>6209000</v>
      </c>
      <c r="S35" s="1">
        <v>0</v>
      </c>
      <c r="U35" s="1">
        <v>0</v>
      </c>
      <c r="V35" s="9">
        <v>0</v>
      </c>
    </row>
    <row r="36" spans="1:22">
      <c r="A36" s="1" t="s">
        <v>57</v>
      </c>
      <c r="B36" s="6">
        <v>0</v>
      </c>
      <c r="C36" s="1">
        <v>0</v>
      </c>
      <c r="D36" s="1">
        <v>0</v>
      </c>
      <c r="E36" s="1">
        <v>0</v>
      </c>
      <c r="F36" s="1">
        <v>0</v>
      </c>
      <c r="G36" s="9">
        <f>SUM(NJ_FINANCIAL)</f>
        <v>0</v>
      </c>
      <c r="L36" s="6"/>
      <c r="V36" s="9"/>
    </row>
    <row r="37" spans="1:22">
      <c r="A37" s="1" t="s">
        <v>58</v>
      </c>
      <c r="B37" s="6">
        <v>0</v>
      </c>
      <c r="C37" s="1">
        <v>0</v>
      </c>
      <c r="D37" s="1">
        <v>8314588.5029574605</v>
      </c>
      <c r="E37" s="1">
        <v>0</v>
      </c>
      <c r="F37" s="1">
        <v>0</v>
      </c>
      <c r="G37" s="9">
        <f>SUM(NM_FINANCIAL)</f>
        <v>8314588.5029574605</v>
      </c>
      <c r="L37" s="6">
        <v>0</v>
      </c>
      <c r="M37" s="1">
        <v>0</v>
      </c>
      <c r="O37" s="1">
        <v>0</v>
      </c>
      <c r="P37" s="1">
        <v>0</v>
      </c>
      <c r="R37" s="1">
        <v>7750002</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104241219.28919642</v>
      </c>
      <c r="E39" s="1">
        <v>0</v>
      </c>
      <c r="F39" s="1">
        <v>0</v>
      </c>
      <c r="G39" s="9">
        <f>SUM(NC_FINANCIAL)</f>
        <v>104241219.28919642</v>
      </c>
      <c r="L39" s="6">
        <v>0</v>
      </c>
      <c r="M39" s="1">
        <v>0</v>
      </c>
      <c r="O39" s="1">
        <v>0</v>
      </c>
      <c r="P39" s="1">
        <v>0</v>
      </c>
      <c r="R39" s="1">
        <v>94000000</v>
      </c>
      <c r="S39" s="1">
        <v>0</v>
      </c>
      <c r="U39" s="1">
        <v>0</v>
      </c>
      <c r="V39" s="9">
        <v>0</v>
      </c>
    </row>
    <row r="40" spans="1:22">
      <c r="A40" s="1" t="s">
        <v>61</v>
      </c>
      <c r="B40" s="6">
        <v>0</v>
      </c>
      <c r="C40" s="1">
        <v>0</v>
      </c>
      <c r="D40" s="1">
        <v>2545546.8123295498</v>
      </c>
      <c r="E40" s="1">
        <v>0</v>
      </c>
      <c r="F40" s="1">
        <v>0</v>
      </c>
      <c r="G40" s="9">
        <f>SUM(ND_FINANCIAL)</f>
        <v>2545546.8123295498</v>
      </c>
      <c r="L40" s="6">
        <v>0</v>
      </c>
      <c r="M40" s="1">
        <v>0</v>
      </c>
      <c r="O40" s="1">
        <v>0</v>
      </c>
      <c r="P40" s="1">
        <v>0</v>
      </c>
      <c r="R40" s="1">
        <v>2875000</v>
      </c>
      <c r="S40" s="1">
        <v>0</v>
      </c>
      <c r="U40" s="1">
        <v>0</v>
      </c>
      <c r="V40" s="9">
        <v>0</v>
      </c>
    </row>
    <row r="41" spans="1:22">
      <c r="A41" s="1" t="s">
        <v>62</v>
      </c>
      <c r="B41" s="6">
        <v>0</v>
      </c>
      <c r="C41" s="1">
        <v>0</v>
      </c>
      <c r="D41" s="1">
        <v>60717172.185079068</v>
      </c>
      <c r="E41" s="1">
        <v>0</v>
      </c>
      <c r="F41" s="1">
        <v>0</v>
      </c>
      <c r="G41" s="9">
        <f>SUM(OH_FINANCIAL)</f>
        <v>60717172.185079068</v>
      </c>
      <c r="L41" s="6">
        <v>0</v>
      </c>
      <c r="M41" s="1">
        <v>0</v>
      </c>
      <c r="O41" s="1">
        <v>0</v>
      </c>
      <c r="P41" s="1">
        <v>0</v>
      </c>
      <c r="R41" s="1">
        <v>44817912</v>
      </c>
      <c r="S41" s="1">
        <v>0</v>
      </c>
      <c r="U41" s="1">
        <v>0</v>
      </c>
      <c r="V41" s="9">
        <v>0</v>
      </c>
    </row>
    <row r="42" spans="1:22">
      <c r="A42" s="1" t="s">
        <v>63</v>
      </c>
      <c r="B42" s="6">
        <v>0</v>
      </c>
      <c r="C42" s="1">
        <v>0</v>
      </c>
      <c r="D42" s="1">
        <v>13538786.277134553</v>
      </c>
      <c r="E42" s="1">
        <v>0</v>
      </c>
      <c r="F42" s="1">
        <v>0</v>
      </c>
      <c r="G42" s="9">
        <f>SUM(OK_FINANCIAL)</f>
        <v>13538786.277134553</v>
      </c>
      <c r="L42" s="6">
        <v>0</v>
      </c>
      <c r="M42" s="1">
        <v>0</v>
      </c>
      <c r="O42" s="1">
        <v>0</v>
      </c>
      <c r="P42" s="1">
        <v>0</v>
      </c>
      <c r="R42" s="1">
        <v>13300000</v>
      </c>
      <c r="S42" s="1">
        <v>0</v>
      </c>
      <c r="U42" s="1">
        <v>0</v>
      </c>
      <c r="V42" s="9">
        <v>0</v>
      </c>
    </row>
    <row r="43" spans="1:22">
      <c r="A43" s="1" t="s">
        <v>64</v>
      </c>
      <c r="B43" s="6">
        <v>0</v>
      </c>
      <c r="C43" s="1">
        <v>0</v>
      </c>
      <c r="D43" s="1">
        <v>11661050.868629921</v>
      </c>
      <c r="E43" s="1">
        <v>0</v>
      </c>
      <c r="F43" s="1">
        <v>0</v>
      </c>
      <c r="G43" s="9">
        <f>SUM(OR_FINANCIAL)</f>
        <v>11661050.868629921</v>
      </c>
      <c r="L43" s="6">
        <v>0</v>
      </c>
      <c r="M43" s="1">
        <v>0</v>
      </c>
      <c r="O43" s="1">
        <v>0</v>
      </c>
      <c r="P43" s="1">
        <v>0</v>
      </c>
      <c r="R43" s="1">
        <v>8755000</v>
      </c>
      <c r="S43" s="1">
        <v>0</v>
      </c>
      <c r="U43" s="1">
        <v>0</v>
      </c>
      <c r="V43" s="9">
        <v>0</v>
      </c>
    </row>
    <row r="44" spans="1:22">
      <c r="A44" s="1" t="s">
        <v>65</v>
      </c>
      <c r="B44" s="6">
        <v>0</v>
      </c>
      <c r="C44" s="1">
        <v>0</v>
      </c>
      <c r="D44" s="1">
        <v>265660330.47544643</v>
      </c>
      <c r="E44" s="1">
        <v>0</v>
      </c>
      <c r="F44" s="1">
        <v>0</v>
      </c>
      <c r="G44" s="9">
        <f>SUM(PA_FINANCIAL)</f>
        <v>265660330.47544643</v>
      </c>
      <c r="L44" s="6">
        <v>0</v>
      </c>
      <c r="M44" s="1">
        <v>0</v>
      </c>
      <c r="O44" s="1">
        <v>0</v>
      </c>
      <c r="P44" s="1">
        <v>0</v>
      </c>
      <c r="R44" s="1">
        <v>290264386</v>
      </c>
      <c r="S44" s="1">
        <v>21428276</v>
      </c>
      <c r="U44" s="1">
        <v>0</v>
      </c>
      <c r="V44" s="9">
        <v>0</v>
      </c>
    </row>
    <row r="45" spans="1:22">
      <c r="A45" s="1" t="s">
        <v>66</v>
      </c>
      <c r="B45" s="6">
        <v>0</v>
      </c>
      <c r="C45" s="1">
        <v>0</v>
      </c>
      <c r="D45" s="1">
        <v>0</v>
      </c>
      <c r="E45" s="1">
        <v>0</v>
      </c>
      <c r="F45" s="1">
        <v>0</v>
      </c>
      <c r="G45" s="9">
        <f>SUM(PR_FINANCIAL)</f>
        <v>0</v>
      </c>
      <c r="L45" s="6"/>
      <c r="V45" s="9"/>
    </row>
    <row r="46" spans="1:22">
      <c r="A46" s="1" t="s">
        <v>67</v>
      </c>
      <c r="B46" s="6">
        <v>0</v>
      </c>
      <c r="C46" s="1">
        <v>0</v>
      </c>
      <c r="D46" s="1">
        <v>1491639.5277427253</v>
      </c>
      <c r="E46" s="1">
        <v>0</v>
      </c>
      <c r="F46" s="1">
        <v>0</v>
      </c>
      <c r="G46" s="9">
        <f>SUM(RI_FINANCIAL)</f>
        <v>1491639.5277427253</v>
      </c>
      <c r="L46" s="6">
        <v>0</v>
      </c>
      <c r="M46" s="1">
        <v>0</v>
      </c>
      <c r="O46" s="1">
        <v>0</v>
      </c>
      <c r="P46" s="1">
        <v>0</v>
      </c>
      <c r="R46" s="1">
        <v>1689989</v>
      </c>
      <c r="S46" s="1">
        <v>0</v>
      </c>
      <c r="U46" s="1">
        <v>0</v>
      </c>
      <c r="V46" s="9">
        <v>0</v>
      </c>
    </row>
    <row r="47" spans="1:22">
      <c r="A47" s="1" t="s">
        <v>68</v>
      </c>
      <c r="B47" s="6">
        <v>0</v>
      </c>
      <c r="C47" s="1">
        <v>0</v>
      </c>
      <c r="D47" s="1">
        <v>17496936.058723126</v>
      </c>
      <c r="E47" s="1">
        <v>0</v>
      </c>
      <c r="F47" s="1">
        <v>0</v>
      </c>
      <c r="G47" s="9">
        <f>SUM(SC_FINANCIAL)</f>
        <v>17496936.058723126</v>
      </c>
      <c r="L47" s="6">
        <v>0</v>
      </c>
      <c r="M47" s="1">
        <v>0</v>
      </c>
      <c r="O47" s="1">
        <v>0</v>
      </c>
      <c r="P47" s="1">
        <v>0</v>
      </c>
      <c r="R47" s="1">
        <v>27943502</v>
      </c>
      <c r="S47" s="1">
        <v>0</v>
      </c>
      <c r="U47" s="1">
        <v>0</v>
      </c>
      <c r="V47" s="9">
        <v>0</v>
      </c>
    </row>
    <row r="48" spans="1:22">
      <c r="A48" s="1" t="s">
        <v>69</v>
      </c>
      <c r="B48" s="6">
        <v>0</v>
      </c>
      <c r="C48" s="1">
        <v>0</v>
      </c>
      <c r="D48" s="1">
        <v>43023354.896464422</v>
      </c>
      <c r="E48" s="1">
        <v>0</v>
      </c>
      <c r="F48" s="1">
        <v>0</v>
      </c>
      <c r="G48" s="9">
        <f>SUM(SD_FINANCIAL)</f>
        <v>43023354.896464422</v>
      </c>
      <c r="L48" s="6">
        <v>0</v>
      </c>
      <c r="M48" s="1">
        <v>0</v>
      </c>
      <c r="O48" s="1">
        <v>0</v>
      </c>
      <c r="P48" s="1">
        <v>0</v>
      </c>
      <c r="R48" s="1">
        <v>39867536</v>
      </c>
      <c r="S48" s="1">
        <v>159436</v>
      </c>
      <c r="U48" s="1">
        <v>0</v>
      </c>
      <c r="V48" s="9">
        <v>0</v>
      </c>
    </row>
    <row r="49" spans="1:22">
      <c r="A49" s="1" t="s">
        <v>70</v>
      </c>
      <c r="B49" s="6">
        <v>0</v>
      </c>
      <c r="C49" s="1">
        <v>0</v>
      </c>
      <c r="D49" s="1">
        <v>47810846.848781653</v>
      </c>
      <c r="E49" s="1">
        <v>0</v>
      </c>
      <c r="F49" s="1">
        <v>0</v>
      </c>
      <c r="G49" s="9">
        <f>SUM(TN_FINANCIAL)</f>
        <v>47810846.848781653</v>
      </c>
      <c r="L49" s="6">
        <v>0</v>
      </c>
      <c r="M49" s="1">
        <v>0</v>
      </c>
      <c r="O49" s="1">
        <v>0</v>
      </c>
      <c r="P49" s="1">
        <v>0</v>
      </c>
      <c r="R49" s="1">
        <v>45098919</v>
      </c>
      <c r="S49" s="1">
        <v>312948</v>
      </c>
      <c r="U49" s="1">
        <v>0</v>
      </c>
      <c r="V49" s="9">
        <v>0</v>
      </c>
    </row>
    <row r="50" spans="1:22">
      <c r="A50" s="1" t="s">
        <v>71</v>
      </c>
      <c r="B50" s="6">
        <v>0</v>
      </c>
      <c r="C50" s="1">
        <v>0</v>
      </c>
      <c r="D50" s="1">
        <v>129261671.84316628</v>
      </c>
      <c r="E50" s="1">
        <v>0</v>
      </c>
      <c r="F50" s="1">
        <v>0</v>
      </c>
      <c r="G50" s="9">
        <f>SUM(TX_FINANCIAL)</f>
        <v>129261671.84316628</v>
      </c>
      <c r="L50" s="6">
        <v>0</v>
      </c>
      <c r="M50" s="1">
        <v>0</v>
      </c>
      <c r="O50" s="1">
        <v>0</v>
      </c>
      <c r="P50" s="1">
        <v>0</v>
      </c>
      <c r="R50" s="1">
        <v>130000000</v>
      </c>
      <c r="S50" s="1">
        <v>0</v>
      </c>
      <c r="U50" s="1">
        <v>0</v>
      </c>
      <c r="V50" s="9">
        <v>0</v>
      </c>
    </row>
    <row r="51" spans="1:22">
      <c r="A51" s="1" t="s">
        <v>72</v>
      </c>
      <c r="B51" s="6">
        <v>0</v>
      </c>
      <c r="C51" s="1">
        <v>0</v>
      </c>
      <c r="D51" s="1">
        <v>12264576.814151101</v>
      </c>
      <c r="E51" s="1">
        <v>0</v>
      </c>
      <c r="F51" s="1">
        <v>0</v>
      </c>
      <c r="G51" s="9">
        <f>SUM(UT_FINANCIAL)</f>
        <v>12264576.814151101</v>
      </c>
      <c r="L51" s="6">
        <v>0</v>
      </c>
      <c r="M51" s="1">
        <v>0</v>
      </c>
      <c r="O51" s="1">
        <v>0</v>
      </c>
      <c r="P51" s="1">
        <v>0</v>
      </c>
      <c r="R51" s="1">
        <v>9099016</v>
      </c>
      <c r="S51" s="1">
        <v>0</v>
      </c>
      <c r="U51" s="1">
        <v>0</v>
      </c>
      <c r="V51" s="9">
        <v>0</v>
      </c>
    </row>
    <row r="52" spans="1:22">
      <c r="A52" s="1" t="s">
        <v>73</v>
      </c>
      <c r="B52" s="6">
        <v>0</v>
      </c>
      <c r="C52" s="1">
        <v>0</v>
      </c>
      <c r="D52" s="1">
        <v>11472246.995725546</v>
      </c>
      <c r="E52" s="1">
        <v>0</v>
      </c>
      <c r="F52" s="1">
        <v>0</v>
      </c>
      <c r="G52" s="9">
        <f>SUM(VT_FINANCIAL)</f>
        <v>11472246.995725546</v>
      </c>
      <c r="L52" s="6">
        <v>0</v>
      </c>
      <c r="M52" s="1">
        <v>0</v>
      </c>
      <c r="O52" s="1">
        <v>0</v>
      </c>
      <c r="P52" s="1">
        <v>0</v>
      </c>
      <c r="R52" s="1">
        <v>10000000</v>
      </c>
      <c r="S52" s="1">
        <v>0</v>
      </c>
      <c r="U52" s="1">
        <v>0</v>
      </c>
      <c r="V52" s="9">
        <v>0</v>
      </c>
    </row>
    <row r="53" spans="1:22">
      <c r="A53" s="1" t="s">
        <v>74</v>
      </c>
      <c r="B53" s="6">
        <v>0</v>
      </c>
      <c r="C53" s="1">
        <v>0</v>
      </c>
      <c r="D53" s="1">
        <v>149642746.85565451</v>
      </c>
      <c r="E53" s="1">
        <v>0</v>
      </c>
      <c r="F53" s="1">
        <v>0</v>
      </c>
      <c r="G53" s="9">
        <f>SUM(VA_FINANCIAL)</f>
        <v>149642746.85565451</v>
      </c>
      <c r="L53" s="6">
        <v>0</v>
      </c>
      <c r="M53" s="1">
        <v>0</v>
      </c>
      <c r="O53" s="1">
        <v>0</v>
      </c>
      <c r="P53" s="1">
        <v>0</v>
      </c>
      <c r="R53" s="1">
        <v>197068000</v>
      </c>
      <c r="S53" s="1">
        <v>0</v>
      </c>
      <c r="U53" s="1">
        <v>0</v>
      </c>
      <c r="V53" s="9">
        <v>0</v>
      </c>
    </row>
    <row r="54" spans="1:22">
      <c r="A54" s="1" t="s">
        <v>75</v>
      </c>
      <c r="B54" s="6">
        <v>0</v>
      </c>
      <c r="C54" s="1">
        <v>0</v>
      </c>
      <c r="D54" s="1">
        <v>133091473.86965992</v>
      </c>
      <c r="E54" s="1">
        <v>0</v>
      </c>
      <c r="F54" s="1">
        <v>0</v>
      </c>
      <c r="G54" s="9">
        <f>SUM(WA_FINANCIAL)</f>
        <v>133091473.86965992</v>
      </c>
      <c r="L54" s="6">
        <v>0</v>
      </c>
      <c r="M54" s="1">
        <v>0</v>
      </c>
      <c r="O54" s="1">
        <v>0</v>
      </c>
      <c r="P54" s="1">
        <v>0</v>
      </c>
      <c r="R54" s="1">
        <v>70000000</v>
      </c>
      <c r="S54" s="1">
        <v>0</v>
      </c>
      <c r="U54" s="1">
        <v>0</v>
      </c>
      <c r="V54" s="9">
        <v>0</v>
      </c>
    </row>
    <row r="55" spans="1:22">
      <c r="A55" s="1" t="s">
        <v>76</v>
      </c>
      <c r="B55" s="6">
        <v>0</v>
      </c>
      <c r="C55" s="1">
        <v>0</v>
      </c>
      <c r="D55" s="1">
        <v>0</v>
      </c>
      <c r="E55" s="1">
        <v>0</v>
      </c>
      <c r="F55" s="1">
        <v>0</v>
      </c>
      <c r="G55" s="9">
        <f>SUM(WV_FINANCIAL)</f>
        <v>0</v>
      </c>
      <c r="L55" s="6"/>
      <c r="V55" s="9"/>
    </row>
    <row r="56" spans="1:22">
      <c r="A56" s="1" t="s">
        <v>77</v>
      </c>
      <c r="B56" s="6">
        <v>0</v>
      </c>
      <c r="C56" s="1">
        <v>0</v>
      </c>
      <c r="D56" s="1">
        <v>16963288.541744623</v>
      </c>
      <c r="E56" s="1">
        <v>0</v>
      </c>
      <c r="F56" s="1">
        <v>0</v>
      </c>
      <c r="G56" s="9">
        <f>SUM(WI_FINANCIAL)</f>
        <v>16963288.541744623</v>
      </c>
      <c r="L56" s="6">
        <v>0</v>
      </c>
      <c r="M56" s="1">
        <v>0</v>
      </c>
      <c r="O56" s="1">
        <v>0</v>
      </c>
      <c r="P56" s="1">
        <v>0</v>
      </c>
      <c r="R56" s="1">
        <v>17000000</v>
      </c>
      <c r="S56" s="1">
        <v>0</v>
      </c>
      <c r="U56" s="1">
        <v>0</v>
      </c>
      <c r="V56" s="9">
        <v>0</v>
      </c>
    </row>
    <row r="57" spans="1:22">
      <c r="A57" s="1" t="s">
        <v>78</v>
      </c>
      <c r="B57" s="6">
        <v>0</v>
      </c>
      <c r="C57" s="1">
        <v>0</v>
      </c>
      <c r="D57" s="1">
        <v>2714595.9981157118</v>
      </c>
      <c r="E57" s="1">
        <v>0</v>
      </c>
      <c r="F57" s="1">
        <v>0</v>
      </c>
      <c r="G57" s="9">
        <f>SUM(WY_FINANCIAL)</f>
        <v>2714595.9981157118</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2460638866.4742403</v>
      </c>
      <c r="E60" s="1">
        <f>SUM(UNALLOCATED)</f>
        <v>0</v>
      </c>
      <c r="F60" s="1">
        <f>SUM(LTC)</f>
        <v>0</v>
      </c>
      <c r="G60" s="9">
        <f>SUM(ALL_BLOCKS)</f>
        <v>2460638866.4742403</v>
      </c>
      <c r="L60" s="6">
        <f>SUM(LIFE_CALLED)</f>
        <v>0</v>
      </c>
      <c r="M60" s="1">
        <f>SUM(LIFE_REFUNDED)</f>
        <v>0</v>
      </c>
      <c r="O60" s="1">
        <f>SUM(ALLOC_CALLED)</f>
        <v>0</v>
      </c>
      <c r="P60" s="1">
        <f>SUM(ALLOC_REFUNDED)</f>
        <v>0</v>
      </c>
      <c r="R60" s="1">
        <f>SUM(HEALTH_CALLED)</f>
        <v>2083174296</v>
      </c>
      <c r="S60" s="1">
        <f>SUM(HEALTH_REFUNDED)</f>
        <v>21903841</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160</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95</v>
      </c>
      <c r="E6" s="1">
        <v>0</v>
      </c>
      <c r="F6" s="1">
        <v>0</v>
      </c>
      <c r="G6" s="9">
        <f>SUM(AL_FINANCIAL)</f>
        <v>95</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0</v>
      </c>
      <c r="L10" s="6"/>
      <c r="V10" s="9"/>
    </row>
    <row r="11" spans="1:22">
      <c r="A11" s="1" t="s">
        <v>18</v>
      </c>
      <c r="B11" s="6">
        <v>0</v>
      </c>
      <c r="C11" s="1">
        <v>0</v>
      </c>
      <c r="D11" s="1">
        <v>32</v>
      </c>
      <c r="E11" s="1">
        <v>0</v>
      </c>
      <c r="F11" s="1">
        <v>0</v>
      </c>
      <c r="G11" s="9">
        <f>SUM(CO_FINANCIAL)</f>
        <v>32</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16216</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840</v>
      </c>
      <c r="E22" s="1">
        <v>0</v>
      </c>
      <c r="F22" s="1">
        <v>0</v>
      </c>
      <c r="G22" s="9">
        <f>SUM(KS_FINANCIAL)</f>
        <v>840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16216</v>
      </c>
      <c r="L26" s="6"/>
      <c r="V26" s="9"/>
    </row>
    <row r="27" spans="1:22">
      <c r="A27" s="1" t="s">
        <v>47</v>
      </c>
      <c r="B27" s="6">
        <v>0</v>
      </c>
      <c r="C27" s="1">
        <v>0</v>
      </c>
      <c r="D27" s="1">
        <v>0</v>
      </c>
      <c r="E27" s="1">
        <v>0</v>
      </c>
      <c r="F27" s="1">
        <v>0</v>
      </c>
      <c r="G27" s="9">
        <f>SUM(MA_FINANCIAL)</f>
        <v>0</v>
      </c>
      <c r="I27" s="13" t="s">
        <v>48</v>
      </c>
      <c r="J27" s="16">
        <f>SUM(ALL_BLOCKS)</f>
        <v>16216</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285</v>
      </c>
      <c r="E29" s="1">
        <v>0</v>
      </c>
      <c r="F29" s="1">
        <v>0</v>
      </c>
      <c r="G29" s="9">
        <f>SUM(MN_FINANCIAL)</f>
        <v>285</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517</v>
      </c>
      <c r="E31" s="1">
        <v>0</v>
      </c>
      <c r="F31" s="1">
        <v>0</v>
      </c>
      <c r="G31" s="9">
        <f>SUM(MO_FINANCIAL)</f>
        <v>517</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1328</v>
      </c>
      <c r="E33" s="1">
        <v>0</v>
      </c>
      <c r="F33" s="1">
        <v>0</v>
      </c>
      <c r="G33" s="9">
        <f>SUM(NE_FINANCIAL)</f>
        <v>1328</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2555</v>
      </c>
      <c r="E39" s="1">
        <v>0</v>
      </c>
      <c r="F39" s="1">
        <v>0</v>
      </c>
      <c r="G39" s="9">
        <f>SUM(NC_FINANCIAL)</f>
        <v>2555</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4883</v>
      </c>
      <c r="E42" s="1">
        <v>0</v>
      </c>
      <c r="F42" s="1">
        <v>0</v>
      </c>
      <c r="G42" s="9">
        <f>SUM(OK_FINANCIAL)</f>
        <v>4883</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197</v>
      </c>
      <c r="E47" s="1">
        <v>0</v>
      </c>
      <c r="F47" s="1">
        <v>0</v>
      </c>
      <c r="G47" s="9">
        <f>SUM(SC_FINANCIAL)</f>
        <v>197</v>
      </c>
      <c r="L47" s="6"/>
      <c r="V47" s="9"/>
    </row>
    <row r="48" spans="1:22">
      <c r="A48" s="1" t="s">
        <v>69</v>
      </c>
      <c r="B48" s="6">
        <v>0</v>
      </c>
      <c r="C48" s="1">
        <v>0</v>
      </c>
      <c r="D48" s="1">
        <v>1033</v>
      </c>
      <c r="E48" s="1">
        <v>0</v>
      </c>
      <c r="F48" s="1">
        <v>0</v>
      </c>
      <c r="G48" s="9">
        <f>SUM(SD_FINANCIAL)</f>
        <v>1033</v>
      </c>
      <c r="L48" s="6"/>
      <c r="V48" s="9"/>
    </row>
    <row r="49" spans="1:22">
      <c r="A49" s="1" t="s">
        <v>70</v>
      </c>
      <c r="B49" s="6">
        <v>0</v>
      </c>
      <c r="C49" s="1">
        <v>0</v>
      </c>
      <c r="D49" s="1">
        <v>158</v>
      </c>
      <c r="E49" s="1">
        <v>0</v>
      </c>
      <c r="F49" s="1">
        <v>0</v>
      </c>
      <c r="G49" s="9">
        <f>SUM(TN_FINANCIAL)</f>
        <v>158</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1616</v>
      </c>
      <c r="E53" s="1">
        <v>0</v>
      </c>
      <c r="F53" s="1">
        <v>0</v>
      </c>
      <c r="G53" s="9">
        <f>SUM(VA_FINANCIAL)</f>
        <v>1616</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2677</v>
      </c>
      <c r="E55" s="1">
        <v>0</v>
      </c>
      <c r="F55" s="1">
        <v>0</v>
      </c>
      <c r="G55" s="9">
        <f>SUM(WV_FINANCIAL)</f>
        <v>2677</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16216</v>
      </c>
      <c r="E60" s="1">
        <f>SUM(UNALLOCATED)</f>
        <v>0</v>
      </c>
      <c r="F60" s="1">
        <f>SUM(LTC)</f>
        <v>0</v>
      </c>
      <c r="G60" s="9">
        <f>SUM(ALL_BLOCKS)</f>
        <v>16216</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161</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132453.12999999989</v>
      </c>
      <c r="E6" s="1">
        <v>0</v>
      </c>
      <c r="F6" s="1">
        <v>0</v>
      </c>
      <c r="G6" s="9">
        <f>SUM(AL_FINANCIAL)</f>
        <v>132453.12999999989</v>
      </c>
      <c r="L6" s="6"/>
      <c r="V6" s="9"/>
    </row>
    <row r="7" spans="1:22">
      <c r="A7" s="1" t="s">
        <v>12</v>
      </c>
      <c r="B7" s="6">
        <v>0</v>
      </c>
      <c r="C7" s="1">
        <v>0</v>
      </c>
      <c r="D7" s="1">
        <v>0.51000000000021828</v>
      </c>
      <c r="E7" s="1">
        <v>0</v>
      </c>
      <c r="F7" s="1">
        <v>0</v>
      </c>
      <c r="G7" s="9">
        <f>SUM(AK_FINANCIAL)</f>
        <v>0.51000000000021828</v>
      </c>
      <c r="I7" s="12"/>
      <c r="J7" s="15"/>
      <c r="L7" s="6">
        <v>0</v>
      </c>
      <c r="M7" s="1">
        <v>0</v>
      </c>
      <c r="O7" s="1">
        <v>0</v>
      </c>
      <c r="P7" s="1">
        <v>0</v>
      </c>
      <c r="R7" s="1">
        <v>20000</v>
      </c>
      <c r="S7" s="1">
        <v>0</v>
      </c>
      <c r="U7" s="1">
        <v>0</v>
      </c>
      <c r="V7" s="9">
        <v>0</v>
      </c>
    </row>
    <row r="8" spans="1:22">
      <c r="A8" s="1" t="s">
        <v>13</v>
      </c>
      <c r="B8" s="6">
        <v>0</v>
      </c>
      <c r="C8" s="1">
        <v>0</v>
      </c>
      <c r="D8" s="1">
        <v>185021.15999999997</v>
      </c>
      <c r="E8" s="1">
        <v>0</v>
      </c>
      <c r="F8" s="1">
        <v>0</v>
      </c>
      <c r="G8" s="9">
        <f>SUM(AZ_FINANCIAL)</f>
        <v>185021.15999999997</v>
      </c>
      <c r="I8" s="13" t="s">
        <v>14</v>
      </c>
      <c r="J8" s="16"/>
      <c r="L8" s="6"/>
      <c r="V8" s="9"/>
    </row>
    <row r="9" spans="1:22">
      <c r="A9" s="1" t="s">
        <v>15</v>
      </c>
      <c r="B9" s="6">
        <v>0</v>
      </c>
      <c r="C9" s="1">
        <v>0</v>
      </c>
      <c r="D9" s="1">
        <v>17047.679999999993</v>
      </c>
      <c r="E9" s="1">
        <v>0</v>
      </c>
      <c r="F9" s="1">
        <v>0</v>
      </c>
      <c r="G9" s="9">
        <f>SUM(AR_FINANCIAL)</f>
        <v>17047.679999999993</v>
      </c>
      <c r="I9" s="13"/>
      <c r="J9" s="16"/>
      <c r="L9" s="6">
        <v>0</v>
      </c>
      <c r="M9" s="1">
        <v>0</v>
      </c>
      <c r="O9" s="1">
        <v>0</v>
      </c>
      <c r="P9" s="1">
        <v>0</v>
      </c>
      <c r="R9" s="1">
        <v>40793</v>
      </c>
      <c r="S9" s="1">
        <v>0</v>
      </c>
      <c r="U9" s="1">
        <v>0</v>
      </c>
      <c r="V9" s="9">
        <v>0</v>
      </c>
    </row>
    <row r="10" spans="1:22">
      <c r="A10" s="1" t="s">
        <v>16</v>
      </c>
      <c r="B10" s="6">
        <v>0</v>
      </c>
      <c r="C10" s="1">
        <v>0</v>
      </c>
      <c r="D10" s="1">
        <v>0.22000000020489097</v>
      </c>
      <c r="E10" s="1">
        <v>0</v>
      </c>
      <c r="F10" s="1">
        <v>0</v>
      </c>
      <c r="G10" s="9">
        <f>SUM(CA_FINANCIAL)</f>
        <v>0.22000000020489097</v>
      </c>
      <c r="I10" s="13" t="s">
        <v>17</v>
      </c>
      <c r="J10" s="16">
        <v>32793096</v>
      </c>
      <c r="L10" s="6">
        <v>0</v>
      </c>
      <c r="M10" s="1">
        <v>0</v>
      </c>
      <c r="O10" s="1">
        <v>0</v>
      </c>
      <c r="P10" s="1">
        <v>0</v>
      </c>
      <c r="R10" s="1">
        <v>750000</v>
      </c>
      <c r="S10" s="1">
        <v>0</v>
      </c>
      <c r="U10" s="1">
        <v>0</v>
      </c>
      <c r="V10" s="9">
        <v>0</v>
      </c>
    </row>
    <row r="11" spans="1:22">
      <c r="A11" s="1" t="s">
        <v>18</v>
      </c>
      <c r="B11" s="6">
        <v>0</v>
      </c>
      <c r="C11" s="1">
        <v>0</v>
      </c>
      <c r="D11" s="1">
        <v>-0.25</v>
      </c>
      <c r="E11" s="1">
        <v>0</v>
      </c>
      <c r="F11" s="1">
        <v>0</v>
      </c>
      <c r="G11" s="9">
        <f>SUM(CO_FINANCIAL)</f>
        <v>-0.25</v>
      </c>
      <c r="I11" s="13"/>
      <c r="J11" s="16"/>
      <c r="L11" s="6">
        <v>151260</v>
      </c>
      <c r="M11" s="1">
        <v>0</v>
      </c>
      <c r="O11" s="1">
        <v>0</v>
      </c>
      <c r="P11" s="1">
        <v>0</v>
      </c>
      <c r="R11" s="1">
        <v>0</v>
      </c>
      <c r="S11" s="1">
        <v>0</v>
      </c>
      <c r="U11" s="1">
        <v>0</v>
      </c>
      <c r="V11" s="9">
        <v>0</v>
      </c>
    </row>
    <row r="12" spans="1:22">
      <c r="A12" s="1" t="s">
        <v>19</v>
      </c>
      <c r="B12" s="6">
        <v>0</v>
      </c>
      <c r="C12" s="1">
        <v>0</v>
      </c>
      <c r="D12" s="1">
        <v>0.36999999999534339</v>
      </c>
      <c r="E12" s="1">
        <v>0</v>
      </c>
      <c r="F12" s="1">
        <v>0</v>
      </c>
      <c r="G12" s="9">
        <f>SUM(CT_FINANCIAL)</f>
        <v>0.36999999999534339</v>
      </c>
      <c r="I12" s="13" t="s">
        <v>20</v>
      </c>
      <c r="J12" s="16"/>
      <c r="L12" s="6"/>
      <c r="V12" s="9"/>
    </row>
    <row r="13" spans="1:22">
      <c r="A13" s="1" t="s">
        <v>21</v>
      </c>
      <c r="B13" s="6">
        <v>0</v>
      </c>
      <c r="C13" s="1">
        <v>0</v>
      </c>
      <c r="D13" s="1">
        <v>4194.4700000000048</v>
      </c>
      <c r="E13" s="1">
        <v>0</v>
      </c>
      <c r="F13" s="1">
        <v>0</v>
      </c>
      <c r="G13" s="9">
        <f>SUM(DE_FINANCIAL)</f>
        <v>4194.4700000000048</v>
      </c>
      <c r="I13" s="13" t="s">
        <v>22</v>
      </c>
      <c r="J13" s="16">
        <v>31106273</v>
      </c>
      <c r="L13" s="6"/>
      <c r="V13" s="9"/>
    </row>
    <row r="14" spans="1:22">
      <c r="A14" s="1" t="s">
        <v>23</v>
      </c>
      <c r="B14" s="6">
        <v>0</v>
      </c>
      <c r="C14" s="1">
        <v>0</v>
      </c>
      <c r="D14" s="1">
        <v>-6.9999999999708962E-2</v>
      </c>
      <c r="E14" s="1">
        <v>0</v>
      </c>
      <c r="F14" s="1">
        <v>0</v>
      </c>
      <c r="G14" s="9">
        <f>SUM(DC_FINANCIAL)</f>
        <v>-6.9999999999708962E-2</v>
      </c>
      <c r="I14" s="13" t="s">
        <v>24</v>
      </c>
      <c r="J14" s="16">
        <v>4154399.7516146097</v>
      </c>
      <c r="L14" s="6"/>
      <c r="V14" s="9"/>
    </row>
    <row r="15" spans="1:22">
      <c r="A15" s="1" t="s">
        <v>25</v>
      </c>
      <c r="B15" s="6">
        <v>0</v>
      </c>
      <c r="C15" s="1">
        <v>0</v>
      </c>
      <c r="D15" s="1">
        <v>-8452.5500000007451</v>
      </c>
      <c r="E15" s="1">
        <v>0</v>
      </c>
      <c r="F15" s="1">
        <v>0</v>
      </c>
      <c r="G15" s="9">
        <f>SUM(FL_FINANCIAL)</f>
        <v>-8452.5500000007451</v>
      </c>
      <c r="I15" s="13" t="s">
        <v>26</v>
      </c>
      <c r="J15" s="16">
        <v>3092819.9983853903</v>
      </c>
      <c r="L15" s="6">
        <v>0</v>
      </c>
      <c r="M15" s="1">
        <v>0</v>
      </c>
      <c r="O15" s="1">
        <v>0</v>
      </c>
      <c r="P15" s="1">
        <v>0</v>
      </c>
      <c r="R15" s="1">
        <v>10000</v>
      </c>
      <c r="S15" s="1">
        <v>0</v>
      </c>
      <c r="U15" s="1">
        <v>0</v>
      </c>
      <c r="V15" s="9">
        <v>0</v>
      </c>
    </row>
    <row r="16" spans="1:22">
      <c r="A16" s="1" t="s">
        <v>27</v>
      </c>
      <c r="B16" s="6">
        <v>0</v>
      </c>
      <c r="C16" s="1">
        <v>0</v>
      </c>
      <c r="D16" s="1">
        <v>-2773.339999999851</v>
      </c>
      <c r="E16" s="1">
        <v>0</v>
      </c>
      <c r="F16" s="1">
        <v>0</v>
      </c>
      <c r="G16" s="9">
        <f>SUM(GA_FINANCIAL)</f>
        <v>-2773.339999999851</v>
      </c>
      <c r="I16" s="13" t="s">
        <v>28</v>
      </c>
      <c r="J16" s="16">
        <v>0</v>
      </c>
      <c r="L16" s="6"/>
      <c r="V16" s="9"/>
    </row>
    <row r="17" spans="1:22">
      <c r="A17" s="1" t="s">
        <v>29</v>
      </c>
      <c r="B17" s="6">
        <v>0</v>
      </c>
      <c r="C17" s="1">
        <v>0</v>
      </c>
      <c r="D17" s="1">
        <v>57.539999999993597</v>
      </c>
      <c r="E17" s="1">
        <v>0</v>
      </c>
      <c r="F17" s="1">
        <v>0</v>
      </c>
      <c r="G17" s="9">
        <f>SUM(HI_FINANCIAL)</f>
        <v>57.539999999993597</v>
      </c>
      <c r="I17" s="13"/>
      <c r="J17" s="16"/>
      <c r="L17" s="6"/>
      <c r="V17" s="9"/>
    </row>
    <row r="18" spans="1:22">
      <c r="A18" s="1" t="s">
        <v>30</v>
      </c>
      <c r="B18" s="6">
        <v>0</v>
      </c>
      <c r="C18" s="1">
        <v>0</v>
      </c>
      <c r="D18" s="1">
        <v>15632.169999999998</v>
      </c>
      <c r="E18" s="1">
        <v>0</v>
      </c>
      <c r="F18" s="1">
        <v>0</v>
      </c>
      <c r="G18" s="9">
        <f>SUM(ID_FINANCIAL)</f>
        <v>15632.169999999998</v>
      </c>
      <c r="I18" s="13" t="s">
        <v>31</v>
      </c>
      <c r="J18" s="16"/>
      <c r="L18" s="6">
        <v>0</v>
      </c>
      <c r="M18" s="1">
        <v>0</v>
      </c>
      <c r="O18" s="1">
        <v>0</v>
      </c>
      <c r="P18" s="1">
        <v>0</v>
      </c>
      <c r="R18" s="1">
        <v>50000</v>
      </c>
      <c r="S18" s="1">
        <v>0</v>
      </c>
      <c r="U18" s="1">
        <v>0</v>
      </c>
      <c r="V18" s="9">
        <v>0</v>
      </c>
    </row>
    <row r="19" spans="1:22">
      <c r="A19" s="1" t="s">
        <v>32</v>
      </c>
      <c r="B19" s="6">
        <v>0</v>
      </c>
      <c r="C19" s="1">
        <v>0</v>
      </c>
      <c r="D19" s="1">
        <v>22379.099999999977</v>
      </c>
      <c r="E19" s="1">
        <v>0</v>
      </c>
      <c r="F19" s="1">
        <v>0</v>
      </c>
      <c r="G19" s="9">
        <f>SUM(IL_FINANCIAL)</f>
        <v>22379.099999999977</v>
      </c>
      <c r="I19" s="13" t="s">
        <v>33</v>
      </c>
      <c r="J19" s="16">
        <v>0</v>
      </c>
      <c r="L19" s="6">
        <v>0</v>
      </c>
      <c r="M19" s="1">
        <v>0</v>
      </c>
      <c r="O19" s="1">
        <v>0</v>
      </c>
      <c r="P19" s="1">
        <v>0</v>
      </c>
      <c r="R19" s="1">
        <v>370000</v>
      </c>
      <c r="S19" s="1">
        <v>0</v>
      </c>
      <c r="U19" s="1">
        <v>0</v>
      </c>
      <c r="V19" s="9">
        <v>0</v>
      </c>
    </row>
    <row r="20" spans="1:22">
      <c r="A20" s="1" t="s">
        <v>34</v>
      </c>
      <c r="B20" s="6">
        <v>0</v>
      </c>
      <c r="C20" s="1">
        <v>0</v>
      </c>
      <c r="D20" s="1">
        <v>-14961.593999999925</v>
      </c>
      <c r="E20" s="1">
        <v>0</v>
      </c>
      <c r="F20" s="1">
        <v>0</v>
      </c>
      <c r="G20" s="9">
        <f>SUM(IN_FINANCIAL)</f>
        <v>-14961.593999999925</v>
      </c>
      <c r="I20" s="13" t="s">
        <v>35</v>
      </c>
      <c r="J20" s="16">
        <v>31106273</v>
      </c>
      <c r="L20" s="6"/>
      <c r="V20" s="9"/>
    </row>
    <row r="21" spans="1:22">
      <c r="A21" s="1" t="s">
        <v>36</v>
      </c>
      <c r="B21" s="6">
        <v>0</v>
      </c>
      <c r="C21" s="1">
        <v>0</v>
      </c>
      <c r="D21" s="1">
        <v>0.27000000000043656</v>
      </c>
      <c r="E21" s="1">
        <v>0</v>
      </c>
      <c r="F21" s="1">
        <v>0</v>
      </c>
      <c r="G21" s="9">
        <f>SUM(IA_FINANCIAL)</f>
        <v>0.27000000000043656</v>
      </c>
      <c r="I21" s="13" t="s">
        <v>37</v>
      </c>
      <c r="J21" s="16"/>
      <c r="L21" s="6"/>
      <c r="V21" s="9"/>
    </row>
    <row r="22" spans="1:22">
      <c r="A22" s="1" t="s">
        <v>38</v>
      </c>
      <c r="B22" s="6">
        <v>0</v>
      </c>
      <c r="C22" s="1">
        <v>0</v>
      </c>
      <c r="D22" s="1">
        <v>-22.570000000006985</v>
      </c>
      <c r="E22" s="1">
        <v>0</v>
      </c>
      <c r="F22" s="1">
        <v>0</v>
      </c>
      <c r="G22" s="9">
        <f>SUM(KS_FINANCIAL)</f>
        <v>-22.570000000006985</v>
      </c>
      <c r="I22" s="13" t="s">
        <v>39</v>
      </c>
      <c r="J22" s="16">
        <v>0</v>
      </c>
      <c r="L22" s="6"/>
      <c r="V22" s="9"/>
    </row>
    <row r="23" spans="1:22">
      <c r="A23" s="1" t="s">
        <v>40</v>
      </c>
      <c r="B23" s="6">
        <v>0</v>
      </c>
      <c r="C23" s="1">
        <v>0</v>
      </c>
      <c r="D23" s="1">
        <v>-16517.429999999993</v>
      </c>
      <c r="E23" s="1">
        <v>0</v>
      </c>
      <c r="F23" s="1">
        <v>0</v>
      </c>
      <c r="G23" s="9">
        <f>SUM(KY_FINANCIAL)</f>
        <v>-16517.429999999993</v>
      </c>
      <c r="I23" s="13" t="s">
        <v>41</v>
      </c>
      <c r="J23" s="16"/>
      <c r="L23" s="6"/>
      <c r="V23" s="9"/>
    </row>
    <row r="24" spans="1:22">
      <c r="A24" s="1" t="s">
        <v>42</v>
      </c>
      <c r="B24" s="6">
        <v>0</v>
      </c>
      <c r="C24" s="1">
        <v>0</v>
      </c>
      <c r="D24" s="1">
        <v>-0.84000000008381903</v>
      </c>
      <c r="E24" s="1">
        <v>0</v>
      </c>
      <c r="F24" s="1">
        <v>0</v>
      </c>
      <c r="G24" s="9">
        <f>SUM(LA_FINANCIAL)</f>
        <v>-0.84000000008381903</v>
      </c>
      <c r="I24" s="13" t="s">
        <v>43</v>
      </c>
      <c r="J24" s="16">
        <v>39527419.713999994</v>
      </c>
      <c r="L24" s="6">
        <v>0</v>
      </c>
      <c r="M24" s="1">
        <v>0</v>
      </c>
      <c r="O24" s="1">
        <v>0</v>
      </c>
      <c r="P24" s="1">
        <v>0</v>
      </c>
      <c r="R24" s="1">
        <v>180000</v>
      </c>
      <c r="S24" s="1">
        <v>0</v>
      </c>
      <c r="U24" s="1">
        <v>0</v>
      </c>
      <c r="V24" s="9">
        <v>0</v>
      </c>
    </row>
    <row r="25" spans="1:22">
      <c r="A25" s="1" t="s">
        <v>44</v>
      </c>
      <c r="B25" s="6">
        <v>0</v>
      </c>
      <c r="C25" s="1">
        <v>0</v>
      </c>
      <c r="D25" s="1">
        <v>-1694</v>
      </c>
      <c r="E25" s="1">
        <v>0</v>
      </c>
      <c r="F25" s="1">
        <v>0</v>
      </c>
      <c r="G25" s="9">
        <f>SUM(ME_FINANCIAL)</f>
        <v>-1694</v>
      </c>
      <c r="I25" s="13"/>
      <c r="J25" s="16"/>
      <c r="L25" s="6"/>
      <c r="V25" s="9"/>
    </row>
    <row r="26" spans="1:22">
      <c r="A26" s="1" t="s">
        <v>45</v>
      </c>
      <c r="B26" s="6">
        <v>0</v>
      </c>
      <c r="C26" s="1">
        <v>0</v>
      </c>
      <c r="D26" s="1">
        <v>0.31999999997788109</v>
      </c>
      <c r="E26" s="1">
        <v>0</v>
      </c>
      <c r="F26" s="1">
        <v>0</v>
      </c>
      <c r="G26" s="9">
        <f>SUM(MD_FINANCIAL)</f>
        <v>0.31999999997788109</v>
      </c>
      <c r="I26" s="13" t="s">
        <v>46</v>
      </c>
      <c r="J26" s="16">
        <f>SUM(ADD_FINANCIAL)-SUM(LESS_FINANCIAL)</f>
        <v>512896.03600001335</v>
      </c>
      <c r="L26" s="6"/>
      <c r="V26" s="9"/>
    </row>
    <row r="27" spans="1:22">
      <c r="A27" s="1" t="s">
        <v>47</v>
      </c>
      <c r="B27" s="6">
        <v>0</v>
      </c>
      <c r="C27" s="1">
        <v>0</v>
      </c>
      <c r="D27" s="1">
        <v>41152.960000000021</v>
      </c>
      <c r="E27" s="1">
        <v>0</v>
      </c>
      <c r="F27" s="1">
        <v>0</v>
      </c>
      <c r="G27" s="9">
        <f>SUM(MA_FINANCIAL)</f>
        <v>41152.960000000021</v>
      </c>
      <c r="I27" s="13" t="s">
        <v>48</v>
      </c>
      <c r="J27" s="16">
        <f>SUM(ALL_BLOCKS)</f>
        <v>512896.03600000095</v>
      </c>
      <c r="L27" s="6"/>
      <c r="V27" s="9"/>
    </row>
    <row r="28" spans="1:22">
      <c r="A28" s="1" t="s">
        <v>49</v>
      </c>
      <c r="B28" s="6">
        <v>0</v>
      </c>
      <c r="C28" s="1">
        <v>0</v>
      </c>
      <c r="D28" s="1">
        <v>-54773.749999999767</v>
      </c>
      <c r="E28" s="1">
        <v>0</v>
      </c>
      <c r="F28" s="1">
        <v>0</v>
      </c>
      <c r="G28" s="9">
        <f>SUM(MI_FINANCIAL)</f>
        <v>-54773.749999999767</v>
      </c>
      <c r="I28" s="14"/>
      <c r="J28" s="17"/>
      <c r="L28" s="6"/>
      <c r="V28" s="9"/>
    </row>
    <row r="29" spans="1:22">
      <c r="A29" s="1" t="s">
        <v>50</v>
      </c>
      <c r="B29" s="6">
        <v>0</v>
      </c>
      <c r="C29" s="1">
        <v>0</v>
      </c>
      <c r="D29" s="1">
        <v>-302.47000000003027</v>
      </c>
      <c r="E29" s="1">
        <v>0</v>
      </c>
      <c r="F29" s="1">
        <v>0</v>
      </c>
      <c r="G29" s="9">
        <f>SUM(MN_FINANCIAL)</f>
        <v>-302.47000000003027</v>
      </c>
      <c r="L29" s="6"/>
      <c r="V29" s="9"/>
    </row>
    <row r="30" spans="1:22">
      <c r="A30" s="1" t="s">
        <v>51</v>
      </c>
      <c r="B30" s="6">
        <v>0</v>
      </c>
      <c r="C30" s="1">
        <v>0</v>
      </c>
      <c r="D30" s="1">
        <v>0.76000000000931323</v>
      </c>
      <c r="E30" s="1">
        <v>0</v>
      </c>
      <c r="F30" s="1">
        <v>0</v>
      </c>
      <c r="G30" s="9">
        <f>SUM(MS_FINANCIAL)</f>
        <v>0.76000000000931323</v>
      </c>
      <c r="L30" s="6"/>
      <c r="V30" s="9"/>
    </row>
    <row r="31" spans="1:22">
      <c r="A31" s="1" t="s">
        <v>52</v>
      </c>
      <c r="B31" s="6">
        <v>0</v>
      </c>
      <c r="C31" s="1">
        <v>0</v>
      </c>
      <c r="D31" s="1">
        <v>0.29999999998835847</v>
      </c>
      <c r="E31" s="1">
        <v>0</v>
      </c>
      <c r="F31" s="1">
        <v>0</v>
      </c>
      <c r="G31" s="9">
        <f>SUM(MO_FINANCIAL)</f>
        <v>0.29999999998835847</v>
      </c>
      <c r="L31" s="6"/>
      <c r="V31" s="9"/>
    </row>
    <row r="32" spans="1:22">
      <c r="A32" s="1" t="s">
        <v>53</v>
      </c>
      <c r="B32" s="6">
        <v>0</v>
      </c>
      <c r="C32" s="1">
        <v>0</v>
      </c>
      <c r="D32" s="1">
        <v>12519.82</v>
      </c>
      <c r="E32" s="1">
        <v>0</v>
      </c>
      <c r="F32" s="1">
        <v>0</v>
      </c>
      <c r="G32" s="9">
        <f>SUM(MT_FINANCIAL)</f>
        <v>12519.82</v>
      </c>
      <c r="L32" s="6"/>
      <c r="V32" s="9"/>
    </row>
    <row r="33" spans="1:22">
      <c r="A33" s="1" t="s">
        <v>54</v>
      </c>
      <c r="B33" s="6">
        <v>0</v>
      </c>
      <c r="C33" s="1">
        <v>0</v>
      </c>
      <c r="D33" s="1">
        <v>7063.6299999999974</v>
      </c>
      <c r="E33" s="1">
        <v>0</v>
      </c>
      <c r="F33" s="1">
        <v>0</v>
      </c>
      <c r="G33" s="9">
        <f>SUM(NE_FINANCIAL)</f>
        <v>7063.6299999999974</v>
      </c>
      <c r="L33" s="6"/>
      <c r="V33" s="9"/>
    </row>
    <row r="34" spans="1:22">
      <c r="A34" s="1" t="s">
        <v>55</v>
      </c>
      <c r="B34" s="6">
        <v>0</v>
      </c>
      <c r="C34" s="1">
        <v>0</v>
      </c>
      <c r="D34" s="1">
        <v>-9.9999999802093953E-3</v>
      </c>
      <c r="E34" s="1">
        <v>0</v>
      </c>
      <c r="F34" s="1">
        <v>0</v>
      </c>
      <c r="G34" s="9">
        <f>SUM(NV_FINANCIAL)</f>
        <v>-9.9999999802093953E-3</v>
      </c>
      <c r="L34" s="6"/>
      <c r="V34" s="9"/>
    </row>
    <row r="35" spans="1:22">
      <c r="A35" s="1" t="s">
        <v>56</v>
      </c>
      <c r="B35" s="6">
        <v>0</v>
      </c>
      <c r="C35" s="1">
        <v>0</v>
      </c>
      <c r="D35" s="1">
        <v>90841.790000000008</v>
      </c>
      <c r="E35" s="1">
        <v>0</v>
      </c>
      <c r="F35" s="1">
        <v>0</v>
      </c>
      <c r="G35" s="9">
        <f>SUM(NH_FINANCIAL)</f>
        <v>90841.790000000008</v>
      </c>
      <c r="L35" s="6"/>
      <c r="V35" s="9"/>
    </row>
    <row r="36" spans="1:22">
      <c r="A36" s="1" t="s">
        <v>57</v>
      </c>
      <c r="B36" s="6">
        <v>0</v>
      </c>
      <c r="C36" s="1">
        <v>0</v>
      </c>
      <c r="D36" s="1">
        <v>-254.79000000000087</v>
      </c>
      <c r="E36" s="1">
        <v>0</v>
      </c>
      <c r="F36" s="1">
        <v>0</v>
      </c>
      <c r="G36" s="9">
        <f>SUM(NJ_FINANCIAL)</f>
        <v>-254.79000000000087</v>
      </c>
      <c r="L36" s="6"/>
      <c r="V36" s="9"/>
    </row>
    <row r="37" spans="1:22">
      <c r="A37" s="1" t="s">
        <v>58</v>
      </c>
      <c r="B37" s="6">
        <v>0</v>
      </c>
      <c r="C37" s="1">
        <v>0</v>
      </c>
      <c r="D37" s="1">
        <v>14380.589999999997</v>
      </c>
      <c r="E37" s="1">
        <v>0</v>
      </c>
      <c r="F37" s="1">
        <v>0</v>
      </c>
      <c r="G37" s="9">
        <f>SUM(NM_FINANCIAL)</f>
        <v>14380.589999999997</v>
      </c>
      <c r="L37" s="6">
        <v>0</v>
      </c>
      <c r="M37" s="1">
        <v>0</v>
      </c>
      <c r="O37" s="1">
        <v>0</v>
      </c>
      <c r="P37" s="1">
        <v>0</v>
      </c>
      <c r="R37" s="1">
        <v>99809</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-1190.3199999998324</v>
      </c>
      <c r="E39" s="1">
        <v>0</v>
      </c>
      <c r="F39" s="1">
        <v>0</v>
      </c>
      <c r="G39" s="9">
        <f>SUM(NC_FINANCIAL)</f>
        <v>-1190.3199999998324</v>
      </c>
      <c r="L39" s="6">
        <v>0</v>
      </c>
      <c r="M39" s="1">
        <v>0</v>
      </c>
      <c r="O39" s="1">
        <v>0</v>
      </c>
      <c r="P39" s="1">
        <v>0</v>
      </c>
      <c r="R39" s="1">
        <v>1200000</v>
      </c>
      <c r="S39" s="1">
        <v>900000</v>
      </c>
      <c r="U39" s="1">
        <v>0</v>
      </c>
      <c r="V39" s="9">
        <v>0</v>
      </c>
    </row>
    <row r="40" spans="1:22">
      <c r="A40" s="1" t="s">
        <v>61</v>
      </c>
      <c r="B40" s="6">
        <v>0</v>
      </c>
      <c r="C40" s="1">
        <v>0</v>
      </c>
      <c r="D40" s="1">
        <v>0.46000000000003638</v>
      </c>
      <c r="E40" s="1">
        <v>0</v>
      </c>
      <c r="F40" s="1">
        <v>0</v>
      </c>
      <c r="G40" s="9">
        <f>SUM(ND_FINANCIAL)</f>
        <v>0.46000000000003638</v>
      </c>
      <c r="L40" s="6"/>
      <c r="V40" s="9"/>
    </row>
    <row r="41" spans="1:22">
      <c r="A41" s="1" t="s">
        <v>62</v>
      </c>
      <c r="B41" s="6">
        <v>0</v>
      </c>
      <c r="C41" s="1">
        <v>0</v>
      </c>
      <c r="D41" s="1">
        <v>3.0000000027939677E-2</v>
      </c>
      <c r="E41" s="1">
        <v>0</v>
      </c>
      <c r="F41" s="1">
        <v>0</v>
      </c>
      <c r="G41" s="9">
        <f>SUM(OH_FINANCIAL)</f>
        <v>3.0000000027939677E-2</v>
      </c>
      <c r="L41" s="6"/>
      <c r="V41" s="9"/>
    </row>
    <row r="42" spans="1:22">
      <c r="A42" s="1" t="s">
        <v>63</v>
      </c>
      <c r="B42" s="6">
        <v>0</v>
      </c>
      <c r="C42" s="1">
        <v>0</v>
      </c>
      <c r="D42" s="1">
        <v>16044.590000000084</v>
      </c>
      <c r="E42" s="1">
        <v>0</v>
      </c>
      <c r="F42" s="1">
        <v>0</v>
      </c>
      <c r="G42" s="9">
        <f>SUM(OK_FINANCIAL)</f>
        <v>16044.590000000084</v>
      </c>
      <c r="L42" s="6">
        <v>0</v>
      </c>
      <c r="M42" s="1">
        <v>0</v>
      </c>
      <c r="O42" s="1">
        <v>0</v>
      </c>
      <c r="P42" s="1">
        <v>0</v>
      </c>
      <c r="R42" s="1">
        <v>200000</v>
      </c>
      <c r="S42" s="1">
        <v>100000</v>
      </c>
      <c r="U42" s="1">
        <v>0</v>
      </c>
      <c r="V42" s="9">
        <v>0</v>
      </c>
    </row>
    <row r="43" spans="1:22">
      <c r="A43" s="1" t="s">
        <v>64</v>
      </c>
      <c r="B43" s="6">
        <v>0</v>
      </c>
      <c r="C43" s="1">
        <v>0</v>
      </c>
      <c r="D43" s="1">
        <v>11732.589999999997</v>
      </c>
      <c r="E43" s="1">
        <v>0</v>
      </c>
      <c r="F43" s="1">
        <v>0</v>
      </c>
      <c r="G43" s="9">
        <f>SUM(OR_FINANCIAL)</f>
        <v>11732.589999999997</v>
      </c>
      <c r="L43" s="6"/>
      <c r="V43" s="9"/>
    </row>
    <row r="44" spans="1:22">
      <c r="A44" s="1" t="s">
        <v>65</v>
      </c>
      <c r="B44" s="6">
        <v>0</v>
      </c>
      <c r="C44" s="1">
        <v>0</v>
      </c>
      <c r="D44" s="1">
        <v>-261.04999999993015</v>
      </c>
      <c r="E44" s="1">
        <v>0</v>
      </c>
      <c r="F44" s="1">
        <v>0</v>
      </c>
      <c r="G44" s="9">
        <f>SUM(PA_FINANCIAL)</f>
        <v>-261.04999999993015</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-1805.5</v>
      </c>
      <c r="E46" s="1">
        <v>0</v>
      </c>
      <c r="F46" s="1">
        <v>0</v>
      </c>
      <c r="G46" s="9">
        <f>SUM(RI_FINANCIAL)</f>
        <v>-1805.5</v>
      </c>
      <c r="L46" s="6">
        <v>0</v>
      </c>
      <c r="M46" s="1">
        <v>0</v>
      </c>
      <c r="O46" s="1">
        <v>0</v>
      </c>
      <c r="P46" s="1">
        <v>0</v>
      </c>
      <c r="R46" s="1">
        <v>410000</v>
      </c>
      <c r="S46" s="1">
        <v>0</v>
      </c>
      <c r="U46" s="1">
        <v>0</v>
      </c>
      <c r="V46" s="9">
        <v>0</v>
      </c>
    </row>
    <row r="47" spans="1:22">
      <c r="A47" s="1" t="s">
        <v>68</v>
      </c>
      <c r="B47" s="6">
        <v>0</v>
      </c>
      <c r="C47" s="1">
        <v>0</v>
      </c>
      <c r="D47" s="1">
        <v>-2758.1400000001304</v>
      </c>
      <c r="E47" s="1">
        <v>0</v>
      </c>
      <c r="F47" s="1">
        <v>0</v>
      </c>
      <c r="G47" s="9">
        <f>SUM(SC_FINANCIAL)</f>
        <v>-2758.1400000001304</v>
      </c>
      <c r="L47" s="6">
        <v>0</v>
      </c>
      <c r="M47" s="1">
        <v>0</v>
      </c>
      <c r="O47" s="1">
        <v>0</v>
      </c>
      <c r="P47" s="1">
        <v>0</v>
      </c>
      <c r="R47" s="1">
        <v>900000</v>
      </c>
      <c r="S47" s="1">
        <v>0</v>
      </c>
      <c r="U47" s="1">
        <v>0</v>
      </c>
      <c r="V47" s="9">
        <v>0</v>
      </c>
    </row>
    <row r="48" spans="1:22">
      <c r="A48" s="1" t="s">
        <v>69</v>
      </c>
      <c r="B48" s="6">
        <v>0</v>
      </c>
      <c r="C48" s="1">
        <v>0</v>
      </c>
      <c r="D48" s="1">
        <v>0.56999999999970896</v>
      </c>
      <c r="E48" s="1">
        <v>0</v>
      </c>
      <c r="F48" s="1">
        <v>0</v>
      </c>
      <c r="G48" s="9">
        <f>SUM(SD_FINANCIAL)</f>
        <v>0.56999999999970896</v>
      </c>
      <c r="L48" s="6"/>
      <c r="V48" s="9"/>
    </row>
    <row r="49" spans="1:22">
      <c r="A49" s="1" t="s">
        <v>70</v>
      </c>
      <c r="B49" s="6">
        <v>0</v>
      </c>
      <c r="C49" s="1">
        <v>0</v>
      </c>
      <c r="D49" s="1">
        <v>0.23000000009778887</v>
      </c>
      <c r="E49" s="1">
        <v>0</v>
      </c>
      <c r="F49" s="1">
        <v>0</v>
      </c>
      <c r="G49" s="9">
        <f>SUM(TN_FINANCIAL)</f>
        <v>0.23000000009778887</v>
      </c>
      <c r="L49" s="6">
        <v>0</v>
      </c>
      <c r="M49" s="1">
        <v>0</v>
      </c>
      <c r="O49" s="1">
        <v>0</v>
      </c>
      <c r="P49" s="1">
        <v>0</v>
      </c>
      <c r="R49" s="1">
        <v>250000</v>
      </c>
      <c r="S49" s="1">
        <v>0</v>
      </c>
      <c r="U49" s="1">
        <v>0</v>
      </c>
      <c r="V49" s="9">
        <v>0</v>
      </c>
    </row>
    <row r="50" spans="1:22">
      <c r="A50" s="1" t="s">
        <v>71</v>
      </c>
      <c r="B50" s="6">
        <v>0</v>
      </c>
      <c r="C50" s="1">
        <v>0</v>
      </c>
      <c r="D50" s="1">
        <v>-1698.1999999992549</v>
      </c>
      <c r="E50" s="1">
        <v>0</v>
      </c>
      <c r="F50" s="1">
        <v>0</v>
      </c>
      <c r="G50" s="9">
        <f>SUM(TX_FINANCIAL)</f>
        <v>-1698.1999999992549</v>
      </c>
      <c r="L50" s="6">
        <v>0</v>
      </c>
      <c r="M50" s="1">
        <v>0</v>
      </c>
      <c r="O50" s="1">
        <v>0</v>
      </c>
      <c r="P50" s="1">
        <v>0</v>
      </c>
      <c r="R50" s="1">
        <v>2000085</v>
      </c>
      <c r="S50" s="1">
        <v>0</v>
      </c>
      <c r="U50" s="1">
        <v>0</v>
      </c>
      <c r="V50" s="9">
        <v>0</v>
      </c>
    </row>
    <row r="51" spans="1:22">
      <c r="A51" s="1" t="s">
        <v>72</v>
      </c>
      <c r="B51" s="6">
        <v>0</v>
      </c>
      <c r="C51" s="1">
        <v>0</v>
      </c>
      <c r="D51" s="1">
        <v>3.0000000013387762E-2</v>
      </c>
      <c r="E51" s="1">
        <v>0</v>
      </c>
      <c r="F51" s="1">
        <v>0</v>
      </c>
      <c r="G51" s="9">
        <f>SUM(UT_FINANCIAL)</f>
        <v>3.0000000013387762E-2</v>
      </c>
      <c r="L51" s="6"/>
      <c r="V51" s="9"/>
    </row>
    <row r="52" spans="1:22">
      <c r="A52" s="1" t="s">
        <v>73</v>
      </c>
      <c r="B52" s="6">
        <v>0</v>
      </c>
      <c r="C52" s="1">
        <v>0</v>
      </c>
      <c r="D52" s="1">
        <v>-2037.7100000000064</v>
      </c>
      <c r="E52" s="1">
        <v>0</v>
      </c>
      <c r="F52" s="1">
        <v>0</v>
      </c>
      <c r="G52" s="9">
        <f>SUM(VT_FINANCIAL)</f>
        <v>-2037.7100000000064</v>
      </c>
      <c r="L52" s="6"/>
      <c r="V52" s="9"/>
    </row>
    <row r="53" spans="1:22">
      <c r="A53" s="1" t="s">
        <v>74</v>
      </c>
      <c r="B53" s="6">
        <v>0</v>
      </c>
      <c r="C53" s="1">
        <v>0</v>
      </c>
      <c r="D53" s="1">
        <v>57683.090000000084</v>
      </c>
      <c r="E53" s="1">
        <v>0</v>
      </c>
      <c r="F53" s="1">
        <v>0</v>
      </c>
      <c r="G53" s="9">
        <f>SUM(VA_FINANCIAL)</f>
        <v>57683.090000000084</v>
      </c>
      <c r="L53" s="6"/>
      <c r="V53" s="9"/>
    </row>
    <row r="54" spans="1:22">
      <c r="A54" s="1" t="s">
        <v>75</v>
      </c>
      <c r="B54" s="6">
        <v>0</v>
      </c>
      <c r="C54" s="1">
        <v>0</v>
      </c>
      <c r="D54" s="1">
        <v>-18824.189999999944</v>
      </c>
      <c r="E54" s="1">
        <v>0</v>
      </c>
      <c r="F54" s="1">
        <v>0</v>
      </c>
      <c r="G54" s="9">
        <f>SUM(WA_FINANCIAL)</f>
        <v>-18824.189999999944</v>
      </c>
      <c r="L54" s="6"/>
      <c r="V54" s="9"/>
    </row>
    <row r="55" spans="1:22">
      <c r="A55" s="1" t="s">
        <v>76</v>
      </c>
      <c r="B55" s="6">
        <v>0</v>
      </c>
      <c r="C55" s="1">
        <v>0</v>
      </c>
      <c r="D55" s="1">
        <v>-26.549999999988358</v>
      </c>
      <c r="E55" s="1">
        <v>0</v>
      </c>
      <c r="F55" s="1">
        <v>0</v>
      </c>
      <c r="G55" s="9">
        <f>SUM(WV_FINANCIAL)</f>
        <v>-26.549999999988358</v>
      </c>
      <c r="L55" s="6"/>
      <c r="V55" s="9"/>
    </row>
    <row r="56" spans="1:22">
      <c r="A56" s="1" t="s">
        <v>77</v>
      </c>
      <c r="B56" s="6">
        <v>0</v>
      </c>
      <c r="C56" s="1">
        <v>0</v>
      </c>
      <c r="D56" s="1">
        <v>13117.529999999999</v>
      </c>
      <c r="E56" s="1">
        <v>0</v>
      </c>
      <c r="F56" s="1">
        <v>0</v>
      </c>
      <c r="G56" s="9">
        <f>SUM(WI_FINANCIAL)</f>
        <v>13117.529999999999</v>
      </c>
      <c r="L56" s="6"/>
      <c r="V56" s="9"/>
    </row>
    <row r="57" spans="1:22">
      <c r="A57" s="1" t="s">
        <v>78</v>
      </c>
      <c r="B57" s="6">
        <v>0</v>
      </c>
      <c r="C57" s="1">
        <v>0</v>
      </c>
      <c r="D57" s="1">
        <v>-74.549999999999272</v>
      </c>
      <c r="E57" s="1">
        <v>0</v>
      </c>
      <c r="F57" s="1">
        <v>0</v>
      </c>
      <c r="G57" s="9">
        <f>SUM(WY_FINANCIAL)</f>
        <v>-74.549999999999272</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512896.03600000095</v>
      </c>
      <c r="E60" s="1">
        <f>SUM(UNALLOCATED)</f>
        <v>0</v>
      </c>
      <c r="F60" s="1">
        <f>SUM(LTC)</f>
        <v>0</v>
      </c>
      <c r="G60" s="9">
        <f>SUM(ALL_BLOCKS)</f>
        <v>512896.03600000095</v>
      </c>
      <c r="L60" s="6">
        <f>SUM(LIFE_CALLED)</f>
        <v>151260</v>
      </c>
      <c r="M60" s="1">
        <f>SUM(LIFE_REFUNDED)</f>
        <v>0</v>
      </c>
      <c r="O60" s="1">
        <f>SUM(ALLOC_CALLED)</f>
        <v>0</v>
      </c>
      <c r="P60" s="1">
        <f>SUM(ALLOC_REFUNDED)</f>
        <v>0</v>
      </c>
      <c r="R60" s="1">
        <f>SUM(HEALTH_CALLED)</f>
        <v>6480687</v>
      </c>
      <c r="S60" s="1">
        <f>SUM(HEALTH_REFUNDED)</f>
        <v>1000000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162</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9040.2961501117825</v>
      </c>
      <c r="E8" s="1">
        <v>0</v>
      </c>
      <c r="F8" s="1">
        <v>0</v>
      </c>
      <c r="G8" s="9">
        <f>SUM(AZ_FINANCIAL)</f>
        <v>9040.2961501117825</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11210917.853609877</v>
      </c>
      <c r="E10" s="1">
        <v>0</v>
      </c>
      <c r="F10" s="1">
        <v>0</v>
      </c>
      <c r="G10" s="9">
        <f>SUM(CA_FINANCIAL)</f>
        <v>11210917.853609877</v>
      </c>
      <c r="I10" s="13" t="s">
        <v>17</v>
      </c>
      <c r="J10" s="16">
        <v>19897087.949999996</v>
      </c>
      <c r="L10" s="6">
        <v>0</v>
      </c>
      <c r="M10" s="1">
        <v>0</v>
      </c>
      <c r="O10" s="1">
        <v>0</v>
      </c>
      <c r="P10" s="1">
        <v>0</v>
      </c>
      <c r="R10" s="1">
        <v>11753900</v>
      </c>
      <c r="S10" s="1">
        <v>0</v>
      </c>
      <c r="U10" s="1">
        <v>0</v>
      </c>
      <c r="V10" s="9">
        <v>0</v>
      </c>
    </row>
    <row r="11" spans="1:22">
      <c r="A11" s="1" t="s">
        <v>18</v>
      </c>
      <c r="B11" s="6">
        <v>0</v>
      </c>
      <c r="C11" s="1">
        <v>0</v>
      </c>
      <c r="D11" s="1">
        <v>1250845.4631506752</v>
      </c>
      <c r="E11" s="1">
        <v>0</v>
      </c>
      <c r="F11" s="1">
        <v>0</v>
      </c>
      <c r="G11" s="9">
        <f>SUM(CO_FINANCIAL)</f>
        <v>1250845.4631506752</v>
      </c>
      <c r="I11" s="13"/>
      <c r="J11" s="16"/>
      <c r="L11" s="6">
        <v>0</v>
      </c>
      <c r="M11" s="1">
        <v>0</v>
      </c>
      <c r="O11" s="1">
        <v>0</v>
      </c>
      <c r="P11" s="1">
        <v>0</v>
      </c>
      <c r="R11" s="1">
        <v>2001994</v>
      </c>
      <c r="S11" s="1">
        <v>500000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19897087.949999996</v>
      </c>
      <c r="L13" s="6"/>
      <c r="V13" s="9"/>
    </row>
    <row r="14" spans="1:22">
      <c r="A14" s="1" t="s">
        <v>23</v>
      </c>
      <c r="B14" s="6">
        <v>0</v>
      </c>
      <c r="C14" s="1">
        <v>0</v>
      </c>
      <c r="D14" s="1">
        <v>0</v>
      </c>
      <c r="E14" s="1">
        <v>0</v>
      </c>
      <c r="F14" s="1">
        <v>0</v>
      </c>
      <c r="G14" s="9">
        <f>SUM(DC_FINANCIAL)</f>
        <v>0</v>
      </c>
      <c r="I14" s="13" t="s">
        <v>24</v>
      </c>
      <c r="J14" s="16">
        <v>434808.24000000005</v>
      </c>
      <c r="L14" s="6"/>
      <c r="V14" s="9"/>
    </row>
    <row r="15" spans="1:22">
      <c r="A15" s="1" t="s">
        <v>25</v>
      </c>
      <c r="B15" s="6">
        <v>0</v>
      </c>
      <c r="C15" s="1">
        <v>0</v>
      </c>
      <c r="D15" s="1">
        <v>3040.188670327128</v>
      </c>
      <c r="E15" s="1">
        <v>0</v>
      </c>
      <c r="F15" s="1">
        <v>0</v>
      </c>
      <c r="G15" s="9">
        <f>SUM(FL_FINANCIAL)</f>
        <v>3040.188670327128</v>
      </c>
      <c r="I15" s="13" t="s">
        <v>26</v>
      </c>
      <c r="J15" s="16">
        <v>1223073.9513470561</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1205.3433907075087</v>
      </c>
      <c r="E18" s="1">
        <v>0</v>
      </c>
      <c r="F18" s="1">
        <v>0</v>
      </c>
      <c r="G18" s="9">
        <f>SUM(ID_FINANCIAL)</f>
        <v>1205.3433907075087</v>
      </c>
      <c r="I18" s="13" t="s">
        <v>31</v>
      </c>
      <c r="J18" s="16"/>
      <c r="L18" s="6"/>
      <c r="V18" s="9"/>
    </row>
    <row r="19" spans="1:22">
      <c r="A19" s="1" t="s">
        <v>32</v>
      </c>
      <c r="B19" s="6">
        <v>0</v>
      </c>
      <c r="C19" s="1">
        <v>0</v>
      </c>
      <c r="D19" s="1">
        <v>12050.144362152278</v>
      </c>
      <c r="E19" s="1">
        <v>0</v>
      </c>
      <c r="F19" s="1">
        <v>0</v>
      </c>
      <c r="G19" s="9">
        <f>SUM(IL_FINANCIAL)</f>
        <v>12050.144362152278</v>
      </c>
      <c r="I19" s="13" t="s">
        <v>33</v>
      </c>
      <c r="J19" s="16">
        <v>0</v>
      </c>
      <c r="L19" s="6">
        <v>0</v>
      </c>
      <c r="M19" s="1">
        <v>0</v>
      </c>
      <c r="O19" s="1">
        <v>0</v>
      </c>
      <c r="P19" s="1">
        <v>0</v>
      </c>
      <c r="R19" s="1">
        <v>250000</v>
      </c>
      <c r="S19" s="1">
        <v>0</v>
      </c>
      <c r="U19" s="1">
        <v>0</v>
      </c>
      <c r="V19" s="9">
        <v>0</v>
      </c>
    </row>
    <row r="20" spans="1:22">
      <c r="A20" s="1" t="s">
        <v>34</v>
      </c>
      <c r="B20" s="6">
        <v>0</v>
      </c>
      <c r="C20" s="1">
        <v>0</v>
      </c>
      <c r="D20" s="1">
        <v>18846.951248013662</v>
      </c>
      <c r="E20" s="1">
        <v>0</v>
      </c>
      <c r="F20" s="1">
        <v>0</v>
      </c>
      <c r="G20" s="9">
        <f>SUM(IN_FINANCIAL)</f>
        <v>18846.951248013662</v>
      </c>
      <c r="I20" s="13" t="s">
        <v>35</v>
      </c>
      <c r="J20" s="16">
        <v>19897087.949999996</v>
      </c>
      <c r="L20" s="6"/>
      <c r="V20" s="9"/>
    </row>
    <row r="21" spans="1:22">
      <c r="A21" s="1" t="s">
        <v>36</v>
      </c>
      <c r="B21" s="6">
        <v>0</v>
      </c>
      <c r="C21" s="1">
        <v>0</v>
      </c>
      <c r="D21" s="1">
        <v>212.68507341355905</v>
      </c>
      <c r="E21" s="1">
        <v>0</v>
      </c>
      <c r="F21" s="1">
        <v>0</v>
      </c>
      <c r="G21" s="9">
        <f>SUM(IA_FINANCIAL)</f>
        <v>212.68507341355905</v>
      </c>
      <c r="I21" s="13" t="s">
        <v>37</v>
      </c>
      <c r="J21" s="16"/>
      <c r="L21" s="6"/>
      <c r="V21" s="9"/>
    </row>
    <row r="22" spans="1:22">
      <c r="A22" s="1" t="s">
        <v>38</v>
      </c>
      <c r="B22" s="6">
        <v>0</v>
      </c>
      <c r="C22" s="1">
        <v>0</v>
      </c>
      <c r="D22" s="1">
        <v>2042.9741772447269</v>
      </c>
      <c r="E22" s="1">
        <v>0</v>
      </c>
      <c r="F22" s="1">
        <v>0</v>
      </c>
      <c r="G22" s="9">
        <f>SUM(KS_FINANCIAL)</f>
        <v>2042.9741772447269</v>
      </c>
      <c r="I22" s="13" t="s">
        <v>39</v>
      </c>
      <c r="J22" s="16">
        <v>0</v>
      </c>
      <c r="L22" s="6"/>
      <c r="V22" s="9"/>
    </row>
    <row r="23" spans="1:22">
      <c r="A23" s="1" t="s">
        <v>40</v>
      </c>
      <c r="B23" s="6">
        <v>0</v>
      </c>
      <c r="C23" s="1">
        <v>0</v>
      </c>
      <c r="D23" s="1">
        <v>20.469636333686481</v>
      </c>
      <c r="E23" s="1">
        <v>0</v>
      </c>
      <c r="F23" s="1">
        <v>0</v>
      </c>
      <c r="G23" s="9">
        <f>SUM(KY_FINANCIAL)</f>
        <v>20.469636333686481</v>
      </c>
      <c r="I23" s="13" t="s">
        <v>41</v>
      </c>
      <c r="J23" s="16"/>
      <c r="L23" s="6"/>
      <c r="V23" s="9"/>
    </row>
    <row r="24" spans="1:22">
      <c r="A24" s="1" t="s">
        <v>42</v>
      </c>
      <c r="B24" s="6">
        <v>0</v>
      </c>
      <c r="C24" s="1">
        <v>0</v>
      </c>
      <c r="D24" s="1">
        <v>0</v>
      </c>
      <c r="E24" s="1">
        <v>0</v>
      </c>
      <c r="F24" s="1">
        <v>0</v>
      </c>
      <c r="G24" s="9">
        <f>SUM(LA_FINANCIAL)</f>
        <v>0</v>
      </c>
      <c r="I24" s="13" t="s">
        <v>43</v>
      </c>
      <c r="J24" s="16">
        <v>9174503.4700000007</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2226.663837378167</v>
      </c>
      <c r="E26" s="1">
        <v>0</v>
      </c>
      <c r="F26" s="1">
        <v>0</v>
      </c>
      <c r="G26" s="9">
        <f>SUM(MD_FINANCIAL)</f>
        <v>2226.663837378167</v>
      </c>
      <c r="I26" s="13" t="s">
        <v>46</v>
      </c>
      <c r="J26" s="16">
        <f>SUM(ADD_FINANCIAL)-SUM(LESS_FINANCIAL)</f>
        <v>12380466.671347052</v>
      </c>
      <c r="L26" s="6"/>
      <c r="V26" s="9"/>
    </row>
    <row r="27" spans="1:22">
      <c r="A27" s="1" t="s">
        <v>47</v>
      </c>
      <c r="B27" s="6">
        <v>0</v>
      </c>
      <c r="C27" s="1">
        <v>0</v>
      </c>
      <c r="D27" s="1">
        <v>0</v>
      </c>
      <c r="E27" s="1">
        <v>0</v>
      </c>
      <c r="F27" s="1">
        <v>0</v>
      </c>
      <c r="G27" s="9">
        <f>SUM(MA_FINANCIAL)</f>
        <v>0</v>
      </c>
      <c r="I27" s="13" t="s">
        <v>48</v>
      </c>
      <c r="J27" s="16">
        <f>SUM(ALL_BLOCKS)</f>
        <v>12380466.671347052</v>
      </c>
      <c r="L27" s="6"/>
      <c r="V27" s="9"/>
    </row>
    <row r="28" spans="1:22">
      <c r="A28" s="1" t="s">
        <v>49</v>
      </c>
      <c r="B28" s="6">
        <v>0</v>
      </c>
      <c r="C28" s="1">
        <v>0</v>
      </c>
      <c r="D28" s="1">
        <v>2526.5807277804306</v>
      </c>
      <c r="E28" s="1">
        <v>0</v>
      </c>
      <c r="F28" s="1">
        <v>0</v>
      </c>
      <c r="G28" s="9">
        <f>SUM(MI_FINANCIAL)</f>
        <v>2526.5807277804306</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75.045409022180991</v>
      </c>
      <c r="E31" s="1">
        <v>0</v>
      </c>
      <c r="F31" s="1">
        <v>0</v>
      </c>
      <c r="G31" s="9">
        <f>SUM(MO_FINANCIAL)</f>
        <v>75.045409022180991</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568.19057962155603</v>
      </c>
      <c r="E33" s="1">
        <v>0</v>
      </c>
      <c r="F33" s="1">
        <v>0</v>
      </c>
      <c r="G33" s="9">
        <f>SUM(NE_FINANCIAL)</f>
        <v>568.19057962155603</v>
      </c>
      <c r="L33" s="6"/>
      <c r="V33" s="9"/>
    </row>
    <row r="34" spans="1:22">
      <c r="A34" s="1" t="s">
        <v>55</v>
      </c>
      <c r="B34" s="6">
        <v>0</v>
      </c>
      <c r="C34" s="1">
        <v>0</v>
      </c>
      <c r="D34" s="1">
        <v>6387.1948147066651</v>
      </c>
      <c r="E34" s="1">
        <v>0</v>
      </c>
      <c r="F34" s="1">
        <v>0</v>
      </c>
      <c r="G34" s="9">
        <f>SUM(NV_FINANCIAL)</f>
        <v>6387.1948147066651</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135.07397541639477</v>
      </c>
      <c r="E40" s="1">
        <v>0</v>
      </c>
      <c r="F40" s="1">
        <v>0</v>
      </c>
      <c r="G40" s="9">
        <f>SUM(ND_FINANCIAL)</f>
        <v>135.07397541639477</v>
      </c>
      <c r="L40" s="6"/>
      <c r="V40" s="9"/>
    </row>
    <row r="41" spans="1:22">
      <c r="A41" s="1" t="s">
        <v>62</v>
      </c>
      <c r="B41" s="6">
        <v>0</v>
      </c>
      <c r="C41" s="1">
        <v>0</v>
      </c>
      <c r="D41" s="1">
        <v>33.401041237846812</v>
      </c>
      <c r="E41" s="1">
        <v>0</v>
      </c>
      <c r="F41" s="1">
        <v>0</v>
      </c>
      <c r="G41" s="9">
        <f>SUM(OH_FINANCIAL)</f>
        <v>33.401041237846812</v>
      </c>
      <c r="L41" s="6"/>
      <c r="V41" s="9"/>
    </row>
    <row r="42" spans="1:22">
      <c r="A42" s="1" t="s">
        <v>63</v>
      </c>
      <c r="B42" s="6">
        <v>0</v>
      </c>
      <c r="C42" s="1">
        <v>0</v>
      </c>
      <c r="D42" s="1">
        <v>4329.3707464928557</v>
      </c>
      <c r="E42" s="1">
        <v>0</v>
      </c>
      <c r="F42" s="1">
        <v>0</v>
      </c>
      <c r="G42" s="9">
        <f>SUM(OK_FINANCIAL)</f>
        <v>4329.3707464928557</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5.6843418860808015E-14</v>
      </c>
      <c r="E48" s="1">
        <v>0</v>
      </c>
      <c r="F48" s="1">
        <v>0</v>
      </c>
      <c r="G48" s="9">
        <f>SUM(SD_FINANCIAL)</f>
        <v>5.6843418860808015E-14</v>
      </c>
      <c r="L48" s="6"/>
      <c r="V48" s="9"/>
    </row>
    <row r="49" spans="1:22">
      <c r="A49" s="1" t="s">
        <v>70</v>
      </c>
      <c r="B49" s="6">
        <v>0</v>
      </c>
      <c r="C49" s="1">
        <v>0</v>
      </c>
      <c r="D49" s="1">
        <v>706.45911392992321</v>
      </c>
      <c r="E49" s="1">
        <v>0</v>
      </c>
      <c r="F49" s="1">
        <v>0</v>
      </c>
      <c r="G49" s="9">
        <f>SUM(TN_FINANCIAL)</f>
        <v>706.45911392992321</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-203273.48683528221</v>
      </c>
      <c r="E53" s="1">
        <v>0</v>
      </c>
      <c r="F53" s="1">
        <v>0</v>
      </c>
      <c r="G53" s="9">
        <f>SUM(VA_FINANCIAL)</f>
        <v>-203273.48683528221</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58529.808467893425</v>
      </c>
      <c r="E56" s="1">
        <v>0</v>
      </c>
      <c r="F56" s="1">
        <v>0</v>
      </c>
      <c r="G56" s="9">
        <f>SUM(WI_FINANCIAL)</f>
        <v>58529.808467893425</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12380466.671347052</v>
      </c>
      <c r="E60" s="1">
        <f>SUM(UNALLOCATED)</f>
        <v>0</v>
      </c>
      <c r="F60" s="1">
        <f>SUM(LTC)</f>
        <v>0</v>
      </c>
      <c r="G60" s="9">
        <f>SUM(ALL_BLOCKS)</f>
        <v>12380466.671347052</v>
      </c>
      <c r="L60" s="6">
        <f>SUM(LIFE_CALLED)</f>
        <v>0</v>
      </c>
      <c r="M60" s="1">
        <f>SUM(LIFE_REFUNDED)</f>
        <v>0</v>
      </c>
      <c r="O60" s="1">
        <f>SUM(ALLOC_CALLED)</f>
        <v>0</v>
      </c>
      <c r="P60" s="1">
        <f>SUM(ALLOC_REFUNDED)</f>
        <v>0</v>
      </c>
      <c r="R60" s="1">
        <f>SUM(HEALTH_CALLED)</f>
        <v>14005894</v>
      </c>
      <c r="S60" s="1">
        <f>SUM(HEALTH_REFUNDED)</f>
        <v>500000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163</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260886.79985198303</v>
      </c>
      <c r="E6" s="1">
        <v>0</v>
      </c>
      <c r="F6" s="1">
        <v>0</v>
      </c>
      <c r="G6" s="9">
        <f>SUM(AL_FINANCIAL)</f>
        <v>260886.79985198303</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1967856.5995589423</v>
      </c>
      <c r="G8" s="9">
        <f>SUM(AZ_FINANCIAL)</f>
        <v>1967856.5995589423</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26984000</v>
      </c>
      <c r="L10" s="6"/>
      <c r="V10" s="9"/>
    </row>
    <row r="11" spans="1:22">
      <c r="A11" s="1" t="s">
        <v>18</v>
      </c>
      <c r="B11" s="6">
        <v>0</v>
      </c>
      <c r="C11" s="1">
        <v>0</v>
      </c>
      <c r="D11" s="1">
        <v>156302.50562513131</v>
      </c>
      <c r="E11" s="1">
        <v>0</v>
      </c>
      <c r="F11" s="1">
        <v>0</v>
      </c>
      <c r="G11" s="9">
        <f>SUM(CO_FINANCIAL)</f>
        <v>156302.50562513131</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11200897.35</v>
      </c>
      <c r="L13" s="6"/>
      <c r="V13" s="9"/>
    </row>
    <row r="14" spans="1:22">
      <c r="A14" s="1" t="s">
        <v>23</v>
      </c>
      <c r="B14" s="6">
        <v>0</v>
      </c>
      <c r="C14" s="1">
        <v>0</v>
      </c>
      <c r="D14" s="1">
        <v>0</v>
      </c>
      <c r="E14" s="1">
        <v>0</v>
      </c>
      <c r="F14" s="1">
        <v>0</v>
      </c>
      <c r="G14" s="9">
        <f>SUM(DC_FINANCIAL)</f>
        <v>0</v>
      </c>
      <c r="I14" s="13" t="s">
        <v>24</v>
      </c>
      <c r="J14" s="16">
        <v>651431.25799999991</v>
      </c>
      <c r="L14" s="6"/>
      <c r="V14" s="9"/>
    </row>
    <row r="15" spans="1:22">
      <c r="A15" s="1" t="s">
        <v>25</v>
      </c>
      <c r="B15" s="6">
        <v>0</v>
      </c>
      <c r="C15" s="1">
        <v>0</v>
      </c>
      <c r="D15" s="1">
        <v>0</v>
      </c>
      <c r="E15" s="1">
        <v>0</v>
      </c>
      <c r="F15" s="1">
        <v>2657463.5965794986</v>
      </c>
      <c r="G15" s="9">
        <f>SUM(FL_FINANCIAL)</f>
        <v>2657463.5965794986</v>
      </c>
      <c r="I15" s="13" t="s">
        <v>26</v>
      </c>
      <c r="J15" s="16">
        <v>3494228.4752559112</v>
      </c>
      <c r="L15" s="6">
        <v>168904</v>
      </c>
      <c r="M15" s="1">
        <v>0</v>
      </c>
      <c r="O15" s="1">
        <v>279636</v>
      </c>
      <c r="P15" s="1">
        <v>0</v>
      </c>
      <c r="R15" s="1">
        <v>1649138</v>
      </c>
      <c r="S15" s="1">
        <v>0</v>
      </c>
      <c r="U15" s="1">
        <v>0</v>
      </c>
      <c r="V15" s="9">
        <v>0</v>
      </c>
    </row>
    <row r="16" spans="1:22">
      <c r="A16" s="1" t="s">
        <v>27</v>
      </c>
      <c r="B16" s="6">
        <v>0</v>
      </c>
      <c r="C16" s="1">
        <v>0</v>
      </c>
      <c r="D16" s="1">
        <v>0</v>
      </c>
      <c r="E16" s="1">
        <v>0</v>
      </c>
      <c r="F16" s="1">
        <v>0</v>
      </c>
      <c r="G16" s="9">
        <f>SUM(GA_FINANCIAL)</f>
        <v>0</v>
      </c>
      <c r="I16" s="13" t="s">
        <v>28</v>
      </c>
      <c r="J16" s="16">
        <v>21089619.089000002</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26984000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9481337.9656316638</v>
      </c>
      <c r="G24" s="9">
        <f>SUM(LA_FINANCIAL)</f>
        <v>9481337.9656316638</v>
      </c>
      <c r="I24" s="13" t="s">
        <v>43</v>
      </c>
      <c r="J24" s="16">
        <v>6846094.5524662156</v>
      </c>
      <c r="L24" s="6">
        <v>2691000</v>
      </c>
      <c r="M24" s="1">
        <v>0</v>
      </c>
      <c r="O24" s="1">
        <v>0</v>
      </c>
      <c r="P24" s="1">
        <v>0</v>
      </c>
      <c r="R24" s="1">
        <v>3909000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22279.961261161552</v>
      </c>
      <c r="E26" s="1">
        <v>0</v>
      </c>
      <c r="F26" s="1">
        <v>0</v>
      </c>
      <c r="G26" s="9">
        <f>SUM(MD_FINANCIAL)</f>
        <v>22279.961261161552</v>
      </c>
      <c r="I26" s="13" t="s">
        <v>46</v>
      </c>
      <c r="J26" s="16">
        <f>SUM(ADD_FINANCIAL)-SUM(LESS_FINANCIAL)</f>
        <v>29590081.619789705</v>
      </c>
      <c r="L26" s="6"/>
      <c r="V26" s="9"/>
    </row>
    <row r="27" spans="1:22">
      <c r="A27" s="1" t="s">
        <v>47</v>
      </c>
      <c r="B27" s="6">
        <v>0</v>
      </c>
      <c r="C27" s="1">
        <v>0</v>
      </c>
      <c r="D27" s="1">
        <v>0</v>
      </c>
      <c r="E27" s="1">
        <v>0</v>
      </c>
      <c r="F27" s="1">
        <v>0</v>
      </c>
      <c r="G27" s="9">
        <f>SUM(MA_FINANCIAL)</f>
        <v>0</v>
      </c>
      <c r="I27" s="13" t="s">
        <v>48</v>
      </c>
      <c r="J27" s="16">
        <f>SUM(ALL_BLOCKS)</f>
        <v>29590081.61978969</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10704844.939633595</v>
      </c>
      <c r="E30" s="1">
        <v>0</v>
      </c>
      <c r="F30" s="1">
        <v>0</v>
      </c>
      <c r="G30" s="9">
        <f>SUM(MS_FINANCIAL)</f>
        <v>10704844.939633595</v>
      </c>
      <c r="L30" s="6">
        <v>0</v>
      </c>
      <c r="M30" s="1">
        <v>0</v>
      </c>
      <c r="O30" s="1">
        <v>0</v>
      </c>
      <c r="P30" s="1">
        <v>0</v>
      </c>
      <c r="R30" s="1">
        <v>0</v>
      </c>
      <c r="S30" s="1">
        <v>0</v>
      </c>
      <c r="U30" s="1">
        <v>0</v>
      </c>
      <c r="V30" s="9">
        <v>0</v>
      </c>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873727.40843348368</v>
      </c>
      <c r="E37" s="1">
        <v>0</v>
      </c>
      <c r="F37" s="1">
        <v>0</v>
      </c>
      <c r="G37" s="9">
        <f>SUM(NM_FINANCIAL)</f>
        <v>873727.40843348368</v>
      </c>
      <c r="L37" s="6">
        <v>0</v>
      </c>
      <c r="M37" s="1">
        <v>0</v>
      </c>
      <c r="O37" s="1">
        <v>0</v>
      </c>
      <c r="P37" s="1">
        <v>0</v>
      </c>
      <c r="R37" s="1">
        <v>500000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3139562.8783329907</v>
      </c>
      <c r="E44" s="1">
        <v>0</v>
      </c>
      <c r="F44" s="1">
        <v>0</v>
      </c>
      <c r="G44" s="9">
        <f>SUM(PA_FINANCIAL)</f>
        <v>3139562.8783329907</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222181.258</v>
      </c>
      <c r="E50" s="1">
        <v>0</v>
      </c>
      <c r="F50" s="1">
        <v>111090.629</v>
      </c>
      <c r="G50" s="9">
        <f>SUM(TX_FINANCIAL)</f>
        <v>333271.88699999999</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-7452.9221187548828</v>
      </c>
      <c r="G53" s="9">
        <f>SUM(VA_FINANCIAL)</f>
        <v>-7452.9221187548828</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15379785.751138344</v>
      </c>
      <c r="E60" s="1">
        <f>SUM(UNALLOCATED)</f>
        <v>0</v>
      </c>
      <c r="F60" s="1">
        <f>SUM(LTC)</f>
        <v>14210295.868651351</v>
      </c>
      <c r="G60" s="9">
        <f>SUM(ALL_BLOCKS)</f>
        <v>29590081.61978969</v>
      </c>
      <c r="L60" s="6">
        <f>SUM(LIFE_CALLED)</f>
        <v>2859904</v>
      </c>
      <c r="M60" s="1">
        <f>SUM(LIFE_REFUNDED)</f>
        <v>0</v>
      </c>
      <c r="O60" s="1">
        <f>SUM(ALLOC_CALLED)</f>
        <v>279636</v>
      </c>
      <c r="P60" s="1">
        <f>SUM(ALLOC_REFUNDED)</f>
        <v>0</v>
      </c>
      <c r="R60" s="1">
        <f>SUM(HEALTH_CALLED)</f>
        <v>6058138</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164</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15.051881993896236</v>
      </c>
      <c r="C9" s="1">
        <v>0</v>
      </c>
      <c r="D9" s="1">
        <v>2.9481180061037642</v>
      </c>
      <c r="E9" s="1">
        <v>0</v>
      </c>
      <c r="F9" s="1">
        <v>0</v>
      </c>
      <c r="G9" s="9">
        <f>SUM(AR_FINANCIAL)</f>
        <v>18</v>
      </c>
      <c r="I9" s="13"/>
      <c r="J9" s="16"/>
      <c r="L9" s="6"/>
      <c r="V9" s="9"/>
    </row>
    <row r="10" spans="1:22">
      <c r="A10" s="1" t="s">
        <v>16</v>
      </c>
      <c r="B10" s="6">
        <v>0</v>
      </c>
      <c r="C10" s="1">
        <v>0</v>
      </c>
      <c r="D10" s="1">
        <v>0</v>
      </c>
      <c r="E10" s="1">
        <v>0</v>
      </c>
      <c r="F10" s="1">
        <v>0</v>
      </c>
      <c r="G10" s="9">
        <f>SUM(CA_FINANCIAL)</f>
        <v>0</v>
      </c>
      <c r="I10" s="13" t="s">
        <v>17</v>
      </c>
      <c r="J10" s="16">
        <v>0</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26.309859154929576</v>
      </c>
      <c r="C13" s="1">
        <v>0</v>
      </c>
      <c r="D13" s="1">
        <v>1.6901408450704225</v>
      </c>
      <c r="E13" s="1">
        <v>0</v>
      </c>
      <c r="F13" s="1">
        <v>0</v>
      </c>
      <c r="G13" s="9">
        <f>SUM(DE_FINANCIAL)</f>
        <v>28</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127564.99999999999</v>
      </c>
      <c r="L15" s="6"/>
      <c r="V15" s="9"/>
    </row>
    <row r="16" spans="1:22">
      <c r="A16" s="1" t="s">
        <v>27</v>
      </c>
      <c r="B16" s="6">
        <v>196.81253852249714</v>
      </c>
      <c r="C16" s="1">
        <v>0</v>
      </c>
      <c r="D16" s="1">
        <v>23.187461477502861</v>
      </c>
      <c r="E16" s="1">
        <v>0</v>
      </c>
      <c r="F16" s="1">
        <v>0</v>
      </c>
      <c r="G16" s="9">
        <f>SUM(GA_FINANCIAL)</f>
        <v>220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49</v>
      </c>
      <c r="C19" s="1">
        <v>0</v>
      </c>
      <c r="D19" s="1">
        <v>0</v>
      </c>
      <c r="E19" s="1">
        <v>0</v>
      </c>
      <c r="F19" s="1">
        <v>0</v>
      </c>
      <c r="G19" s="9">
        <f>SUM(IL_FINANCIAL)</f>
        <v>49</v>
      </c>
      <c r="I19" s="13" t="s">
        <v>33</v>
      </c>
      <c r="J19" s="16">
        <v>0</v>
      </c>
      <c r="L19" s="6"/>
      <c r="V19" s="9"/>
    </row>
    <row r="20" spans="1:22">
      <c r="A20" s="1" t="s">
        <v>34</v>
      </c>
      <c r="B20" s="6">
        <v>100.17907769603445</v>
      </c>
      <c r="C20" s="1">
        <v>0</v>
      </c>
      <c r="D20" s="1">
        <v>8.8209223039655473</v>
      </c>
      <c r="E20" s="1">
        <v>0</v>
      </c>
      <c r="F20" s="1">
        <v>0</v>
      </c>
      <c r="G20" s="9">
        <f>SUM(IN_FINANCIAL)</f>
        <v>109</v>
      </c>
      <c r="I20" s="13" t="s">
        <v>35</v>
      </c>
      <c r="J20" s="16">
        <v>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1134.2397198353419</v>
      </c>
      <c r="C23" s="1">
        <v>0</v>
      </c>
      <c r="D23" s="1">
        <v>1083.7602801646581</v>
      </c>
      <c r="E23" s="1">
        <v>0</v>
      </c>
      <c r="F23" s="1">
        <v>0</v>
      </c>
      <c r="G23" s="9">
        <f>SUM(KY_FINANCIAL)</f>
        <v>2218</v>
      </c>
      <c r="I23" s="13" t="s">
        <v>41</v>
      </c>
      <c r="J23" s="16"/>
      <c r="L23" s="6"/>
      <c r="V23" s="9"/>
    </row>
    <row r="24" spans="1:22">
      <c r="A24" s="1" t="s">
        <v>42</v>
      </c>
      <c r="B24" s="6">
        <v>407.84463862242825</v>
      </c>
      <c r="C24" s="1">
        <v>0</v>
      </c>
      <c r="D24" s="1">
        <v>504.15536137757175</v>
      </c>
      <c r="E24" s="1">
        <v>0</v>
      </c>
      <c r="F24" s="1">
        <v>0</v>
      </c>
      <c r="G24" s="9">
        <f>SUM(LA_FINANCIAL)</f>
        <v>912</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308.51986317810849</v>
      </c>
      <c r="C26" s="1">
        <v>0</v>
      </c>
      <c r="D26" s="1">
        <v>16.480136821891502</v>
      </c>
      <c r="E26" s="1">
        <v>0</v>
      </c>
      <c r="F26" s="1">
        <v>0</v>
      </c>
      <c r="G26" s="9">
        <f>SUM(MD_FINANCIAL)</f>
        <v>325</v>
      </c>
      <c r="I26" s="13" t="s">
        <v>46</v>
      </c>
      <c r="J26" s="16">
        <f>SUM(ADD_FINANCIAL)-SUM(LESS_FINANCIAL)</f>
        <v>127564.99999999999</v>
      </c>
      <c r="L26" s="6"/>
      <c r="V26" s="9"/>
    </row>
    <row r="27" spans="1:22">
      <c r="A27" s="1" t="s">
        <v>47</v>
      </c>
      <c r="B27" s="6">
        <v>0</v>
      </c>
      <c r="C27" s="1">
        <v>0</v>
      </c>
      <c r="D27" s="1">
        <v>0</v>
      </c>
      <c r="E27" s="1">
        <v>0</v>
      </c>
      <c r="F27" s="1">
        <v>0</v>
      </c>
      <c r="G27" s="9">
        <f>SUM(MA_FINANCIAL)</f>
        <v>0</v>
      </c>
      <c r="I27" s="13" t="s">
        <v>48</v>
      </c>
      <c r="J27" s="16">
        <f>SUM(ALL_BLOCKS)</f>
        <v>127565</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16.142095914742452</v>
      </c>
      <c r="C30" s="1">
        <v>0</v>
      </c>
      <c r="D30" s="1">
        <v>15.857904085257548</v>
      </c>
      <c r="E30" s="1">
        <v>0</v>
      </c>
      <c r="F30" s="1">
        <v>0</v>
      </c>
      <c r="G30" s="9">
        <f>SUM(MS_FINANCIAL)</f>
        <v>32</v>
      </c>
      <c r="L30" s="6"/>
      <c r="V30" s="9"/>
    </row>
    <row r="31" spans="1:22">
      <c r="A31" s="1" t="s">
        <v>52</v>
      </c>
      <c r="B31" s="6">
        <v>104.94237260228863</v>
      </c>
      <c r="C31" s="1">
        <v>0</v>
      </c>
      <c r="D31" s="1">
        <v>368.05762739771137</v>
      </c>
      <c r="E31" s="1">
        <v>0</v>
      </c>
      <c r="F31" s="1">
        <v>0</v>
      </c>
      <c r="G31" s="9">
        <f>SUM(MO_FINANCIAL)</f>
        <v>473</v>
      </c>
      <c r="L31" s="6"/>
      <c r="V31" s="9"/>
    </row>
    <row r="32" spans="1:22">
      <c r="A32" s="1" t="s">
        <v>53</v>
      </c>
      <c r="B32" s="6">
        <v>0</v>
      </c>
      <c r="C32" s="1">
        <v>0</v>
      </c>
      <c r="D32" s="1">
        <v>0</v>
      </c>
      <c r="E32" s="1">
        <v>0</v>
      </c>
      <c r="F32" s="1">
        <v>0</v>
      </c>
      <c r="G32" s="9">
        <f>SUM(MT_FINANCIAL)</f>
        <v>0</v>
      </c>
      <c r="L32" s="6"/>
      <c r="V32" s="9"/>
    </row>
    <row r="33" spans="1:22">
      <c r="A33" s="1" t="s">
        <v>54</v>
      </c>
      <c r="B33" s="6">
        <v>3</v>
      </c>
      <c r="C33" s="1">
        <v>0</v>
      </c>
      <c r="D33" s="1">
        <v>0</v>
      </c>
      <c r="E33" s="1">
        <v>0</v>
      </c>
      <c r="F33" s="1">
        <v>0</v>
      </c>
      <c r="G33" s="9">
        <f>SUM(NE_FINANCIAL)</f>
        <v>3</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8658.2419994976844</v>
      </c>
      <c r="C39" s="1">
        <v>0</v>
      </c>
      <c r="D39" s="1">
        <v>5067.7580005023146</v>
      </c>
      <c r="E39" s="1">
        <v>0</v>
      </c>
      <c r="F39" s="1">
        <v>0</v>
      </c>
      <c r="G39" s="9">
        <f>SUM(NC_FINANCIAL)</f>
        <v>13726</v>
      </c>
      <c r="L39" s="6"/>
      <c r="V39" s="9"/>
    </row>
    <row r="40" spans="1:22">
      <c r="A40" s="1" t="s">
        <v>61</v>
      </c>
      <c r="B40" s="6">
        <v>1</v>
      </c>
      <c r="C40" s="1">
        <v>0</v>
      </c>
      <c r="D40" s="1">
        <v>0</v>
      </c>
      <c r="E40" s="1">
        <v>0</v>
      </c>
      <c r="F40" s="1">
        <v>0</v>
      </c>
      <c r="G40" s="9">
        <f>SUM(ND_FINANCIAL)</f>
        <v>1</v>
      </c>
      <c r="L40" s="6"/>
      <c r="V40" s="9"/>
    </row>
    <row r="41" spans="1:22">
      <c r="A41" s="1" t="s">
        <v>62</v>
      </c>
      <c r="B41" s="6">
        <v>352.31982337170791</v>
      </c>
      <c r="C41" s="1">
        <v>0</v>
      </c>
      <c r="D41" s="1">
        <v>17.680176628292067</v>
      </c>
      <c r="E41" s="1">
        <v>0</v>
      </c>
      <c r="F41" s="1">
        <v>0</v>
      </c>
      <c r="G41" s="9">
        <f>SUM(OH_FINANCIAL)</f>
        <v>370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176.99325626204239</v>
      </c>
      <c r="C47" s="1">
        <v>0</v>
      </c>
      <c r="D47" s="1">
        <v>25.00674373795761</v>
      </c>
      <c r="E47" s="1">
        <v>0</v>
      </c>
      <c r="F47" s="1">
        <v>0</v>
      </c>
      <c r="G47" s="9">
        <f>SUM(SC_FINANCIAL)</f>
        <v>202</v>
      </c>
      <c r="L47" s="6"/>
      <c r="V47" s="9"/>
    </row>
    <row r="48" spans="1:22">
      <c r="A48" s="1" t="s">
        <v>69</v>
      </c>
      <c r="B48" s="6">
        <v>0</v>
      </c>
      <c r="C48" s="1">
        <v>0</v>
      </c>
      <c r="D48" s="1">
        <v>0</v>
      </c>
      <c r="E48" s="1">
        <v>0</v>
      </c>
      <c r="F48" s="1">
        <v>0</v>
      </c>
      <c r="G48" s="9">
        <f>SUM(SD_FINANCIAL)</f>
        <v>0</v>
      </c>
      <c r="L48" s="6"/>
      <c r="V48" s="9"/>
    </row>
    <row r="49" spans="1:22">
      <c r="A49" s="1" t="s">
        <v>70</v>
      </c>
      <c r="B49" s="6">
        <v>5025.0389482047012</v>
      </c>
      <c r="C49" s="1">
        <v>0</v>
      </c>
      <c r="D49" s="1">
        <v>2009.961051795299</v>
      </c>
      <c r="E49" s="1">
        <v>0</v>
      </c>
      <c r="F49" s="1">
        <v>0</v>
      </c>
      <c r="G49" s="9">
        <f>SUM(TN_FINANCIAL)</f>
        <v>7035</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83720.84661547649</v>
      </c>
      <c r="C53" s="1">
        <v>0</v>
      </c>
      <c r="D53" s="1">
        <v>17015.153384523506</v>
      </c>
      <c r="E53" s="1">
        <v>0</v>
      </c>
      <c r="F53" s="1">
        <v>0</v>
      </c>
      <c r="G53" s="9">
        <f>SUM(VA_FINANCIAL)</f>
        <v>100736</v>
      </c>
      <c r="L53" s="6">
        <v>97500</v>
      </c>
      <c r="M53" s="1">
        <v>0</v>
      </c>
      <c r="O53" s="1">
        <v>0</v>
      </c>
      <c r="P53" s="1">
        <v>0</v>
      </c>
      <c r="R53" s="1">
        <v>15000</v>
      </c>
      <c r="S53" s="1">
        <v>0</v>
      </c>
      <c r="U53" s="1">
        <v>0</v>
      </c>
      <c r="V53" s="9">
        <v>0</v>
      </c>
    </row>
    <row r="54" spans="1:22">
      <c r="A54" s="1" t="s">
        <v>75</v>
      </c>
      <c r="B54" s="6">
        <v>0</v>
      </c>
      <c r="C54" s="1">
        <v>0</v>
      </c>
      <c r="D54" s="1">
        <v>0</v>
      </c>
      <c r="E54" s="1">
        <v>0</v>
      </c>
      <c r="F54" s="1">
        <v>0</v>
      </c>
      <c r="G54" s="9">
        <f>SUM(WA_FINANCIAL)</f>
        <v>0</v>
      </c>
      <c r="L54" s="6"/>
      <c r="V54" s="9"/>
    </row>
    <row r="55" spans="1:22">
      <c r="A55" s="1" t="s">
        <v>76</v>
      </c>
      <c r="B55" s="6">
        <v>947.76453636507404</v>
      </c>
      <c r="C55" s="1">
        <v>0</v>
      </c>
      <c r="D55" s="1">
        <v>160.23546363492594</v>
      </c>
      <c r="E55" s="1">
        <v>0</v>
      </c>
      <c r="F55" s="1">
        <v>0</v>
      </c>
      <c r="G55" s="9">
        <f>SUM(WV_FINANCIAL)</f>
        <v>1108</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101244.24722669797</v>
      </c>
      <c r="C60" s="1">
        <f>SUM(ALLOCATED)</f>
        <v>0</v>
      </c>
      <c r="D60" s="1">
        <f>SUM(HEALTH)</f>
        <v>26320.752773302029</v>
      </c>
      <c r="E60" s="1">
        <f>SUM(UNALLOCATED)</f>
        <v>0</v>
      </c>
      <c r="F60" s="1">
        <f>SUM(LTC)</f>
        <v>0</v>
      </c>
      <c r="G60" s="9">
        <f>SUM(ALL_BLOCKS)</f>
        <v>127565</v>
      </c>
      <c r="L60" s="6">
        <f>SUM(LIFE_CALLED)</f>
        <v>97500</v>
      </c>
      <c r="M60" s="1">
        <f>SUM(LIFE_REFUNDED)</f>
        <v>0</v>
      </c>
      <c r="O60" s="1">
        <f>SUM(ALLOC_CALLED)</f>
        <v>0</v>
      </c>
      <c r="P60" s="1">
        <f>SUM(ALLOC_REFUNDED)</f>
        <v>0</v>
      </c>
      <c r="R60" s="1">
        <f>SUM(HEALTH_CALLED)</f>
        <v>15000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165</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1940.4173473183416</v>
      </c>
      <c r="C6" s="1">
        <v>1581.5406630616956</v>
      </c>
      <c r="D6" s="1">
        <v>1287.029764665376</v>
      </c>
      <c r="E6" s="1">
        <v>0</v>
      </c>
      <c r="F6" s="1">
        <v>0</v>
      </c>
      <c r="G6" s="9">
        <f>SUM(AL_FINANCIAL)</f>
        <v>4808.9877750454134</v>
      </c>
      <c r="L6" s="6"/>
      <c r="V6" s="9"/>
    </row>
    <row r="7" spans="1:22">
      <c r="A7" s="1" t="s">
        <v>12</v>
      </c>
      <c r="B7" s="6">
        <v>0</v>
      </c>
      <c r="C7" s="1">
        <v>0</v>
      </c>
      <c r="D7" s="1">
        <v>0</v>
      </c>
      <c r="E7" s="1">
        <v>0</v>
      </c>
      <c r="F7" s="1">
        <v>0</v>
      </c>
      <c r="G7" s="9">
        <f>SUM(AK_FINANCIAL)</f>
        <v>0</v>
      </c>
      <c r="I7" s="12"/>
      <c r="J7" s="15"/>
      <c r="L7" s="6"/>
      <c r="V7" s="9"/>
    </row>
    <row r="8" spans="1:22">
      <c r="A8" s="1" t="s">
        <v>13</v>
      </c>
      <c r="B8" s="6">
        <v>1259.3143150302649</v>
      </c>
      <c r="C8" s="1">
        <v>1026.4064066158351</v>
      </c>
      <c r="D8" s="1">
        <v>835.27134446259902</v>
      </c>
      <c r="E8" s="1">
        <v>0</v>
      </c>
      <c r="F8" s="1">
        <v>0</v>
      </c>
      <c r="G8" s="9">
        <f>SUM(AZ_FINANCIAL)</f>
        <v>3120.992066108699</v>
      </c>
      <c r="I8" s="13" t="s">
        <v>14</v>
      </c>
      <c r="J8" s="16"/>
      <c r="L8" s="6"/>
      <c r="V8" s="9"/>
    </row>
    <row r="9" spans="1:22">
      <c r="A9" s="1" t="s">
        <v>15</v>
      </c>
      <c r="B9" s="6">
        <v>1276.6646884831009</v>
      </c>
      <c r="C9" s="1">
        <v>1040.5478598309844</v>
      </c>
      <c r="D9" s="1">
        <v>846.77940848435219</v>
      </c>
      <c r="E9" s="1">
        <v>0</v>
      </c>
      <c r="F9" s="1">
        <v>0</v>
      </c>
      <c r="G9" s="9">
        <f>SUM(AR_FINANCIAL)</f>
        <v>3163.9919567984375</v>
      </c>
      <c r="I9" s="13"/>
      <c r="J9" s="16"/>
      <c r="L9" s="6"/>
      <c r="V9" s="9"/>
    </row>
    <row r="10" spans="1:22">
      <c r="A10" s="1" t="s">
        <v>16</v>
      </c>
      <c r="B10" s="6">
        <v>0</v>
      </c>
      <c r="C10" s="1">
        <v>0</v>
      </c>
      <c r="D10" s="1">
        <v>0</v>
      </c>
      <c r="E10" s="1">
        <v>0</v>
      </c>
      <c r="F10" s="1">
        <v>0</v>
      </c>
      <c r="G10" s="9">
        <f>SUM(CA_FINANCIAL)</f>
        <v>0</v>
      </c>
      <c r="I10" s="13" t="s">
        <v>17</v>
      </c>
      <c r="J10" s="16">
        <v>0</v>
      </c>
      <c r="L10" s="6"/>
      <c r="V10" s="9"/>
    </row>
    <row r="11" spans="1:22">
      <c r="A11" s="1" t="s">
        <v>18</v>
      </c>
      <c r="B11" s="6">
        <v>430.1278628075176</v>
      </c>
      <c r="C11" s="1">
        <v>350.57649133370086</v>
      </c>
      <c r="D11" s="1">
        <v>285.29293598113765</v>
      </c>
      <c r="E11" s="1">
        <v>0</v>
      </c>
      <c r="F11" s="1">
        <v>0</v>
      </c>
      <c r="G11" s="9">
        <f>SUM(CO_FINANCIAL)</f>
        <v>1065.9972901223562</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323.20114269120222</v>
      </c>
      <c r="C13" s="1">
        <v>263.42567500778085</v>
      </c>
      <c r="D13" s="1">
        <v>214.37114607963537</v>
      </c>
      <c r="E13" s="1">
        <v>0</v>
      </c>
      <c r="F13" s="1">
        <v>0</v>
      </c>
      <c r="G13" s="9">
        <f>SUM(DE_FINANCIAL)</f>
        <v>800.99796377861844</v>
      </c>
      <c r="I13" s="13" t="s">
        <v>22</v>
      </c>
      <c r="J13" s="16">
        <v>0</v>
      </c>
      <c r="L13" s="6"/>
      <c r="V13" s="9"/>
    </row>
    <row r="14" spans="1:22">
      <c r="A14" s="1" t="s">
        <v>23</v>
      </c>
      <c r="B14" s="6">
        <v>518.49371829986876</v>
      </c>
      <c r="C14" s="1">
        <v>422.59924142946119</v>
      </c>
      <c r="D14" s="1">
        <v>343.90377367332263</v>
      </c>
      <c r="E14" s="1">
        <v>0</v>
      </c>
      <c r="F14" s="1">
        <v>0</v>
      </c>
      <c r="G14" s="9">
        <f>SUM(DC_FINANCIAL)</f>
        <v>1284.9967334026526</v>
      </c>
      <c r="I14" s="13" t="s">
        <v>24</v>
      </c>
      <c r="J14" s="16">
        <v>0</v>
      </c>
      <c r="L14" s="6"/>
      <c r="V14" s="9"/>
    </row>
    <row r="15" spans="1:22">
      <c r="A15" s="1" t="s">
        <v>25</v>
      </c>
      <c r="B15" s="6">
        <v>28858.109519693859</v>
      </c>
      <c r="C15" s="1">
        <v>23520.854277848292</v>
      </c>
      <c r="D15" s="1">
        <v>19140.854391529985</v>
      </c>
      <c r="E15" s="1">
        <v>0</v>
      </c>
      <c r="F15" s="1">
        <v>0</v>
      </c>
      <c r="G15" s="9">
        <f>SUM(FL_FINANCIAL)</f>
        <v>71519.818189072132</v>
      </c>
      <c r="I15" s="13" t="s">
        <v>26</v>
      </c>
      <c r="J15" s="16">
        <v>566459.56000000006</v>
      </c>
      <c r="L15" s="6"/>
      <c r="V15" s="9"/>
    </row>
    <row r="16" spans="1:22">
      <c r="A16" s="1" t="s">
        <v>27</v>
      </c>
      <c r="B16" s="6">
        <v>14736.923014370508</v>
      </c>
      <c r="C16" s="1">
        <v>12011.355715741794</v>
      </c>
      <c r="D16" s="1">
        <v>9774.6284248021493</v>
      </c>
      <c r="E16" s="1">
        <v>0</v>
      </c>
      <c r="F16" s="1">
        <v>0</v>
      </c>
      <c r="G16" s="9">
        <f>SUM(GA_FINANCIAL)</f>
        <v>36522.90715491445</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2021.1167587268812</v>
      </c>
      <c r="C19" s="1">
        <v>1647.3148640623897</v>
      </c>
      <c r="D19" s="1">
        <v>1340.5556438363217</v>
      </c>
      <c r="E19" s="1">
        <v>0</v>
      </c>
      <c r="F19" s="1">
        <v>0</v>
      </c>
      <c r="G19" s="9">
        <f>SUM(IL_FINANCIAL)</f>
        <v>5008.9872666255924</v>
      </c>
      <c r="I19" s="13" t="s">
        <v>33</v>
      </c>
      <c r="J19" s="16">
        <v>0</v>
      </c>
      <c r="L19" s="6"/>
      <c r="V19" s="9"/>
    </row>
    <row r="20" spans="1:22">
      <c r="A20" s="1" t="s">
        <v>34</v>
      </c>
      <c r="B20" s="6">
        <v>4762.8792613320238</v>
      </c>
      <c r="C20" s="1">
        <v>3881.9933430609799</v>
      </c>
      <c r="D20" s="1">
        <v>3159.0973886691827</v>
      </c>
      <c r="E20" s="1">
        <v>0</v>
      </c>
      <c r="F20" s="1">
        <v>0</v>
      </c>
      <c r="G20" s="9">
        <f>SUM(IN_FINANCIAL)</f>
        <v>11803.969993062186</v>
      </c>
      <c r="I20" s="13" t="s">
        <v>35</v>
      </c>
      <c r="J20" s="16">
        <v>0</v>
      </c>
      <c r="L20" s="6"/>
      <c r="V20" s="9"/>
    </row>
    <row r="21" spans="1:22">
      <c r="A21" s="1" t="s">
        <v>36</v>
      </c>
      <c r="B21" s="6">
        <v>532.21261823932048</v>
      </c>
      <c r="C21" s="1">
        <v>433.78085559957913</v>
      </c>
      <c r="D21" s="1">
        <v>353.00317313238327</v>
      </c>
      <c r="E21" s="1">
        <v>0</v>
      </c>
      <c r="F21" s="1">
        <v>0</v>
      </c>
      <c r="G21" s="9">
        <f>SUM(IA_FINANCIAL)</f>
        <v>1318.9966469712829</v>
      </c>
      <c r="I21" s="13" t="s">
        <v>37</v>
      </c>
      <c r="J21" s="16"/>
      <c r="L21" s="6"/>
      <c r="V21" s="9"/>
    </row>
    <row r="22" spans="1:22">
      <c r="A22" s="1" t="s">
        <v>38</v>
      </c>
      <c r="B22" s="6">
        <v>358.30538665391708</v>
      </c>
      <c r="C22" s="1">
        <v>292.03745244308288</v>
      </c>
      <c r="D22" s="1">
        <v>237.65490351899643</v>
      </c>
      <c r="E22" s="1">
        <v>0</v>
      </c>
      <c r="F22" s="1">
        <v>0</v>
      </c>
      <c r="G22" s="9">
        <f>SUM(KS_FINANCIAL)</f>
        <v>887.99774261599646</v>
      </c>
      <c r="I22" s="13" t="s">
        <v>39</v>
      </c>
      <c r="J22" s="16">
        <v>0</v>
      </c>
      <c r="L22" s="6"/>
      <c r="V22" s="9"/>
    </row>
    <row r="23" spans="1:22">
      <c r="A23" s="1" t="s">
        <v>40</v>
      </c>
      <c r="B23" s="6">
        <v>3179.5568094964715</v>
      </c>
      <c r="C23" s="1">
        <v>2591.5035194273569</v>
      </c>
      <c r="D23" s="1">
        <v>2108.9196393352395</v>
      </c>
      <c r="E23" s="1">
        <v>0</v>
      </c>
      <c r="F23" s="1">
        <v>0</v>
      </c>
      <c r="G23" s="9">
        <f>SUM(KY_FINANCIAL)</f>
        <v>7879.9799682590674</v>
      </c>
      <c r="I23" s="13" t="s">
        <v>41</v>
      </c>
      <c r="J23" s="16"/>
      <c r="L23" s="6"/>
      <c r="V23" s="9"/>
    </row>
    <row r="24" spans="1:22">
      <c r="A24" s="1" t="s">
        <v>42</v>
      </c>
      <c r="B24" s="6">
        <v>8782.113446534353</v>
      </c>
      <c r="C24" s="1">
        <v>7157.8774239005625</v>
      </c>
      <c r="D24" s="1">
        <v>5824.9538007781075</v>
      </c>
      <c r="E24" s="1">
        <v>0</v>
      </c>
      <c r="F24" s="1">
        <v>0</v>
      </c>
      <c r="G24" s="9">
        <f>SUM(LA_FINANCIAL)</f>
        <v>21764.944671213023</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4628.1112442797621</v>
      </c>
      <c r="C26" s="1">
        <v>3772.1504273898199</v>
      </c>
      <c r="D26" s="1">
        <v>3069.7091704537042</v>
      </c>
      <c r="E26" s="1">
        <v>0</v>
      </c>
      <c r="F26" s="1">
        <v>0</v>
      </c>
      <c r="G26" s="9">
        <f>SUM(MD_FINANCIAL)</f>
        <v>11469.970842123286</v>
      </c>
      <c r="I26" s="13" t="s">
        <v>46</v>
      </c>
      <c r="J26" s="16">
        <f>SUM(ADD_FINANCIAL)-SUM(LESS_FINANCIAL)</f>
        <v>566459.56000000006</v>
      </c>
      <c r="L26" s="6"/>
      <c r="V26" s="9"/>
    </row>
    <row r="27" spans="1:22">
      <c r="A27" s="1" t="s">
        <v>47</v>
      </c>
      <c r="B27" s="6">
        <v>0</v>
      </c>
      <c r="C27" s="1">
        <v>0</v>
      </c>
      <c r="D27" s="1">
        <v>0</v>
      </c>
      <c r="E27" s="1">
        <v>0</v>
      </c>
      <c r="F27" s="1">
        <v>0</v>
      </c>
      <c r="G27" s="9">
        <f>SUM(MA_FINANCIAL)</f>
        <v>0</v>
      </c>
      <c r="I27" s="13" t="s">
        <v>48</v>
      </c>
      <c r="J27" s="16">
        <f>SUM(ALL_BLOCKS)</f>
        <v>566459.56000000017</v>
      </c>
      <c r="L27" s="6"/>
      <c r="V27" s="9"/>
    </row>
    <row r="28" spans="1:22">
      <c r="A28" s="1" t="s">
        <v>49</v>
      </c>
      <c r="B28" s="6">
        <v>6101.2789995426574</v>
      </c>
      <c r="C28" s="1">
        <v>4972.8584666574952</v>
      </c>
      <c r="D28" s="1">
        <v>4046.8240947193081</v>
      </c>
      <c r="E28" s="1">
        <v>0</v>
      </c>
      <c r="F28" s="1">
        <v>0</v>
      </c>
      <c r="G28" s="9">
        <f>SUM(MI_FINANCIAL)</f>
        <v>15120.961560919461</v>
      </c>
      <c r="I28" s="14"/>
      <c r="J28" s="17"/>
      <c r="L28" s="6"/>
      <c r="V28" s="9"/>
    </row>
    <row r="29" spans="1:22">
      <c r="A29" s="1" t="s">
        <v>50</v>
      </c>
      <c r="B29" s="6">
        <v>76.260943781070196</v>
      </c>
      <c r="C29" s="1">
        <v>62.156619945656153</v>
      </c>
      <c r="D29" s="1">
        <v>50.581955816543164</v>
      </c>
      <c r="E29" s="1">
        <v>0</v>
      </c>
      <c r="F29" s="1">
        <v>0</v>
      </c>
      <c r="G29" s="9">
        <f>SUM(MN_FINANCIAL)</f>
        <v>188.99951954326951</v>
      </c>
      <c r="L29" s="6"/>
      <c r="V29" s="9"/>
    </row>
    <row r="30" spans="1:22">
      <c r="A30" s="1" t="s">
        <v>51</v>
      </c>
      <c r="B30" s="6">
        <v>2863.2151167749948</v>
      </c>
      <c r="C30" s="1">
        <v>2333.6686515046349</v>
      </c>
      <c r="D30" s="1">
        <v>1899.0981929851332</v>
      </c>
      <c r="E30" s="1">
        <v>0</v>
      </c>
      <c r="F30" s="1">
        <v>0</v>
      </c>
      <c r="G30" s="9">
        <f>SUM(MS_FINANCIAL)</f>
        <v>7095.9819612647625</v>
      </c>
      <c r="L30" s="6"/>
      <c r="V30" s="9"/>
    </row>
    <row r="31" spans="1:22">
      <c r="A31" s="1" t="s">
        <v>52</v>
      </c>
      <c r="B31" s="6">
        <v>1798.7898802963539</v>
      </c>
      <c r="C31" s="1">
        <v>1466.1069403054769</v>
      </c>
      <c r="D31" s="1">
        <v>1193.0918467203676</v>
      </c>
      <c r="E31" s="1">
        <v>0</v>
      </c>
      <c r="F31" s="1">
        <v>0</v>
      </c>
      <c r="G31" s="9">
        <f>SUM(MO_FINANCIAL)</f>
        <v>4457.9886673221981</v>
      </c>
      <c r="L31" s="6"/>
      <c r="V31" s="9"/>
    </row>
    <row r="32" spans="1:22">
      <c r="A32" s="1" t="s">
        <v>53</v>
      </c>
      <c r="B32" s="6">
        <v>0</v>
      </c>
      <c r="C32" s="1">
        <v>0</v>
      </c>
      <c r="D32" s="1">
        <v>0</v>
      </c>
      <c r="E32" s="1">
        <v>0</v>
      </c>
      <c r="F32" s="1">
        <v>0</v>
      </c>
      <c r="G32" s="9">
        <f>SUM(MT_FINANCIAL)</f>
        <v>0</v>
      </c>
      <c r="L32" s="6"/>
      <c r="V32" s="9"/>
    </row>
    <row r="33" spans="1:22">
      <c r="A33" s="1" t="s">
        <v>54</v>
      </c>
      <c r="B33" s="6">
        <v>345.79697788559344</v>
      </c>
      <c r="C33" s="1">
        <v>281.84245128797528</v>
      </c>
      <c r="D33" s="1">
        <v>229.35839224749998</v>
      </c>
      <c r="E33" s="1">
        <v>0</v>
      </c>
      <c r="F33" s="1">
        <v>0</v>
      </c>
      <c r="G33" s="9">
        <f>SUM(NE_FINANCIAL)</f>
        <v>856.99782142106869</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466.8460949984032</v>
      </c>
      <c r="C36" s="1">
        <v>380.50375278901674</v>
      </c>
      <c r="D36" s="1">
        <v>309.64721100391762</v>
      </c>
      <c r="E36" s="1">
        <v>0</v>
      </c>
      <c r="F36" s="1">
        <v>0</v>
      </c>
      <c r="G36" s="9">
        <f>SUM(NJ_FINANCIAL)</f>
        <v>1156.9970587913376</v>
      </c>
      <c r="L36" s="6"/>
      <c r="V36" s="9"/>
    </row>
    <row r="37" spans="1:22">
      <c r="A37" s="1" t="s">
        <v>58</v>
      </c>
      <c r="B37" s="6">
        <v>369.19980719406993</v>
      </c>
      <c r="C37" s="1">
        <v>300.91696957817658</v>
      </c>
      <c r="D37" s="1">
        <v>244.88089720707399</v>
      </c>
      <c r="E37" s="1">
        <v>0</v>
      </c>
      <c r="F37" s="1">
        <v>0</v>
      </c>
      <c r="G37" s="9">
        <f>SUM(NM_FINANCIAL)</f>
        <v>914.99767397932055</v>
      </c>
      <c r="L37" s="6"/>
      <c r="V37" s="9"/>
    </row>
    <row r="38" spans="1:22">
      <c r="A38" s="1" t="s">
        <v>59</v>
      </c>
      <c r="B38" s="6">
        <v>0</v>
      </c>
      <c r="C38" s="1">
        <v>0</v>
      </c>
      <c r="D38" s="1">
        <v>0</v>
      </c>
      <c r="E38" s="1">
        <v>0</v>
      </c>
      <c r="F38" s="1">
        <v>0</v>
      </c>
      <c r="G38" s="9">
        <f>SUM(NY_FINANCIAL)</f>
        <v>0</v>
      </c>
      <c r="L38" s="6"/>
      <c r="V38" s="9"/>
    </row>
    <row r="39" spans="1:22">
      <c r="A39" s="1" t="s">
        <v>60</v>
      </c>
      <c r="B39" s="6">
        <v>34066.449532001025</v>
      </c>
      <c r="C39" s="1">
        <v>27765.921210433109</v>
      </c>
      <c r="D39" s="1">
        <v>22595.41463322279</v>
      </c>
      <c r="E39" s="1">
        <v>0</v>
      </c>
      <c r="F39" s="1">
        <v>0</v>
      </c>
      <c r="G39" s="9">
        <f>SUM(NC_FINANCIAL)</f>
        <v>84427.785375656924</v>
      </c>
      <c r="L39" s="6">
        <v>63000</v>
      </c>
      <c r="M39" s="1">
        <v>0</v>
      </c>
      <c r="O39" s="1">
        <v>40500</v>
      </c>
      <c r="P39" s="1">
        <v>0</v>
      </c>
      <c r="R39" s="1">
        <v>46500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17996.775738218479</v>
      </c>
      <c r="C41" s="1">
        <v>14668.304565164844</v>
      </c>
      <c r="D41" s="1">
        <v>11936.806313912477</v>
      </c>
      <c r="E41" s="1">
        <v>0</v>
      </c>
      <c r="F41" s="1">
        <v>0</v>
      </c>
      <c r="G41" s="9">
        <f>SUM(OH_FINANCIAL)</f>
        <v>44601.886617295801</v>
      </c>
      <c r="L41" s="6"/>
      <c r="V41" s="9"/>
    </row>
    <row r="42" spans="1:22">
      <c r="A42" s="1" t="s">
        <v>63</v>
      </c>
      <c r="B42" s="6">
        <v>3411.9711143530658</v>
      </c>
      <c r="C42" s="1">
        <v>2780.9332183093566</v>
      </c>
      <c r="D42" s="1">
        <v>2263.0741713475609</v>
      </c>
      <c r="E42" s="1">
        <v>0</v>
      </c>
      <c r="F42" s="1">
        <v>0</v>
      </c>
      <c r="G42" s="9">
        <f>SUM(OK_FINANCIAL)</f>
        <v>8455.9785040099832</v>
      </c>
      <c r="L42" s="6"/>
      <c r="V42" s="9"/>
    </row>
    <row r="43" spans="1:22">
      <c r="A43" s="1" t="s">
        <v>64</v>
      </c>
      <c r="B43" s="6">
        <v>0</v>
      </c>
      <c r="C43" s="1">
        <v>0</v>
      </c>
      <c r="D43" s="1">
        <v>0</v>
      </c>
      <c r="E43" s="1">
        <v>0</v>
      </c>
      <c r="F43" s="1">
        <v>0</v>
      </c>
      <c r="G43" s="9">
        <f>SUM(OR_FINANCIAL)</f>
        <v>0</v>
      </c>
      <c r="L43" s="6"/>
      <c r="V43" s="9"/>
    </row>
    <row r="44" spans="1:22">
      <c r="A44" s="1" t="s">
        <v>65</v>
      </c>
      <c r="B44" s="6">
        <v>17021.523351346277</v>
      </c>
      <c r="C44" s="1">
        <v>13873.423346071455</v>
      </c>
      <c r="D44" s="1">
        <v>11289.946064131605</v>
      </c>
      <c r="E44" s="1">
        <v>0</v>
      </c>
      <c r="F44" s="1">
        <v>0</v>
      </c>
      <c r="G44" s="9">
        <f>SUM(PA_FINANCIAL)</f>
        <v>42184.892761549338</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12017.756346959759</v>
      </c>
      <c r="C47" s="1">
        <v>9795.0940130234012</v>
      </c>
      <c r="D47" s="1">
        <v>7971.0739261371527</v>
      </c>
      <c r="E47" s="1">
        <v>0</v>
      </c>
      <c r="F47" s="1">
        <v>0</v>
      </c>
      <c r="G47" s="9">
        <f>SUM(SC_FINANCIAL)</f>
        <v>29783.924286120313</v>
      </c>
      <c r="L47" s="6"/>
      <c r="V47" s="9"/>
    </row>
    <row r="48" spans="1:22">
      <c r="A48" s="1" t="s">
        <v>69</v>
      </c>
      <c r="B48" s="6">
        <v>0</v>
      </c>
      <c r="C48" s="1">
        <v>0</v>
      </c>
      <c r="D48" s="1">
        <v>0</v>
      </c>
      <c r="E48" s="1">
        <v>0</v>
      </c>
      <c r="F48" s="1">
        <v>0</v>
      </c>
      <c r="G48" s="9">
        <f>SUM(SD_FINANCIAL)</f>
        <v>0</v>
      </c>
      <c r="L48" s="6"/>
      <c r="V48" s="9"/>
    </row>
    <row r="49" spans="1:22">
      <c r="A49" s="1" t="s">
        <v>70</v>
      </c>
      <c r="B49" s="6">
        <v>9388.166026212486</v>
      </c>
      <c r="C49" s="1">
        <v>7651.8416734157754</v>
      </c>
      <c r="D49" s="1">
        <v>6226.9331533519044</v>
      </c>
      <c r="E49" s="1">
        <v>0</v>
      </c>
      <c r="F49" s="1">
        <v>0</v>
      </c>
      <c r="G49" s="9">
        <f>SUM(TN_FINANCIAL)</f>
        <v>23266.940852980166</v>
      </c>
      <c r="L49" s="6"/>
      <c r="V49" s="9"/>
    </row>
    <row r="50" spans="1:22">
      <c r="A50" s="1" t="s">
        <v>71</v>
      </c>
      <c r="B50" s="6">
        <v>16852.861581502428</v>
      </c>
      <c r="C50" s="1">
        <v>13735.955265980003</v>
      </c>
      <c r="D50" s="1">
        <v>11178.076976664332</v>
      </c>
      <c r="E50" s="1">
        <v>0</v>
      </c>
      <c r="F50" s="1">
        <v>0</v>
      </c>
      <c r="G50" s="9">
        <f>SUM(TX_FINANCIAL)</f>
        <v>41766.893824146762</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26782.520658266214</v>
      </c>
      <c r="C53" s="1">
        <v>21829.141828110434</v>
      </c>
      <c r="D53" s="1">
        <v>17764.168779253276</v>
      </c>
      <c r="E53" s="1">
        <v>0</v>
      </c>
      <c r="F53" s="1">
        <v>0</v>
      </c>
      <c r="G53" s="9">
        <f>SUM(VA_FINANCIAL)</f>
        <v>66375.831265629924</v>
      </c>
      <c r="L53" s="6"/>
      <c r="V53" s="9"/>
    </row>
    <row r="54" spans="1:22">
      <c r="A54" s="1" t="s">
        <v>75</v>
      </c>
      <c r="B54" s="6">
        <v>0</v>
      </c>
      <c r="C54" s="1">
        <v>0</v>
      </c>
      <c r="D54" s="1">
        <v>0</v>
      </c>
      <c r="E54" s="1">
        <v>0</v>
      </c>
      <c r="F54" s="1">
        <v>0</v>
      </c>
      <c r="G54" s="9">
        <f>SUM(WA_FINANCIAL)</f>
        <v>0</v>
      </c>
      <c r="L54" s="6"/>
      <c r="V54" s="9"/>
    </row>
    <row r="55" spans="1:22">
      <c r="A55" s="1" t="s">
        <v>76</v>
      </c>
      <c r="B55" s="6">
        <v>1667.2498397004342</v>
      </c>
      <c r="C55" s="1">
        <v>1358.8949926743451</v>
      </c>
      <c r="D55" s="1">
        <v>1105.8446636717269</v>
      </c>
      <c r="E55" s="1">
        <v>0</v>
      </c>
      <c r="F55" s="1">
        <v>0</v>
      </c>
      <c r="G55" s="9">
        <f>SUM(WV_FINANCIAL)</f>
        <v>4131.9894960465062</v>
      </c>
      <c r="L55" s="6"/>
      <c r="V55" s="9"/>
    </row>
    <row r="56" spans="1:22">
      <c r="A56" s="1" t="s">
        <v>77</v>
      </c>
      <c r="B56" s="6">
        <v>3731.1372864738414</v>
      </c>
      <c r="C56" s="1">
        <v>3041.0701832671025</v>
      </c>
      <c r="D56" s="1">
        <v>2474.7690234686493</v>
      </c>
      <c r="E56" s="1">
        <v>0</v>
      </c>
      <c r="F56" s="1">
        <v>0</v>
      </c>
      <c r="G56" s="9">
        <f>SUM(WI_FINANCIAL)</f>
        <v>9246.9764932095932</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228565.34642946458</v>
      </c>
      <c r="C60" s="1">
        <f>SUM(ALLOCATED)</f>
        <v>186292.59836527158</v>
      </c>
      <c r="D60" s="1">
        <f>SUM(HEALTH)</f>
        <v>151601.61520526381</v>
      </c>
      <c r="E60" s="1">
        <f>SUM(UNALLOCATED)</f>
        <v>0</v>
      </c>
      <c r="F60" s="1">
        <f>SUM(LTC)</f>
        <v>0</v>
      </c>
      <c r="G60" s="9">
        <f>SUM(ALL_BLOCKS)</f>
        <v>566459.56000000017</v>
      </c>
      <c r="L60" s="6">
        <f>SUM(LIFE_CALLED)</f>
        <v>63000</v>
      </c>
      <c r="M60" s="1">
        <f>SUM(LIFE_REFUNDED)</f>
        <v>0</v>
      </c>
      <c r="O60" s="1">
        <f>SUM(ALLOC_CALLED)</f>
        <v>40500</v>
      </c>
      <c r="P60" s="1">
        <f>SUM(ALLOC_REFUNDED)</f>
        <v>0</v>
      </c>
      <c r="R60" s="1">
        <f>SUM(HEALTH_CALLED)</f>
        <v>46500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166</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24073324.177643195</v>
      </c>
      <c r="C6" s="1">
        <v>35473.401031326357</v>
      </c>
      <c r="D6" s="1">
        <v>0</v>
      </c>
      <c r="E6" s="1">
        <v>0</v>
      </c>
      <c r="F6" s="1">
        <v>0</v>
      </c>
      <c r="G6" s="9">
        <f>SUM(AL_FINANCIAL)</f>
        <v>24108797.578674521</v>
      </c>
      <c r="L6" s="6"/>
      <c r="V6" s="9"/>
    </row>
    <row r="7" spans="1:22">
      <c r="A7" s="1" t="s">
        <v>12</v>
      </c>
      <c r="B7" s="6">
        <v>0</v>
      </c>
      <c r="C7" s="1">
        <v>0</v>
      </c>
      <c r="D7" s="1">
        <v>0</v>
      </c>
      <c r="E7" s="1">
        <v>0</v>
      </c>
      <c r="F7" s="1">
        <v>0</v>
      </c>
      <c r="G7" s="9">
        <f>SUM(AK_FINANCIAL)</f>
        <v>0</v>
      </c>
      <c r="I7" s="12"/>
      <c r="J7" s="15"/>
      <c r="L7" s="6"/>
      <c r="V7" s="9"/>
    </row>
    <row r="8" spans="1:22">
      <c r="A8" s="1" t="s">
        <v>13</v>
      </c>
      <c r="B8" s="6">
        <v>2909107.9690704495</v>
      </c>
      <c r="C8" s="1">
        <v>0</v>
      </c>
      <c r="D8" s="1">
        <v>0</v>
      </c>
      <c r="E8" s="1">
        <v>0</v>
      </c>
      <c r="F8" s="1">
        <v>0</v>
      </c>
      <c r="G8" s="9">
        <f>SUM(AZ_FINANCIAL)</f>
        <v>2909107.9690704495</v>
      </c>
      <c r="I8" s="13" t="s">
        <v>14</v>
      </c>
      <c r="J8" s="16"/>
      <c r="L8" s="6"/>
      <c r="V8" s="9"/>
    </row>
    <row r="9" spans="1:22">
      <c r="A9" s="1" t="s">
        <v>15</v>
      </c>
      <c r="B9" s="6">
        <v>848024.86935206456</v>
      </c>
      <c r="C9" s="1">
        <v>0</v>
      </c>
      <c r="D9" s="1">
        <v>0</v>
      </c>
      <c r="E9" s="1">
        <v>0</v>
      </c>
      <c r="F9" s="1">
        <v>0</v>
      </c>
      <c r="G9" s="9">
        <f>SUM(AR_FINANCIAL)</f>
        <v>848024.86935206456</v>
      </c>
      <c r="I9" s="13"/>
      <c r="J9" s="16"/>
      <c r="L9" s="6"/>
      <c r="V9" s="9"/>
    </row>
    <row r="10" spans="1:22">
      <c r="A10" s="1" t="s">
        <v>16</v>
      </c>
      <c r="B10" s="6">
        <v>0</v>
      </c>
      <c r="C10" s="1">
        <v>0</v>
      </c>
      <c r="D10" s="1">
        <v>0</v>
      </c>
      <c r="E10" s="1">
        <v>0</v>
      </c>
      <c r="F10" s="1">
        <v>0</v>
      </c>
      <c r="G10" s="9">
        <f>SUM(CA_FINANCIAL)</f>
        <v>0</v>
      </c>
      <c r="I10" s="13" t="s">
        <v>17</v>
      </c>
      <c r="J10" s="16">
        <v>120100162.28</v>
      </c>
      <c r="L10" s="6"/>
      <c r="V10" s="9"/>
    </row>
    <row r="11" spans="1:22">
      <c r="A11" s="1" t="s">
        <v>18</v>
      </c>
      <c r="B11" s="6">
        <v>827399.14199449925</v>
      </c>
      <c r="C11" s="1">
        <v>0</v>
      </c>
      <c r="D11" s="1">
        <v>0</v>
      </c>
      <c r="E11" s="1">
        <v>0</v>
      </c>
      <c r="F11" s="1">
        <v>0</v>
      </c>
      <c r="G11" s="9">
        <f>SUM(CO_FINANCIAL)</f>
        <v>827399.14199449925</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17271587</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2222895.0319845341</v>
      </c>
      <c r="C15" s="1">
        <v>19460.97668409584</v>
      </c>
      <c r="D15" s="1">
        <v>89.309727358983864</v>
      </c>
      <c r="E15" s="1">
        <v>0</v>
      </c>
      <c r="F15" s="1">
        <v>0</v>
      </c>
      <c r="G15" s="9">
        <f>SUM(FL_FINANCIAL)</f>
        <v>2242445.318395989</v>
      </c>
      <c r="I15" s="13" t="s">
        <v>26</v>
      </c>
      <c r="J15" s="16">
        <v>5886323.0000000009</v>
      </c>
      <c r="L15" s="6"/>
      <c r="V15" s="9"/>
    </row>
    <row r="16" spans="1:22">
      <c r="A16" s="1" t="s">
        <v>27</v>
      </c>
      <c r="B16" s="6">
        <v>7143179.3940667463</v>
      </c>
      <c r="C16" s="1">
        <v>-375.51718891067407</v>
      </c>
      <c r="D16" s="1">
        <v>0</v>
      </c>
      <c r="E16" s="1">
        <v>0</v>
      </c>
      <c r="F16" s="1">
        <v>0</v>
      </c>
      <c r="G16" s="9">
        <f>SUM(GA_FINANCIAL)</f>
        <v>7142803.876877836</v>
      </c>
      <c r="I16" s="13" t="s">
        <v>28</v>
      </c>
      <c r="J16" s="16">
        <v>100590284.45791845</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19500000.000000007</v>
      </c>
      <c r="L19" s="6"/>
      <c r="V19" s="9"/>
    </row>
    <row r="20" spans="1:22">
      <c r="A20" s="1" t="s">
        <v>34</v>
      </c>
      <c r="B20" s="6">
        <v>1565125.2339478997</v>
      </c>
      <c r="C20" s="1">
        <v>0</v>
      </c>
      <c r="D20" s="1">
        <v>0</v>
      </c>
      <c r="E20" s="1">
        <v>0</v>
      </c>
      <c r="F20" s="1">
        <v>0</v>
      </c>
      <c r="G20" s="9">
        <f>SUM(IN_FINANCIAL)</f>
        <v>1565125.2339478997</v>
      </c>
      <c r="I20" s="13" t="s">
        <v>35</v>
      </c>
      <c r="J20" s="16">
        <v>100600162.28000003</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1452445.288078797</v>
      </c>
      <c r="C23" s="1">
        <v>4940.5459907649456</v>
      </c>
      <c r="D23" s="1">
        <v>0</v>
      </c>
      <c r="E23" s="1">
        <v>0</v>
      </c>
      <c r="F23" s="1">
        <v>0</v>
      </c>
      <c r="G23" s="9">
        <f>SUM(KY_FINANCIAL)</f>
        <v>1457385.8340695619</v>
      </c>
      <c r="I23" s="13" t="s">
        <v>41</v>
      </c>
      <c r="J23" s="16"/>
      <c r="L23" s="6"/>
      <c r="V23" s="9"/>
    </row>
    <row r="24" spans="1:22">
      <c r="A24" s="1" t="s">
        <v>42</v>
      </c>
      <c r="B24" s="6">
        <v>40479438.630601898</v>
      </c>
      <c r="C24" s="1">
        <v>18772.000106007043</v>
      </c>
      <c r="D24" s="1">
        <v>11870.876326516391</v>
      </c>
      <c r="E24" s="1">
        <v>0</v>
      </c>
      <c r="F24" s="1">
        <v>0</v>
      </c>
      <c r="G24" s="9">
        <f>SUM(LA_FINANCIAL)</f>
        <v>40510081.507034421</v>
      </c>
      <c r="I24" s="13" t="s">
        <v>43</v>
      </c>
      <c r="J24" s="16">
        <v>0</v>
      </c>
      <c r="L24" s="6">
        <v>0</v>
      </c>
      <c r="M24" s="1">
        <v>0</v>
      </c>
      <c r="O24" s="1">
        <v>0</v>
      </c>
      <c r="P24" s="1">
        <v>0</v>
      </c>
      <c r="R24" s="1">
        <v>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123748194.45791841</v>
      </c>
      <c r="L26" s="6"/>
      <c r="V26" s="9"/>
    </row>
    <row r="27" spans="1:22">
      <c r="A27" s="1" t="s">
        <v>47</v>
      </c>
      <c r="B27" s="6">
        <v>0</v>
      </c>
      <c r="C27" s="1">
        <v>0</v>
      </c>
      <c r="D27" s="1">
        <v>0</v>
      </c>
      <c r="E27" s="1">
        <v>0</v>
      </c>
      <c r="F27" s="1">
        <v>0</v>
      </c>
      <c r="G27" s="9">
        <f>SUM(MA_FINANCIAL)</f>
        <v>0</v>
      </c>
      <c r="I27" s="13" t="s">
        <v>48</v>
      </c>
      <c r="J27" s="16">
        <f>SUM(ALL_BLOCKS)</f>
        <v>123748194.45791848</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4853589.6583929705</v>
      </c>
      <c r="C30" s="1">
        <v>21809.931733434143</v>
      </c>
      <c r="D30" s="1">
        <v>0</v>
      </c>
      <c r="E30" s="1">
        <v>0</v>
      </c>
      <c r="F30" s="1">
        <v>0</v>
      </c>
      <c r="G30" s="9">
        <f>SUM(MS_FINANCIAL)</f>
        <v>4875399.5901264045</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707971.50434910157</v>
      </c>
      <c r="C37" s="1">
        <v>0</v>
      </c>
      <c r="D37" s="1">
        <v>0</v>
      </c>
      <c r="E37" s="1">
        <v>0</v>
      </c>
      <c r="F37" s="1">
        <v>0</v>
      </c>
      <c r="G37" s="9">
        <f>SUM(NM_FINANCIAL)</f>
        <v>707971.50434910157</v>
      </c>
      <c r="L37" s="6"/>
      <c r="V37" s="9"/>
    </row>
    <row r="38" spans="1:22">
      <c r="A38" s="1" t="s">
        <v>59</v>
      </c>
      <c r="B38" s="6">
        <v>0</v>
      </c>
      <c r="C38" s="1">
        <v>0</v>
      </c>
      <c r="D38" s="1">
        <v>0</v>
      </c>
      <c r="E38" s="1">
        <v>0</v>
      </c>
      <c r="F38" s="1">
        <v>0</v>
      </c>
      <c r="G38" s="9">
        <f>SUM(NY_FINANCIAL)</f>
        <v>0</v>
      </c>
      <c r="L38" s="6"/>
      <c r="V38" s="9"/>
    </row>
    <row r="39" spans="1:22">
      <c r="A39" s="1" t="s">
        <v>60</v>
      </c>
      <c r="B39" s="6">
        <v>4843579.9348138608</v>
      </c>
      <c r="C39" s="1">
        <v>856.68991709110924</v>
      </c>
      <c r="D39" s="1">
        <v>64.020219388464398</v>
      </c>
      <c r="E39" s="1">
        <v>0</v>
      </c>
      <c r="F39" s="1">
        <v>0</v>
      </c>
      <c r="G39" s="9">
        <f>SUM(NC_FINANCIAL)</f>
        <v>4844500.6449503405</v>
      </c>
      <c r="L39" s="6"/>
      <c r="V39" s="9"/>
    </row>
    <row r="40" spans="1:22">
      <c r="A40" s="1" t="s">
        <v>61</v>
      </c>
      <c r="B40" s="6">
        <v>0</v>
      </c>
      <c r="C40" s="1">
        <v>0</v>
      </c>
      <c r="D40" s="1">
        <v>0</v>
      </c>
      <c r="E40" s="1">
        <v>0</v>
      </c>
      <c r="F40" s="1">
        <v>0</v>
      </c>
      <c r="G40" s="9">
        <f>SUM(ND_FINANCIAL)</f>
        <v>0</v>
      </c>
      <c r="L40" s="6"/>
      <c r="V40" s="9"/>
    </row>
    <row r="41" spans="1:22">
      <c r="A41" s="1" t="s">
        <v>62</v>
      </c>
      <c r="B41" s="6">
        <v>1258552.3646030927</v>
      </c>
      <c r="C41" s="1">
        <v>0</v>
      </c>
      <c r="D41" s="1">
        <v>0</v>
      </c>
      <c r="E41" s="1">
        <v>0</v>
      </c>
      <c r="F41" s="1">
        <v>0</v>
      </c>
      <c r="G41" s="9">
        <f>SUM(OH_FINANCIAL)</f>
        <v>1258552.3646030927</v>
      </c>
      <c r="L41" s="6"/>
      <c r="V41" s="9"/>
    </row>
    <row r="42" spans="1:22">
      <c r="A42" s="1" t="s">
        <v>63</v>
      </c>
      <c r="B42" s="6">
        <v>2340125.8151710443</v>
      </c>
      <c r="C42" s="1">
        <v>0</v>
      </c>
      <c r="D42" s="1">
        <v>0</v>
      </c>
      <c r="E42" s="1">
        <v>0</v>
      </c>
      <c r="F42" s="1">
        <v>0</v>
      </c>
      <c r="G42" s="9">
        <f>SUM(OK_FINANCIAL)</f>
        <v>2340125.8151710443</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1022633.6171793438</v>
      </c>
      <c r="C47" s="1">
        <v>0</v>
      </c>
      <c r="D47" s="1">
        <v>0</v>
      </c>
      <c r="E47" s="1">
        <v>0</v>
      </c>
      <c r="F47" s="1">
        <v>0</v>
      </c>
      <c r="G47" s="9">
        <f>SUM(SC_FINANCIAL)</f>
        <v>1022633.6171793438</v>
      </c>
      <c r="L47" s="6">
        <v>0</v>
      </c>
      <c r="M47" s="1">
        <v>0</v>
      </c>
      <c r="O47" s="1">
        <v>0</v>
      </c>
      <c r="P47" s="1">
        <v>0</v>
      </c>
      <c r="R47" s="1">
        <v>0</v>
      </c>
      <c r="S47" s="1">
        <v>0</v>
      </c>
      <c r="U47" s="1">
        <v>0</v>
      </c>
      <c r="V47" s="9">
        <v>0</v>
      </c>
    </row>
    <row r="48" spans="1:22">
      <c r="A48" s="1" t="s">
        <v>69</v>
      </c>
      <c r="B48" s="6">
        <v>0</v>
      </c>
      <c r="C48" s="1">
        <v>0</v>
      </c>
      <c r="D48" s="1">
        <v>0</v>
      </c>
      <c r="E48" s="1">
        <v>0</v>
      </c>
      <c r="F48" s="1">
        <v>0</v>
      </c>
      <c r="G48" s="9">
        <f>SUM(SD_FINANCIAL)</f>
        <v>0</v>
      </c>
      <c r="L48" s="6"/>
      <c r="V48" s="9"/>
    </row>
    <row r="49" spans="1:22">
      <c r="A49" s="1" t="s">
        <v>70</v>
      </c>
      <c r="B49" s="6">
        <v>11607227.599192647</v>
      </c>
      <c r="C49" s="1">
        <v>1284.1973191936881</v>
      </c>
      <c r="D49" s="1">
        <v>0</v>
      </c>
      <c r="E49" s="1">
        <v>0</v>
      </c>
      <c r="F49" s="1">
        <v>0</v>
      </c>
      <c r="G49" s="9">
        <f>SUM(TN_FINANCIAL)</f>
        <v>11608511.79651184</v>
      </c>
      <c r="L49" s="6"/>
      <c r="V49" s="9"/>
    </row>
    <row r="50" spans="1:22">
      <c r="A50" s="1" t="s">
        <v>71</v>
      </c>
      <c r="B50" s="6">
        <v>10699358.197805829</v>
      </c>
      <c r="C50" s="1">
        <v>31.626239233284707</v>
      </c>
      <c r="D50" s="1">
        <v>40.646978697377541</v>
      </c>
      <c r="E50" s="1">
        <v>0</v>
      </c>
      <c r="F50" s="1">
        <v>0</v>
      </c>
      <c r="G50" s="9">
        <f>SUM(TX_FINANCIAL)</f>
        <v>10699430.471023759</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4779897.3245862816</v>
      </c>
      <c r="C53" s="1">
        <v>0</v>
      </c>
      <c r="D53" s="1">
        <v>0</v>
      </c>
      <c r="E53" s="1">
        <v>0</v>
      </c>
      <c r="F53" s="1">
        <v>0</v>
      </c>
      <c r="G53" s="9">
        <f>SUM(VA_FINANCIAL)</f>
        <v>4779897.3245862816</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123633875.75283425</v>
      </c>
      <c r="C60" s="1">
        <f>SUM(ALLOCATED)</f>
        <v>102253.85183223574</v>
      </c>
      <c r="D60" s="1">
        <f>SUM(HEALTH)</f>
        <v>12064.853251961218</v>
      </c>
      <c r="E60" s="1">
        <f>SUM(UNALLOCATED)</f>
        <v>0</v>
      </c>
      <c r="F60" s="1">
        <f>SUM(LTC)</f>
        <v>0</v>
      </c>
      <c r="G60" s="9">
        <f>SUM(ALL_BLOCKS)</f>
        <v>123748194.45791848</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167</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40414.998633997246</v>
      </c>
      <c r="D6" s="1">
        <v>0</v>
      </c>
      <c r="E6" s="1">
        <v>0</v>
      </c>
      <c r="F6" s="1">
        <v>0</v>
      </c>
      <c r="G6" s="9">
        <f>SUM(AL_FINANCIAL)</f>
        <v>40414.998633997246</v>
      </c>
      <c r="L6" s="6"/>
      <c r="V6" s="9"/>
    </row>
    <row r="7" spans="1:22">
      <c r="A7" s="1" t="s">
        <v>12</v>
      </c>
      <c r="B7" s="6">
        <v>0</v>
      </c>
      <c r="C7" s="1">
        <v>98.999996653859398</v>
      </c>
      <c r="D7" s="1">
        <v>0</v>
      </c>
      <c r="E7" s="1">
        <v>0</v>
      </c>
      <c r="F7" s="1">
        <v>0</v>
      </c>
      <c r="G7" s="9">
        <f>SUM(AK_FINANCIAL)</f>
        <v>98.999996653859398</v>
      </c>
      <c r="I7" s="12"/>
      <c r="J7" s="15"/>
      <c r="L7" s="6"/>
      <c r="V7" s="9"/>
    </row>
    <row r="8" spans="1:22">
      <c r="A8" s="1" t="s">
        <v>13</v>
      </c>
      <c r="B8" s="6">
        <v>0</v>
      </c>
      <c r="C8" s="1">
        <v>86870.99706381232</v>
      </c>
      <c r="D8" s="1">
        <v>0</v>
      </c>
      <c r="E8" s="1">
        <v>0</v>
      </c>
      <c r="F8" s="1">
        <v>0</v>
      </c>
      <c r="G8" s="9">
        <f>SUM(AZ_FINANCIAL)</f>
        <v>86870.99706381232</v>
      </c>
      <c r="I8" s="13" t="s">
        <v>14</v>
      </c>
      <c r="J8" s="16"/>
      <c r="L8" s="6"/>
      <c r="V8" s="9"/>
    </row>
    <row r="9" spans="1:22">
      <c r="A9" s="1" t="s">
        <v>15</v>
      </c>
      <c r="B9" s="6">
        <v>0</v>
      </c>
      <c r="C9" s="1">
        <v>7671.9997406910034</v>
      </c>
      <c r="D9" s="1">
        <v>0</v>
      </c>
      <c r="E9" s="1">
        <v>0</v>
      </c>
      <c r="F9" s="1">
        <v>0</v>
      </c>
      <c r="G9" s="9">
        <f>SUM(AR_FINANCIAL)</f>
        <v>7671.9997406910034</v>
      </c>
      <c r="I9" s="13"/>
      <c r="J9" s="16"/>
      <c r="L9" s="6"/>
      <c r="V9" s="9"/>
    </row>
    <row r="10" spans="1:22">
      <c r="A10" s="1" t="s">
        <v>16</v>
      </c>
      <c r="B10" s="6">
        <v>0</v>
      </c>
      <c r="C10" s="1">
        <v>526264.98221255874</v>
      </c>
      <c r="D10" s="1">
        <v>0</v>
      </c>
      <c r="E10" s="1">
        <v>0</v>
      </c>
      <c r="F10" s="1">
        <v>0</v>
      </c>
      <c r="G10" s="9">
        <f>SUM(CA_FINANCIAL)</f>
        <v>526264.98221255874</v>
      </c>
      <c r="I10" s="13" t="s">
        <v>17</v>
      </c>
      <c r="J10" s="16">
        <v>1173666777</v>
      </c>
      <c r="L10" s="6"/>
      <c r="V10" s="9"/>
    </row>
    <row r="11" spans="1:22">
      <c r="A11" s="1" t="s">
        <v>18</v>
      </c>
      <c r="B11" s="6">
        <v>0</v>
      </c>
      <c r="C11" s="1">
        <v>18491.999374981493</v>
      </c>
      <c r="D11" s="1">
        <v>0</v>
      </c>
      <c r="E11" s="1">
        <v>0</v>
      </c>
      <c r="F11" s="1">
        <v>0</v>
      </c>
      <c r="G11" s="9">
        <f>SUM(CO_FINANCIAL)</f>
        <v>18491.999374981493</v>
      </c>
      <c r="I11" s="13"/>
      <c r="J11" s="16"/>
      <c r="L11" s="6">
        <v>0</v>
      </c>
      <c r="M11" s="1">
        <v>0</v>
      </c>
      <c r="O11" s="1">
        <v>40000</v>
      </c>
      <c r="P11" s="1">
        <v>0</v>
      </c>
      <c r="R11" s="1">
        <v>0</v>
      </c>
      <c r="S11" s="1">
        <v>0</v>
      </c>
      <c r="U11" s="1">
        <v>0</v>
      </c>
      <c r="V11" s="9">
        <v>0</v>
      </c>
    </row>
    <row r="12" spans="1:22">
      <c r="A12" s="1" t="s">
        <v>19</v>
      </c>
      <c r="B12" s="6">
        <v>0</v>
      </c>
      <c r="C12" s="1">
        <v>51466.998260446278</v>
      </c>
      <c r="D12" s="1">
        <v>0</v>
      </c>
      <c r="E12" s="1">
        <v>0</v>
      </c>
      <c r="F12" s="1">
        <v>0</v>
      </c>
      <c r="G12" s="9">
        <f>SUM(CT_FINANCIAL)</f>
        <v>51466.998260446278</v>
      </c>
      <c r="I12" s="13" t="s">
        <v>20</v>
      </c>
      <c r="J12" s="16"/>
      <c r="L12" s="6"/>
      <c r="V12" s="9"/>
    </row>
    <row r="13" spans="1:22">
      <c r="A13" s="1" t="s">
        <v>21</v>
      </c>
      <c r="B13" s="6">
        <v>0</v>
      </c>
      <c r="C13" s="1">
        <v>284.99999036717099</v>
      </c>
      <c r="D13" s="1">
        <v>0</v>
      </c>
      <c r="E13" s="1">
        <v>0</v>
      </c>
      <c r="F13" s="1">
        <v>0</v>
      </c>
      <c r="G13" s="9">
        <f>SUM(DE_FINANCIAL)</f>
        <v>284.99999036717099</v>
      </c>
      <c r="I13" s="13" t="s">
        <v>22</v>
      </c>
      <c r="J13" s="16">
        <v>0</v>
      </c>
      <c r="L13" s="6"/>
      <c r="V13" s="9"/>
    </row>
    <row r="14" spans="1:22">
      <c r="A14" s="1" t="s">
        <v>23</v>
      </c>
      <c r="B14" s="6">
        <v>0</v>
      </c>
      <c r="C14" s="1">
        <v>632.99997860497979</v>
      </c>
      <c r="D14" s="1">
        <v>0</v>
      </c>
      <c r="E14" s="1">
        <v>0</v>
      </c>
      <c r="F14" s="1">
        <v>0</v>
      </c>
      <c r="G14" s="9">
        <f>SUM(DC_FINANCIAL)</f>
        <v>632.99997860497979</v>
      </c>
      <c r="I14" s="13" t="s">
        <v>24</v>
      </c>
      <c r="J14" s="16">
        <v>0</v>
      </c>
      <c r="L14" s="6"/>
      <c r="V14" s="9"/>
    </row>
    <row r="15" spans="1:22">
      <c r="A15" s="1" t="s">
        <v>25</v>
      </c>
      <c r="B15" s="6">
        <v>0</v>
      </c>
      <c r="C15" s="1">
        <v>268084.99093888787</v>
      </c>
      <c r="D15" s="1">
        <v>0</v>
      </c>
      <c r="E15" s="1">
        <v>0</v>
      </c>
      <c r="F15" s="1">
        <v>0</v>
      </c>
      <c r="G15" s="9">
        <f>SUM(FL_FINANCIAL)</f>
        <v>268084.99093888787</v>
      </c>
      <c r="I15" s="13" t="s">
        <v>26</v>
      </c>
      <c r="J15" s="16">
        <v>3028888.897625369</v>
      </c>
      <c r="L15" s="6"/>
      <c r="V15" s="9"/>
    </row>
    <row r="16" spans="1:22">
      <c r="A16" s="1" t="s">
        <v>27</v>
      </c>
      <c r="B16" s="6">
        <v>0</v>
      </c>
      <c r="C16" s="1">
        <v>57841.998044975095</v>
      </c>
      <c r="D16" s="1">
        <v>0</v>
      </c>
      <c r="E16" s="1">
        <v>0</v>
      </c>
      <c r="F16" s="1">
        <v>0</v>
      </c>
      <c r="G16" s="9">
        <f>SUM(GA_FINANCIAL)</f>
        <v>57841.998044975095</v>
      </c>
      <c r="I16" s="13" t="s">
        <v>28</v>
      </c>
      <c r="J16" s="16">
        <v>0</v>
      </c>
      <c r="L16" s="6"/>
      <c r="V16" s="9"/>
    </row>
    <row r="17" spans="1:22">
      <c r="A17" s="1" t="s">
        <v>29</v>
      </c>
      <c r="B17" s="6">
        <v>0</v>
      </c>
      <c r="C17" s="1">
        <v>55843.998112506306</v>
      </c>
      <c r="D17" s="1">
        <v>0</v>
      </c>
      <c r="E17" s="1">
        <v>0</v>
      </c>
      <c r="F17" s="1">
        <v>0</v>
      </c>
      <c r="G17" s="9">
        <f>SUM(HI_FINANCIAL)</f>
        <v>55843.998112506306</v>
      </c>
      <c r="I17" s="13"/>
      <c r="J17" s="16"/>
      <c r="L17" s="6"/>
      <c r="V17" s="9"/>
    </row>
    <row r="18" spans="1:22">
      <c r="A18" s="1" t="s">
        <v>30</v>
      </c>
      <c r="B18" s="6">
        <v>0</v>
      </c>
      <c r="C18" s="1">
        <v>3823.9998707510945</v>
      </c>
      <c r="D18" s="1">
        <v>0</v>
      </c>
      <c r="E18" s="1">
        <v>0</v>
      </c>
      <c r="F18" s="1">
        <v>0</v>
      </c>
      <c r="G18" s="9">
        <f>SUM(ID_FINANCIAL)</f>
        <v>3823.9998707510945</v>
      </c>
      <c r="I18" s="13" t="s">
        <v>31</v>
      </c>
      <c r="J18" s="16"/>
      <c r="L18" s="6"/>
      <c r="V18" s="9"/>
    </row>
    <row r="19" spans="1:22">
      <c r="A19" s="1" t="s">
        <v>32</v>
      </c>
      <c r="B19" s="6">
        <v>0</v>
      </c>
      <c r="C19" s="1">
        <v>107684.9963603116</v>
      </c>
      <c r="D19" s="1">
        <v>0</v>
      </c>
      <c r="E19" s="1">
        <v>0</v>
      </c>
      <c r="F19" s="1">
        <v>0</v>
      </c>
      <c r="G19" s="9">
        <f>SUM(IL_FINANCIAL)</f>
        <v>107684.9963603116</v>
      </c>
      <c r="I19" s="13" t="s">
        <v>33</v>
      </c>
      <c r="J19" s="16">
        <v>0</v>
      </c>
      <c r="L19" s="6">
        <v>0</v>
      </c>
      <c r="M19" s="1">
        <v>0</v>
      </c>
      <c r="O19" s="1">
        <v>120000</v>
      </c>
      <c r="P19" s="1">
        <v>0</v>
      </c>
      <c r="R19" s="1">
        <v>0</v>
      </c>
      <c r="S19" s="1">
        <v>0</v>
      </c>
      <c r="U19" s="1">
        <v>0</v>
      </c>
      <c r="V19" s="9">
        <v>0</v>
      </c>
    </row>
    <row r="20" spans="1:22">
      <c r="A20" s="1" t="s">
        <v>34</v>
      </c>
      <c r="B20" s="6">
        <v>0</v>
      </c>
      <c r="C20" s="1">
        <v>274188.99073257629</v>
      </c>
      <c r="D20" s="1">
        <v>0</v>
      </c>
      <c r="E20" s="1">
        <v>0</v>
      </c>
      <c r="F20" s="1">
        <v>0</v>
      </c>
      <c r="G20" s="9">
        <f>SUM(IN_FINANCIAL)</f>
        <v>274188.99073257629</v>
      </c>
      <c r="I20" s="13" t="s">
        <v>35</v>
      </c>
      <c r="J20" s="16">
        <v>1173666777</v>
      </c>
      <c r="L20" s="6"/>
      <c r="V20" s="9"/>
    </row>
    <row r="21" spans="1:22">
      <c r="A21" s="1" t="s">
        <v>36</v>
      </c>
      <c r="B21" s="6">
        <v>0</v>
      </c>
      <c r="C21" s="1">
        <v>14277.999517412167</v>
      </c>
      <c r="D21" s="1">
        <v>0</v>
      </c>
      <c r="E21" s="1">
        <v>0</v>
      </c>
      <c r="F21" s="1">
        <v>0</v>
      </c>
      <c r="G21" s="9">
        <f>SUM(IA_FINANCIAL)</f>
        <v>14277.999517412167</v>
      </c>
      <c r="I21" s="13" t="s">
        <v>37</v>
      </c>
      <c r="J21" s="16"/>
      <c r="L21" s="6"/>
      <c r="V21" s="9"/>
    </row>
    <row r="22" spans="1:22">
      <c r="A22" s="1" t="s">
        <v>38</v>
      </c>
      <c r="B22" s="6">
        <v>0</v>
      </c>
      <c r="C22" s="1">
        <v>16018.99945856741</v>
      </c>
      <c r="D22" s="1">
        <v>0</v>
      </c>
      <c r="E22" s="1">
        <v>0</v>
      </c>
      <c r="F22" s="1">
        <v>0</v>
      </c>
      <c r="G22" s="9">
        <f>SUM(KS_FINANCIAL)</f>
        <v>16018.99945856741</v>
      </c>
      <c r="I22" s="13" t="s">
        <v>39</v>
      </c>
      <c r="J22" s="16">
        <v>0</v>
      </c>
      <c r="L22" s="6"/>
      <c r="V22" s="9"/>
    </row>
    <row r="23" spans="1:22">
      <c r="A23" s="1" t="s">
        <v>40</v>
      </c>
      <c r="B23" s="6">
        <v>0</v>
      </c>
      <c r="C23" s="1">
        <v>15932.999461474159</v>
      </c>
      <c r="D23" s="1">
        <v>0</v>
      </c>
      <c r="E23" s="1">
        <v>0</v>
      </c>
      <c r="F23" s="1">
        <v>0</v>
      </c>
      <c r="G23" s="9">
        <f>SUM(KY_FINANCIAL)</f>
        <v>15932.999461474159</v>
      </c>
      <c r="I23" s="13" t="s">
        <v>41</v>
      </c>
      <c r="J23" s="16"/>
      <c r="L23" s="6"/>
      <c r="V23" s="9"/>
    </row>
    <row r="24" spans="1:22">
      <c r="A24" s="1" t="s">
        <v>42</v>
      </c>
      <c r="B24" s="6">
        <v>0</v>
      </c>
      <c r="C24" s="1">
        <v>13443.999545600866</v>
      </c>
      <c r="D24" s="1">
        <v>0</v>
      </c>
      <c r="E24" s="1">
        <v>0</v>
      </c>
      <c r="F24" s="1">
        <v>0</v>
      </c>
      <c r="G24" s="9">
        <f>SUM(LA_FINANCIAL)</f>
        <v>13443.999545600866</v>
      </c>
      <c r="I24" s="13" t="s">
        <v>43</v>
      </c>
      <c r="J24" s="16">
        <v>0</v>
      </c>
      <c r="L24" s="6"/>
      <c r="V24" s="9"/>
    </row>
    <row r="25" spans="1:22">
      <c r="A25" s="1" t="s">
        <v>44</v>
      </c>
      <c r="B25" s="6">
        <v>0</v>
      </c>
      <c r="C25" s="1">
        <v>5466.9998152186799</v>
      </c>
      <c r="D25" s="1">
        <v>0</v>
      </c>
      <c r="E25" s="1">
        <v>0</v>
      </c>
      <c r="F25" s="1">
        <v>0</v>
      </c>
      <c r="G25" s="9">
        <f>SUM(ME_FINANCIAL)</f>
        <v>5466.9998152186799</v>
      </c>
      <c r="I25" s="13"/>
      <c r="J25" s="16"/>
      <c r="L25" s="6"/>
      <c r="V25" s="9"/>
    </row>
    <row r="26" spans="1:22">
      <c r="A26" s="1" t="s">
        <v>45</v>
      </c>
      <c r="B26" s="6">
        <v>0</v>
      </c>
      <c r="C26" s="1">
        <v>21206.999283216122</v>
      </c>
      <c r="D26" s="1">
        <v>0</v>
      </c>
      <c r="E26" s="1">
        <v>0</v>
      </c>
      <c r="F26" s="1">
        <v>0</v>
      </c>
      <c r="G26" s="9">
        <f>SUM(MD_FINANCIAL)</f>
        <v>21206.999283216122</v>
      </c>
      <c r="I26" s="13" t="s">
        <v>46</v>
      </c>
      <c r="J26" s="16">
        <f>SUM(ADD_FINANCIAL)-SUM(LESS_FINANCIAL)</f>
        <v>3028888.8976254463</v>
      </c>
      <c r="L26" s="6"/>
      <c r="V26" s="9"/>
    </row>
    <row r="27" spans="1:22">
      <c r="A27" s="1" t="s">
        <v>47</v>
      </c>
      <c r="B27" s="6">
        <v>0</v>
      </c>
      <c r="C27" s="1">
        <v>29612.998999098367</v>
      </c>
      <c r="D27" s="1">
        <v>0</v>
      </c>
      <c r="E27" s="1">
        <v>0</v>
      </c>
      <c r="F27" s="1">
        <v>0</v>
      </c>
      <c r="G27" s="9">
        <f>SUM(MA_FINANCIAL)</f>
        <v>29612.998999098367</v>
      </c>
      <c r="I27" s="13" t="s">
        <v>48</v>
      </c>
      <c r="J27" s="16">
        <f>SUM(ALL_BLOCKS)</f>
        <v>3028888.897625369</v>
      </c>
      <c r="L27" s="6"/>
      <c r="V27" s="9"/>
    </row>
    <row r="28" spans="1:22">
      <c r="A28" s="1" t="s">
        <v>49</v>
      </c>
      <c r="B28" s="6">
        <v>0</v>
      </c>
      <c r="C28" s="1">
        <v>366077.98762678326</v>
      </c>
      <c r="D28" s="1">
        <v>0</v>
      </c>
      <c r="E28" s="1">
        <v>0</v>
      </c>
      <c r="F28" s="1">
        <v>0</v>
      </c>
      <c r="G28" s="9">
        <f>SUM(MI_FINANCIAL)</f>
        <v>366077.98762678326</v>
      </c>
      <c r="I28" s="14"/>
      <c r="J28" s="17"/>
      <c r="L28" s="6"/>
      <c r="V28" s="9"/>
    </row>
    <row r="29" spans="1:22">
      <c r="A29" s="1" t="s">
        <v>50</v>
      </c>
      <c r="B29" s="6">
        <v>0</v>
      </c>
      <c r="C29" s="1">
        <v>33742.998859506843</v>
      </c>
      <c r="D29" s="1">
        <v>0</v>
      </c>
      <c r="E29" s="1">
        <v>0</v>
      </c>
      <c r="F29" s="1">
        <v>0</v>
      </c>
      <c r="G29" s="9">
        <f>SUM(MN_FINANCIAL)</f>
        <v>33742.998859506843</v>
      </c>
      <c r="L29" s="6"/>
      <c r="V29" s="9"/>
    </row>
    <row r="30" spans="1:22">
      <c r="A30" s="1" t="s">
        <v>51</v>
      </c>
      <c r="B30" s="6">
        <v>0</v>
      </c>
      <c r="C30" s="1">
        <v>11982.999594981789</v>
      </c>
      <c r="D30" s="1">
        <v>0</v>
      </c>
      <c r="E30" s="1">
        <v>0</v>
      </c>
      <c r="F30" s="1">
        <v>0</v>
      </c>
      <c r="G30" s="9">
        <f>SUM(MS_FINANCIAL)</f>
        <v>11982.999594981789</v>
      </c>
      <c r="L30" s="6"/>
      <c r="V30" s="9"/>
    </row>
    <row r="31" spans="1:22">
      <c r="A31" s="1" t="s">
        <v>52</v>
      </c>
      <c r="B31" s="6">
        <v>0</v>
      </c>
      <c r="C31" s="1">
        <v>22513.999239040306</v>
      </c>
      <c r="D31" s="1">
        <v>0</v>
      </c>
      <c r="E31" s="1">
        <v>0</v>
      </c>
      <c r="F31" s="1">
        <v>0</v>
      </c>
      <c r="G31" s="9">
        <f>SUM(MO_FINANCIAL)</f>
        <v>22513.999239040306</v>
      </c>
      <c r="L31" s="6"/>
      <c r="V31" s="9"/>
    </row>
    <row r="32" spans="1:22">
      <c r="A32" s="1" t="s">
        <v>53</v>
      </c>
      <c r="B32" s="6">
        <v>0</v>
      </c>
      <c r="C32" s="1">
        <v>7324.9997524193941</v>
      </c>
      <c r="D32" s="1">
        <v>0</v>
      </c>
      <c r="E32" s="1">
        <v>0</v>
      </c>
      <c r="F32" s="1">
        <v>0</v>
      </c>
      <c r="G32" s="9">
        <f>SUM(MT_FINANCIAL)</f>
        <v>7324.9997524193941</v>
      </c>
      <c r="L32" s="6"/>
      <c r="V32" s="9"/>
    </row>
    <row r="33" spans="1:22">
      <c r="A33" s="1" t="s">
        <v>54</v>
      </c>
      <c r="B33" s="6">
        <v>0</v>
      </c>
      <c r="C33" s="1">
        <v>4424.9998504376554</v>
      </c>
      <c r="D33" s="1">
        <v>0</v>
      </c>
      <c r="E33" s="1">
        <v>0</v>
      </c>
      <c r="F33" s="1">
        <v>0</v>
      </c>
      <c r="G33" s="9">
        <f>SUM(NE_FINANCIAL)</f>
        <v>4424.9998504376554</v>
      </c>
      <c r="L33" s="6"/>
      <c r="V33" s="9"/>
    </row>
    <row r="34" spans="1:22">
      <c r="A34" s="1" t="s">
        <v>55</v>
      </c>
      <c r="B34" s="6">
        <v>0</v>
      </c>
      <c r="C34" s="1">
        <v>11215.999620905928</v>
      </c>
      <c r="D34" s="1">
        <v>0</v>
      </c>
      <c r="E34" s="1">
        <v>0</v>
      </c>
      <c r="F34" s="1">
        <v>0</v>
      </c>
      <c r="G34" s="9">
        <f>SUM(NV_FINANCIAL)</f>
        <v>11215.999620905928</v>
      </c>
      <c r="L34" s="6"/>
      <c r="V34" s="9"/>
    </row>
    <row r="35" spans="1:22">
      <c r="A35" s="1" t="s">
        <v>56</v>
      </c>
      <c r="B35" s="6">
        <v>0</v>
      </c>
      <c r="C35" s="1">
        <v>252.99999144875179</v>
      </c>
      <c r="D35" s="1">
        <v>0</v>
      </c>
      <c r="E35" s="1">
        <v>0</v>
      </c>
      <c r="F35" s="1">
        <v>0</v>
      </c>
      <c r="G35" s="9">
        <f>SUM(NH_FINANCIAL)</f>
        <v>252.99999144875179</v>
      </c>
      <c r="L35" s="6"/>
      <c r="V35" s="9"/>
    </row>
    <row r="36" spans="1:22">
      <c r="A36" s="1" t="s">
        <v>57</v>
      </c>
      <c r="B36" s="6">
        <v>0</v>
      </c>
      <c r="C36" s="1">
        <v>0</v>
      </c>
      <c r="D36" s="1">
        <v>0</v>
      </c>
      <c r="E36" s="1">
        <v>0</v>
      </c>
      <c r="F36" s="1">
        <v>0</v>
      </c>
      <c r="G36" s="9">
        <f>SUM(NJ_FINANCIAL)</f>
        <v>0</v>
      </c>
      <c r="L36" s="6"/>
      <c r="V36" s="9"/>
    </row>
    <row r="37" spans="1:22">
      <c r="A37" s="1" t="s">
        <v>58</v>
      </c>
      <c r="B37" s="6">
        <v>0</v>
      </c>
      <c r="C37" s="1">
        <v>4887.999834788533</v>
      </c>
      <c r="D37" s="1">
        <v>0</v>
      </c>
      <c r="E37" s="1">
        <v>0</v>
      </c>
      <c r="F37" s="1">
        <v>0</v>
      </c>
      <c r="G37" s="9">
        <f>SUM(NM_FINANCIAL)</f>
        <v>4887.999834788533</v>
      </c>
      <c r="L37" s="6"/>
      <c r="V37" s="9"/>
    </row>
    <row r="38" spans="1:22">
      <c r="A38" s="1" t="s">
        <v>59</v>
      </c>
      <c r="B38" s="6">
        <v>0</v>
      </c>
      <c r="C38" s="1">
        <v>0</v>
      </c>
      <c r="D38" s="1">
        <v>0</v>
      </c>
      <c r="E38" s="1">
        <v>0</v>
      </c>
      <c r="F38" s="1">
        <v>0</v>
      </c>
      <c r="G38" s="9">
        <f>SUM(NY_FINANCIAL)</f>
        <v>0</v>
      </c>
      <c r="L38" s="6"/>
      <c r="V38" s="9"/>
    </row>
    <row r="39" spans="1:22">
      <c r="A39" s="1" t="s">
        <v>60</v>
      </c>
      <c r="B39" s="6">
        <v>0</v>
      </c>
      <c r="C39" s="1">
        <v>147437.99501668406</v>
      </c>
      <c r="D39" s="1">
        <v>0</v>
      </c>
      <c r="E39" s="1">
        <v>0</v>
      </c>
      <c r="F39" s="1">
        <v>0</v>
      </c>
      <c r="G39" s="9">
        <f>SUM(NC_FINANCIAL)</f>
        <v>147437.99501668406</v>
      </c>
      <c r="L39" s="6">
        <v>0</v>
      </c>
      <c r="M39" s="1">
        <v>0</v>
      </c>
      <c r="O39" s="1">
        <v>250000</v>
      </c>
      <c r="P39" s="1">
        <v>0</v>
      </c>
      <c r="R39" s="1">
        <v>0</v>
      </c>
      <c r="S39" s="1">
        <v>0</v>
      </c>
      <c r="U39" s="1">
        <v>0</v>
      </c>
      <c r="V39" s="9">
        <v>0</v>
      </c>
    </row>
    <row r="40" spans="1:22">
      <c r="A40" s="1" t="s">
        <v>61</v>
      </c>
      <c r="B40" s="6">
        <v>0</v>
      </c>
      <c r="C40" s="1">
        <v>11212.999621007328</v>
      </c>
      <c r="D40" s="1">
        <v>0</v>
      </c>
      <c r="E40" s="1">
        <v>0</v>
      </c>
      <c r="F40" s="1">
        <v>0</v>
      </c>
      <c r="G40" s="9">
        <f>SUM(ND_FINANCIAL)</f>
        <v>11212.999621007328</v>
      </c>
      <c r="L40" s="6"/>
      <c r="V40" s="9"/>
    </row>
    <row r="41" spans="1:22">
      <c r="A41" s="1" t="s">
        <v>62</v>
      </c>
      <c r="B41" s="6">
        <v>0</v>
      </c>
      <c r="C41" s="1">
        <v>249073.99158144824</v>
      </c>
      <c r="D41" s="1">
        <v>0</v>
      </c>
      <c r="E41" s="1">
        <v>0</v>
      </c>
      <c r="F41" s="1">
        <v>0</v>
      </c>
      <c r="G41" s="9">
        <f>SUM(OH_FINANCIAL)</f>
        <v>249073.99158144824</v>
      </c>
      <c r="L41" s="6"/>
      <c r="V41" s="9"/>
    </row>
    <row r="42" spans="1:22">
      <c r="A42" s="1" t="s">
        <v>63</v>
      </c>
      <c r="B42" s="6">
        <v>0</v>
      </c>
      <c r="C42" s="1">
        <v>5995.9997973387972</v>
      </c>
      <c r="D42" s="1">
        <v>0</v>
      </c>
      <c r="E42" s="1">
        <v>0</v>
      </c>
      <c r="F42" s="1">
        <v>0</v>
      </c>
      <c r="G42" s="9">
        <f>SUM(OK_FINANCIAL)</f>
        <v>5995.9997973387972</v>
      </c>
      <c r="L42" s="6"/>
      <c r="V42" s="9"/>
    </row>
    <row r="43" spans="1:22">
      <c r="A43" s="1" t="s">
        <v>64</v>
      </c>
      <c r="B43" s="6">
        <v>0</v>
      </c>
      <c r="C43" s="1">
        <v>1457.9999507204748</v>
      </c>
      <c r="D43" s="1">
        <v>0</v>
      </c>
      <c r="E43" s="1">
        <v>0</v>
      </c>
      <c r="F43" s="1">
        <v>0</v>
      </c>
      <c r="G43" s="9">
        <f>SUM(OR_FINANCIAL)</f>
        <v>1457.9999507204748</v>
      </c>
      <c r="L43" s="6"/>
      <c r="V43" s="9"/>
    </row>
    <row r="44" spans="1:22">
      <c r="A44" s="1" t="s">
        <v>65</v>
      </c>
      <c r="B44" s="6">
        <v>0</v>
      </c>
      <c r="C44" s="1">
        <v>20511.999306706708</v>
      </c>
      <c r="D44" s="1">
        <v>0</v>
      </c>
      <c r="E44" s="1">
        <v>0</v>
      </c>
      <c r="F44" s="1">
        <v>0</v>
      </c>
      <c r="G44" s="9">
        <f>SUM(PA_FINANCIAL)</f>
        <v>20511.999306706708</v>
      </c>
      <c r="L44" s="6"/>
      <c r="V44" s="9"/>
    </row>
    <row r="45" spans="1:22">
      <c r="A45" s="1" t="s">
        <v>66</v>
      </c>
      <c r="B45" s="6">
        <v>0</v>
      </c>
      <c r="C45" s="1">
        <v>0</v>
      </c>
      <c r="D45" s="1">
        <v>0</v>
      </c>
      <c r="E45" s="1">
        <v>0</v>
      </c>
      <c r="F45" s="1">
        <v>0</v>
      </c>
      <c r="G45" s="9">
        <f>SUM(PR_FINANCIAL)</f>
        <v>0</v>
      </c>
      <c r="L45" s="6"/>
      <c r="V45" s="9"/>
    </row>
    <row r="46" spans="1:22">
      <c r="A46" s="1" t="s">
        <v>67</v>
      </c>
      <c r="B46" s="6">
        <v>0</v>
      </c>
      <c r="C46" s="1">
        <v>1920.9999350713524</v>
      </c>
      <c r="D46" s="1">
        <v>0</v>
      </c>
      <c r="E46" s="1">
        <v>0</v>
      </c>
      <c r="F46" s="1">
        <v>0</v>
      </c>
      <c r="G46" s="9">
        <f>SUM(RI_FINANCIAL)</f>
        <v>1920.9999350713524</v>
      </c>
      <c r="L46" s="6"/>
      <c r="V46" s="9"/>
    </row>
    <row r="47" spans="1:22">
      <c r="A47" s="1" t="s">
        <v>68</v>
      </c>
      <c r="B47" s="6">
        <v>0</v>
      </c>
      <c r="C47" s="1">
        <v>49519.998326253713</v>
      </c>
      <c r="D47" s="1">
        <v>0</v>
      </c>
      <c r="E47" s="1">
        <v>0</v>
      </c>
      <c r="F47" s="1">
        <v>0</v>
      </c>
      <c r="G47" s="9">
        <f>SUM(SC_FINANCIAL)</f>
        <v>49519.998326253713</v>
      </c>
      <c r="L47" s="6"/>
      <c r="V47" s="9"/>
    </row>
    <row r="48" spans="1:22">
      <c r="A48" s="1" t="s">
        <v>69</v>
      </c>
      <c r="B48" s="6">
        <v>0</v>
      </c>
      <c r="C48" s="1">
        <v>4067.9998625040407</v>
      </c>
      <c r="D48" s="1">
        <v>0</v>
      </c>
      <c r="E48" s="1">
        <v>0</v>
      </c>
      <c r="F48" s="1">
        <v>0</v>
      </c>
      <c r="G48" s="9">
        <f>SUM(SD_FINANCIAL)</f>
        <v>4067.9998625040407</v>
      </c>
      <c r="L48" s="6"/>
      <c r="V48" s="9"/>
    </row>
    <row r="49" spans="1:22">
      <c r="A49" s="1" t="s">
        <v>70</v>
      </c>
      <c r="B49" s="6">
        <v>0</v>
      </c>
      <c r="C49" s="1">
        <v>45909.998448269544</v>
      </c>
      <c r="D49" s="1">
        <v>0</v>
      </c>
      <c r="E49" s="1">
        <v>0</v>
      </c>
      <c r="F49" s="1">
        <v>0</v>
      </c>
      <c r="G49" s="9">
        <f>SUM(TN_FINANCIAL)</f>
        <v>45909.998448269544</v>
      </c>
      <c r="L49" s="6"/>
      <c r="V49" s="9"/>
    </row>
    <row r="50" spans="1:22">
      <c r="A50" s="1" t="s">
        <v>71</v>
      </c>
      <c r="B50" s="6">
        <v>0</v>
      </c>
      <c r="C50" s="1">
        <v>198853.99327885412</v>
      </c>
      <c r="D50" s="1">
        <v>0</v>
      </c>
      <c r="E50" s="1">
        <v>0</v>
      </c>
      <c r="F50" s="1">
        <v>0</v>
      </c>
      <c r="G50" s="9">
        <f>SUM(TX_FINANCIAL)</f>
        <v>198853.99327885412</v>
      </c>
      <c r="L50" s="6"/>
      <c r="V50" s="9"/>
    </row>
    <row r="51" spans="1:22">
      <c r="A51" s="1" t="s">
        <v>72</v>
      </c>
      <c r="B51" s="6">
        <v>0</v>
      </c>
      <c r="C51" s="1">
        <v>24845.999160220108</v>
      </c>
      <c r="D51" s="1">
        <v>0</v>
      </c>
      <c r="E51" s="1">
        <v>0</v>
      </c>
      <c r="F51" s="1">
        <v>0</v>
      </c>
      <c r="G51" s="9">
        <f>SUM(UT_FINANCIAL)</f>
        <v>24845.999160220108</v>
      </c>
      <c r="L51" s="6"/>
      <c r="V51" s="9"/>
    </row>
    <row r="52" spans="1:22">
      <c r="A52" s="1" t="s">
        <v>73</v>
      </c>
      <c r="B52" s="6">
        <v>0</v>
      </c>
      <c r="C52" s="1">
        <v>364.99998766321897</v>
      </c>
      <c r="D52" s="1">
        <v>0</v>
      </c>
      <c r="E52" s="1">
        <v>0</v>
      </c>
      <c r="F52" s="1">
        <v>0</v>
      </c>
      <c r="G52" s="9">
        <f>SUM(VT_FINANCIAL)</f>
        <v>364.99998766321897</v>
      </c>
      <c r="L52" s="6"/>
      <c r="V52" s="9"/>
    </row>
    <row r="53" spans="1:22">
      <c r="A53" s="1" t="s">
        <v>74</v>
      </c>
      <c r="B53" s="6">
        <v>0</v>
      </c>
      <c r="C53" s="1">
        <v>60966.997939351975</v>
      </c>
      <c r="D53" s="1">
        <v>0</v>
      </c>
      <c r="E53" s="1">
        <v>0</v>
      </c>
      <c r="F53" s="1">
        <v>0</v>
      </c>
      <c r="G53" s="9">
        <f>SUM(VA_FINANCIAL)</f>
        <v>60966.997939351975</v>
      </c>
      <c r="L53" s="6"/>
      <c r="V53" s="9"/>
    </row>
    <row r="54" spans="1:22">
      <c r="A54" s="1" t="s">
        <v>75</v>
      </c>
      <c r="B54" s="6">
        <v>0</v>
      </c>
      <c r="C54" s="1">
        <v>7672.9997406572038</v>
      </c>
      <c r="D54" s="1">
        <v>0</v>
      </c>
      <c r="E54" s="1">
        <v>0</v>
      </c>
      <c r="F54" s="1">
        <v>0</v>
      </c>
      <c r="G54" s="9">
        <f>SUM(WA_FINANCIAL)</f>
        <v>7672.9997406572038</v>
      </c>
      <c r="L54" s="6"/>
      <c r="V54" s="9"/>
    </row>
    <row r="55" spans="1:22">
      <c r="A55" s="1" t="s">
        <v>76</v>
      </c>
      <c r="B55" s="6">
        <v>0</v>
      </c>
      <c r="C55" s="1">
        <v>30704.99896218942</v>
      </c>
      <c r="D55" s="1">
        <v>0</v>
      </c>
      <c r="E55" s="1">
        <v>0</v>
      </c>
      <c r="F55" s="1">
        <v>0</v>
      </c>
      <c r="G55" s="9">
        <f>SUM(WV_FINANCIAL)</f>
        <v>30704.99896218942</v>
      </c>
      <c r="L55" s="6"/>
      <c r="V55" s="9"/>
    </row>
    <row r="56" spans="1:22">
      <c r="A56" s="1" t="s">
        <v>77</v>
      </c>
      <c r="B56" s="6">
        <v>0</v>
      </c>
      <c r="C56" s="1">
        <v>88112.997021833464</v>
      </c>
      <c r="D56" s="1">
        <v>0</v>
      </c>
      <c r="E56" s="1">
        <v>0</v>
      </c>
      <c r="F56" s="1">
        <v>0</v>
      </c>
      <c r="G56" s="9">
        <f>SUM(WI_FINANCIAL)</f>
        <v>88112.997021833464</v>
      </c>
      <c r="L56" s="6"/>
      <c r="V56" s="9"/>
    </row>
    <row r="57" spans="1:22">
      <c r="A57" s="1" t="s">
        <v>78</v>
      </c>
      <c r="B57" s="6">
        <v>0</v>
      </c>
      <c r="C57" s="1">
        <v>2201.9999255737212</v>
      </c>
      <c r="D57" s="1">
        <v>0</v>
      </c>
      <c r="E57" s="1">
        <v>0</v>
      </c>
      <c r="F57" s="1">
        <v>0</v>
      </c>
      <c r="G57" s="9">
        <f>SUM(WY_FINANCIAL)</f>
        <v>2201.9999255737212</v>
      </c>
      <c r="L57" s="6">
        <v>0</v>
      </c>
      <c r="M57" s="1">
        <v>0</v>
      </c>
      <c r="O57" s="1">
        <v>28000</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3028888.897625369</v>
      </c>
      <c r="D60" s="1">
        <f>SUM(HEALTH)</f>
        <v>0</v>
      </c>
      <c r="E60" s="1">
        <f>SUM(UNALLOCATED)</f>
        <v>0</v>
      </c>
      <c r="F60" s="1">
        <f>SUM(LTC)</f>
        <v>0</v>
      </c>
      <c r="G60" s="9">
        <f>SUM(ALL_BLOCKS)</f>
        <v>3028888.897625369</v>
      </c>
      <c r="L60" s="6">
        <f>SUM(LIFE_CALLED)</f>
        <v>0</v>
      </c>
      <c r="M60" s="1">
        <f>SUM(LIFE_REFUNDED)</f>
        <v>0</v>
      </c>
      <c r="O60" s="1">
        <f>SUM(ALLOC_CALLED)</f>
        <v>438000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168</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161695.32144319959</v>
      </c>
      <c r="E6" s="1">
        <v>0</v>
      </c>
      <c r="F6" s="1">
        <v>0</v>
      </c>
      <c r="G6" s="9">
        <f>SUM(AL_FINANCIAL)</f>
        <v>161695.32144319959</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91659.906084243907</v>
      </c>
      <c r="E8" s="1">
        <v>0</v>
      </c>
      <c r="F8" s="1">
        <v>0</v>
      </c>
      <c r="G8" s="9">
        <f>SUM(AZ_FINANCIAL)</f>
        <v>91659.906084243907</v>
      </c>
      <c r="I8" s="13" t="s">
        <v>14</v>
      </c>
      <c r="J8" s="16"/>
      <c r="L8" s="6"/>
      <c r="V8" s="9"/>
    </row>
    <row r="9" spans="1:22">
      <c r="A9" s="1" t="s">
        <v>15</v>
      </c>
      <c r="B9" s="6">
        <v>0</v>
      </c>
      <c r="C9" s="1">
        <v>0</v>
      </c>
      <c r="D9" s="1">
        <v>65653.547622259473</v>
      </c>
      <c r="E9" s="1">
        <v>0</v>
      </c>
      <c r="F9" s="1">
        <v>0</v>
      </c>
      <c r="G9" s="9">
        <f>SUM(AR_FINANCIAL)</f>
        <v>65653.547622259473</v>
      </c>
      <c r="I9" s="13"/>
      <c r="J9" s="16"/>
      <c r="L9" s="6">
        <v>0</v>
      </c>
      <c r="M9" s="1">
        <v>0</v>
      </c>
      <c r="O9" s="1">
        <v>0</v>
      </c>
      <c r="P9" s="1">
        <v>0</v>
      </c>
      <c r="R9" s="1">
        <v>70294</v>
      </c>
      <c r="S9" s="1">
        <v>0</v>
      </c>
      <c r="U9" s="1">
        <v>0</v>
      </c>
      <c r="V9" s="9">
        <v>0</v>
      </c>
    </row>
    <row r="10" spans="1:22">
      <c r="A10" s="1" t="s">
        <v>16</v>
      </c>
      <c r="B10" s="6">
        <v>0</v>
      </c>
      <c r="C10" s="1">
        <v>0</v>
      </c>
      <c r="D10" s="1">
        <v>0</v>
      </c>
      <c r="E10" s="1">
        <v>0</v>
      </c>
      <c r="F10" s="1">
        <v>0</v>
      </c>
      <c r="G10" s="9">
        <f>SUM(CA_FINANCIAL)</f>
        <v>0</v>
      </c>
      <c r="I10" s="13" t="s">
        <v>17</v>
      </c>
      <c r="J10" s="16">
        <v>2552388</v>
      </c>
      <c r="L10" s="6"/>
      <c r="V10" s="9"/>
    </row>
    <row r="11" spans="1:22">
      <c r="A11" s="1" t="s">
        <v>18</v>
      </c>
      <c r="B11" s="6">
        <v>0</v>
      </c>
      <c r="C11" s="1">
        <v>0</v>
      </c>
      <c r="D11" s="1">
        <v>-16736.376104086317</v>
      </c>
      <c r="E11" s="1">
        <v>0</v>
      </c>
      <c r="F11" s="1">
        <v>0</v>
      </c>
      <c r="G11" s="9">
        <f>SUM(CO_FINANCIAL)</f>
        <v>-16736.376104086317</v>
      </c>
      <c r="I11" s="13"/>
      <c r="J11" s="16"/>
      <c r="L11" s="6">
        <v>0</v>
      </c>
      <c r="M11" s="1">
        <v>0</v>
      </c>
      <c r="O11" s="1">
        <v>0</v>
      </c>
      <c r="P11" s="1">
        <v>0</v>
      </c>
      <c r="R11" s="1">
        <v>369296</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8434.2673074472223</v>
      </c>
      <c r="E13" s="1">
        <v>0</v>
      </c>
      <c r="F13" s="1">
        <v>0</v>
      </c>
      <c r="G13" s="9">
        <f>SUM(DE_FINANCIAL)</f>
        <v>8434.2673074472223</v>
      </c>
      <c r="I13" s="13" t="s">
        <v>22</v>
      </c>
      <c r="J13" s="16">
        <v>91271</v>
      </c>
      <c r="L13" s="6"/>
      <c r="V13" s="9"/>
    </row>
    <row r="14" spans="1:22">
      <c r="A14" s="1" t="s">
        <v>23</v>
      </c>
      <c r="B14" s="6">
        <v>0</v>
      </c>
      <c r="C14" s="1">
        <v>0</v>
      </c>
      <c r="D14" s="1">
        <v>0</v>
      </c>
      <c r="E14" s="1">
        <v>0</v>
      </c>
      <c r="F14" s="1">
        <v>0</v>
      </c>
      <c r="G14" s="9">
        <f>SUM(DC_FINANCIAL)</f>
        <v>0</v>
      </c>
      <c r="I14" s="13" t="s">
        <v>24</v>
      </c>
      <c r="J14" s="16">
        <v>3003885</v>
      </c>
      <c r="L14" s="6"/>
      <c r="V14" s="9"/>
    </row>
    <row r="15" spans="1:22">
      <c r="A15" s="1" t="s">
        <v>25</v>
      </c>
      <c r="B15" s="6">
        <v>0</v>
      </c>
      <c r="C15" s="1">
        <v>0</v>
      </c>
      <c r="D15" s="1">
        <v>436825.42957053881</v>
      </c>
      <c r="E15" s="1">
        <v>0</v>
      </c>
      <c r="F15" s="1">
        <v>0</v>
      </c>
      <c r="G15" s="9">
        <f>SUM(FL_FINANCIAL)</f>
        <v>436825.42957053881</v>
      </c>
      <c r="I15" s="13" t="s">
        <v>26</v>
      </c>
      <c r="J15" s="16">
        <v>1905625.3900000001</v>
      </c>
      <c r="L15" s="6"/>
      <c r="V15" s="9"/>
    </row>
    <row r="16" spans="1:22">
      <c r="A16" s="1" t="s">
        <v>27</v>
      </c>
      <c r="B16" s="6">
        <v>0</v>
      </c>
      <c r="C16" s="1">
        <v>0</v>
      </c>
      <c r="D16" s="1">
        <v>1478303.1205221065</v>
      </c>
      <c r="E16" s="1">
        <v>0</v>
      </c>
      <c r="F16" s="1">
        <v>0</v>
      </c>
      <c r="G16" s="9">
        <f>SUM(GA_FINANCIAL)</f>
        <v>1478303.1205221065</v>
      </c>
      <c r="I16" s="13" t="s">
        <v>28</v>
      </c>
      <c r="J16" s="16">
        <v>0</v>
      </c>
      <c r="L16" s="6">
        <v>0</v>
      </c>
      <c r="M16" s="1">
        <v>0</v>
      </c>
      <c r="O16" s="1">
        <v>0</v>
      </c>
      <c r="P16" s="1">
        <v>0</v>
      </c>
      <c r="R16" s="1">
        <v>1448000</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29909.155286885987</v>
      </c>
      <c r="E18" s="1">
        <v>0</v>
      </c>
      <c r="F18" s="1">
        <v>0</v>
      </c>
      <c r="G18" s="9">
        <f>SUM(ID_FINANCIAL)</f>
        <v>29909.155286885987</v>
      </c>
      <c r="I18" s="13" t="s">
        <v>31</v>
      </c>
      <c r="J18" s="16"/>
      <c r="L18" s="6">
        <v>0</v>
      </c>
      <c r="M18" s="1">
        <v>0</v>
      </c>
      <c r="O18" s="1">
        <v>0</v>
      </c>
      <c r="P18" s="1">
        <v>0</v>
      </c>
      <c r="R18" s="1">
        <v>43000</v>
      </c>
      <c r="S18" s="1">
        <v>0</v>
      </c>
      <c r="U18" s="1">
        <v>0</v>
      </c>
      <c r="V18" s="9">
        <v>0</v>
      </c>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28022</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118.86244268478947</v>
      </c>
      <c r="E22" s="1">
        <v>0</v>
      </c>
      <c r="F22" s="1">
        <v>0</v>
      </c>
      <c r="G22" s="9">
        <f>SUM(KS_FINANCIAL)</f>
        <v>118.86244268478947</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240962.46322192441</v>
      </c>
      <c r="E24" s="1">
        <v>0</v>
      </c>
      <c r="F24" s="1">
        <v>0</v>
      </c>
      <c r="G24" s="9">
        <f>SUM(LA_FINANCIAL)</f>
        <v>240962.46322192441</v>
      </c>
      <c r="I24" s="13" t="s">
        <v>43</v>
      </c>
      <c r="J24" s="16">
        <v>2587048</v>
      </c>
      <c r="L24" s="6">
        <v>226286</v>
      </c>
      <c r="M24" s="1">
        <v>0</v>
      </c>
      <c r="O24" s="1">
        <v>0</v>
      </c>
      <c r="P24" s="1">
        <v>0</v>
      </c>
      <c r="R24" s="1">
        <v>378714</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4938099.3900000006</v>
      </c>
      <c r="L26" s="6"/>
      <c r="V26" s="9"/>
    </row>
    <row r="27" spans="1:22">
      <c r="A27" s="1" t="s">
        <v>47</v>
      </c>
      <c r="B27" s="6">
        <v>0</v>
      </c>
      <c r="C27" s="1">
        <v>0</v>
      </c>
      <c r="D27" s="1">
        <v>0</v>
      </c>
      <c r="E27" s="1">
        <v>0</v>
      </c>
      <c r="F27" s="1">
        <v>0</v>
      </c>
      <c r="G27" s="9">
        <f>SUM(MA_FINANCIAL)</f>
        <v>0</v>
      </c>
      <c r="I27" s="13" t="s">
        <v>48</v>
      </c>
      <c r="J27" s="16">
        <f>SUM(ALL_BLOCKS)</f>
        <v>4938099.3900000006</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232585.5065187671</v>
      </c>
      <c r="E30" s="1">
        <v>0</v>
      </c>
      <c r="F30" s="1">
        <v>0</v>
      </c>
      <c r="G30" s="9">
        <f>SUM(MS_FINANCIAL)</f>
        <v>232585.5065187671</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10358.88129907998</v>
      </c>
      <c r="E32" s="1">
        <v>0</v>
      </c>
      <c r="F32" s="1">
        <v>0</v>
      </c>
      <c r="G32" s="9">
        <f>SUM(MT_FINANCIAL)</f>
        <v>10358.88129907998</v>
      </c>
      <c r="L32" s="6"/>
      <c r="V32" s="9"/>
    </row>
    <row r="33" spans="1:22">
      <c r="A33" s="1" t="s">
        <v>54</v>
      </c>
      <c r="B33" s="6">
        <v>0</v>
      </c>
      <c r="C33" s="1">
        <v>0</v>
      </c>
      <c r="D33" s="1">
        <v>27787.428321162752</v>
      </c>
      <c r="E33" s="1">
        <v>0</v>
      </c>
      <c r="F33" s="1">
        <v>0</v>
      </c>
      <c r="G33" s="9">
        <f>SUM(NE_FINANCIAL)</f>
        <v>27787.428321162752</v>
      </c>
      <c r="L33" s="6"/>
      <c r="V33" s="9"/>
    </row>
    <row r="34" spans="1:22">
      <c r="A34" s="1" t="s">
        <v>55</v>
      </c>
      <c r="B34" s="6">
        <v>0</v>
      </c>
      <c r="C34" s="1">
        <v>0</v>
      </c>
      <c r="D34" s="1">
        <v>922.25532764664354</v>
      </c>
      <c r="E34" s="1">
        <v>0</v>
      </c>
      <c r="F34" s="1">
        <v>0</v>
      </c>
      <c r="G34" s="9">
        <f>SUM(NV_FINANCIAL)</f>
        <v>922.25532764664354</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-84812.560231952055</v>
      </c>
      <c r="E37" s="1">
        <v>0</v>
      </c>
      <c r="F37" s="1">
        <v>0</v>
      </c>
      <c r="G37" s="9">
        <f>SUM(NM_FINANCIAL)</f>
        <v>-84812.560231952055</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17347.272248692942</v>
      </c>
      <c r="E41" s="1">
        <v>0</v>
      </c>
      <c r="F41" s="1">
        <v>0</v>
      </c>
      <c r="G41" s="9">
        <f>SUM(OH_FINANCIAL)</f>
        <v>17347.272248692942</v>
      </c>
      <c r="L41" s="6"/>
      <c r="V41" s="9"/>
    </row>
    <row r="42" spans="1:22">
      <c r="A42" s="1" t="s">
        <v>63</v>
      </c>
      <c r="B42" s="6">
        <v>0</v>
      </c>
      <c r="C42" s="1">
        <v>0</v>
      </c>
      <c r="D42" s="1">
        <v>156806.49962882433</v>
      </c>
      <c r="E42" s="1">
        <v>0</v>
      </c>
      <c r="F42" s="1">
        <v>0</v>
      </c>
      <c r="G42" s="9">
        <f>SUM(OK_FINANCIAL)</f>
        <v>156806.49962882433</v>
      </c>
      <c r="L42" s="6">
        <v>0</v>
      </c>
      <c r="M42" s="1">
        <v>0</v>
      </c>
      <c r="O42" s="1">
        <v>0</v>
      </c>
      <c r="P42" s="1">
        <v>0</v>
      </c>
      <c r="R42" s="1">
        <v>200000</v>
      </c>
      <c r="S42" s="1">
        <v>0</v>
      </c>
      <c r="U42" s="1">
        <v>0</v>
      </c>
      <c r="V42" s="9">
        <v>0</v>
      </c>
    </row>
    <row r="43" spans="1:22">
      <c r="A43" s="1" t="s">
        <v>64</v>
      </c>
      <c r="B43" s="6">
        <v>0</v>
      </c>
      <c r="C43" s="1">
        <v>0</v>
      </c>
      <c r="D43" s="1">
        <v>35308.614284625066</v>
      </c>
      <c r="E43" s="1">
        <v>0</v>
      </c>
      <c r="F43" s="1">
        <v>0</v>
      </c>
      <c r="G43" s="9">
        <f>SUM(OR_FINANCIAL)</f>
        <v>35308.614284625066</v>
      </c>
      <c r="L43" s="6"/>
      <c r="V43" s="9"/>
    </row>
    <row r="44" spans="1:22">
      <c r="A44" s="1" t="s">
        <v>65</v>
      </c>
      <c r="B44" s="6">
        <v>0</v>
      </c>
      <c r="C44" s="1">
        <v>0</v>
      </c>
      <c r="D44" s="1">
        <v>64.814745574174168</v>
      </c>
      <c r="E44" s="1">
        <v>0</v>
      </c>
      <c r="F44" s="1">
        <v>0</v>
      </c>
      <c r="G44" s="9">
        <f>SUM(PA_FINANCIAL)</f>
        <v>64.814745574174168</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1128441.3448066616</v>
      </c>
      <c r="E47" s="1">
        <v>0</v>
      </c>
      <c r="F47" s="1">
        <v>0</v>
      </c>
      <c r="G47" s="9">
        <f>SUM(SC_FINANCIAL)</f>
        <v>1128441.3448066616</v>
      </c>
      <c r="L47" s="6">
        <v>0</v>
      </c>
      <c r="M47" s="1">
        <v>0</v>
      </c>
      <c r="O47" s="1">
        <v>0</v>
      </c>
      <c r="P47" s="1">
        <v>0</v>
      </c>
      <c r="R47" s="1">
        <v>1200000</v>
      </c>
      <c r="S47" s="1">
        <v>0</v>
      </c>
      <c r="U47" s="1">
        <v>0</v>
      </c>
      <c r="V47" s="9">
        <v>0</v>
      </c>
    </row>
    <row r="48" spans="1:22">
      <c r="A48" s="1" t="s">
        <v>69</v>
      </c>
      <c r="B48" s="6">
        <v>0</v>
      </c>
      <c r="C48" s="1">
        <v>0</v>
      </c>
      <c r="D48" s="1">
        <v>-5398.1026653696717</v>
      </c>
      <c r="E48" s="1">
        <v>0</v>
      </c>
      <c r="F48" s="1">
        <v>0</v>
      </c>
      <c r="G48" s="9">
        <f>SUM(SD_FINANCIAL)</f>
        <v>-5398.1026653696717</v>
      </c>
      <c r="L48" s="6"/>
      <c r="V48" s="9"/>
    </row>
    <row r="49" spans="1:22">
      <c r="A49" s="1" t="s">
        <v>70</v>
      </c>
      <c r="B49" s="6">
        <v>0</v>
      </c>
      <c r="C49" s="1">
        <v>0</v>
      </c>
      <c r="D49" s="1">
        <v>187562.89767954146</v>
      </c>
      <c r="E49" s="1">
        <v>0</v>
      </c>
      <c r="F49" s="1">
        <v>0</v>
      </c>
      <c r="G49" s="9">
        <f>SUM(TN_FINANCIAL)</f>
        <v>187562.89767954146</v>
      </c>
      <c r="L49" s="6">
        <v>0</v>
      </c>
      <c r="M49" s="1">
        <v>0</v>
      </c>
      <c r="O49" s="1">
        <v>0</v>
      </c>
      <c r="P49" s="1">
        <v>0</v>
      </c>
      <c r="R49" s="1">
        <v>250000</v>
      </c>
      <c r="S49" s="1">
        <v>0</v>
      </c>
      <c r="U49" s="1">
        <v>0</v>
      </c>
      <c r="V49" s="9">
        <v>0</v>
      </c>
    </row>
    <row r="50" spans="1:22">
      <c r="A50" s="1" t="s">
        <v>71</v>
      </c>
      <c r="B50" s="6">
        <v>2000</v>
      </c>
      <c r="C50" s="1">
        <v>0</v>
      </c>
      <c r="D50" s="1">
        <v>732248.65127678751</v>
      </c>
      <c r="E50" s="1">
        <v>0</v>
      </c>
      <c r="F50" s="1">
        <v>0</v>
      </c>
      <c r="G50" s="9">
        <f>SUM(TX_FINANCIAL)</f>
        <v>734248.65127678751</v>
      </c>
      <c r="L50" s="6"/>
      <c r="V50" s="9"/>
    </row>
    <row r="51" spans="1:22">
      <c r="A51" s="1" t="s">
        <v>72</v>
      </c>
      <c r="B51" s="6">
        <v>0</v>
      </c>
      <c r="C51" s="1">
        <v>0</v>
      </c>
      <c r="D51" s="1">
        <v>50.18936275385385</v>
      </c>
      <c r="E51" s="1">
        <v>0</v>
      </c>
      <c r="F51" s="1">
        <v>0</v>
      </c>
      <c r="G51" s="9">
        <f>SUM(UT_FINANCIAL)</f>
        <v>50.18936275385385</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2000</v>
      </c>
      <c r="C60" s="1">
        <f>SUM(ALLOCATED)</f>
        <v>0</v>
      </c>
      <c r="D60" s="1">
        <f>SUM(HEALTH)</f>
        <v>4936099.3900000006</v>
      </c>
      <c r="E60" s="1">
        <f>SUM(UNALLOCATED)</f>
        <v>0</v>
      </c>
      <c r="F60" s="1">
        <f>SUM(LTC)</f>
        <v>0</v>
      </c>
      <c r="G60" s="9">
        <f>SUM(ALL_BLOCKS)</f>
        <v>4938099.3900000006</v>
      </c>
      <c r="L60" s="6">
        <f>SUM(LIFE_CALLED)</f>
        <v>226286</v>
      </c>
      <c r="M60" s="1">
        <f>SUM(LIFE_REFUNDED)</f>
        <v>0</v>
      </c>
      <c r="O60" s="1">
        <f>SUM(ALLOC_CALLED)</f>
        <v>0</v>
      </c>
      <c r="P60" s="1">
        <f>SUM(ALLOC_REFUNDED)</f>
        <v>0</v>
      </c>
      <c r="R60" s="1">
        <f>SUM(HEALTH_CALLED)</f>
        <v>3959304</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88</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4471.5138840532927</v>
      </c>
      <c r="C6" s="1">
        <v>0</v>
      </c>
      <c r="D6" s="1">
        <v>243.11027272026081</v>
      </c>
      <c r="E6" s="1">
        <v>0</v>
      </c>
      <c r="F6" s="1">
        <v>0</v>
      </c>
      <c r="G6" s="9">
        <f>SUM(AL_FINANCIAL)</f>
        <v>4714.6241567735533</v>
      </c>
      <c r="L6" s="6"/>
      <c r="V6" s="9"/>
    </row>
    <row r="7" spans="1:22">
      <c r="A7" s="1" t="s">
        <v>12</v>
      </c>
      <c r="B7" s="6">
        <v>2453.0758684889806</v>
      </c>
      <c r="C7" s="1">
        <v>0</v>
      </c>
      <c r="D7" s="1">
        <v>5.2622292495294403</v>
      </c>
      <c r="E7" s="1">
        <v>0</v>
      </c>
      <c r="F7" s="1">
        <v>0</v>
      </c>
      <c r="G7" s="9">
        <f>SUM(AK_FINANCIAL)</f>
        <v>2458.33809773851</v>
      </c>
      <c r="I7" s="12"/>
      <c r="J7" s="15"/>
      <c r="L7" s="6">
        <v>50000</v>
      </c>
      <c r="M7" s="1">
        <v>0</v>
      </c>
      <c r="O7" s="1">
        <v>0</v>
      </c>
      <c r="P7" s="1">
        <v>0</v>
      </c>
      <c r="R7" s="1">
        <v>0</v>
      </c>
      <c r="S7" s="1">
        <v>0</v>
      </c>
      <c r="U7" s="1">
        <v>0</v>
      </c>
      <c r="V7" s="9">
        <v>0</v>
      </c>
    </row>
    <row r="8" spans="1:22">
      <c r="A8" s="1" t="s">
        <v>13</v>
      </c>
      <c r="B8" s="6">
        <v>543096.88009524858</v>
      </c>
      <c r="C8" s="1">
        <v>271614.57342739403</v>
      </c>
      <c r="D8" s="1">
        <v>16028.356391664012</v>
      </c>
      <c r="E8" s="1">
        <v>0</v>
      </c>
      <c r="F8" s="1">
        <v>0</v>
      </c>
      <c r="G8" s="9">
        <f>SUM(AZ_FINANCIAL)</f>
        <v>830739.80991430662</v>
      </c>
      <c r="I8" s="13" t="s">
        <v>14</v>
      </c>
      <c r="J8" s="16"/>
      <c r="L8" s="6">
        <v>0</v>
      </c>
      <c r="M8" s="1">
        <v>0</v>
      </c>
      <c r="O8" s="1">
        <v>0</v>
      </c>
      <c r="P8" s="1">
        <v>0</v>
      </c>
      <c r="R8" s="1">
        <v>0</v>
      </c>
      <c r="S8" s="1">
        <v>0</v>
      </c>
      <c r="U8" s="1">
        <v>0</v>
      </c>
      <c r="V8" s="9">
        <v>0</v>
      </c>
    </row>
    <row r="9" spans="1:22">
      <c r="A9" s="1" t="s">
        <v>15</v>
      </c>
      <c r="B9" s="6">
        <v>664034.26556450804</v>
      </c>
      <c r="C9" s="1">
        <v>6753.8774351181492</v>
      </c>
      <c r="D9" s="1">
        <v>4050.7316848170231</v>
      </c>
      <c r="E9" s="1">
        <v>0</v>
      </c>
      <c r="F9" s="1">
        <v>0</v>
      </c>
      <c r="G9" s="9">
        <f>SUM(AR_FINANCIAL)</f>
        <v>674838.87468444323</v>
      </c>
      <c r="I9" s="13"/>
      <c r="J9" s="16"/>
      <c r="L9" s="6">
        <v>2000093</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21461671.379999999</v>
      </c>
      <c r="L10" s="6"/>
      <c r="V10" s="9"/>
    </row>
    <row r="11" spans="1:22">
      <c r="A11" s="1" t="s">
        <v>18</v>
      </c>
      <c r="B11" s="6">
        <v>28827.626645756041</v>
      </c>
      <c r="C11" s="1">
        <v>0</v>
      </c>
      <c r="D11" s="1">
        <v>0</v>
      </c>
      <c r="E11" s="1">
        <v>0</v>
      </c>
      <c r="F11" s="1">
        <v>0</v>
      </c>
      <c r="G11" s="9">
        <f>SUM(CO_FINANCIAL)</f>
        <v>28827.626645756041</v>
      </c>
      <c r="I11" s="13"/>
      <c r="J11" s="16"/>
      <c r="L11" s="6">
        <v>43585</v>
      </c>
      <c r="M11" s="1">
        <v>0</v>
      </c>
      <c r="O11" s="1">
        <v>0</v>
      </c>
      <c r="P11" s="1">
        <v>0</v>
      </c>
      <c r="R11" s="1">
        <v>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137228</v>
      </c>
      <c r="L13" s="6"/>
      <c r="V13" s="9"/>
    </row>
    <row r="14" spans="1:22">
      <c r="A14" s="1" t="s">
        <v>23</v>
      </c>
      <c r="B14" s="6">
        <v>0</v>
      </c>
      <c r="C14" s="1">
        <v>0</v>
      </c>
      <c r="D14" s="1">
        <v>0</v>
      </c>
      <c r="E14" s="1">
        <v>0</v>
      </c>
      <c r="F14" s="1">
        <v>0</v>
      </c>
      <c r="G14" s="9">
        <f>SUM(DC_FINANCIAL)</f>
        <v>0</v>
      </c>
      <c r="I14" s="13" t="s">
        <v>24</v>
      </c>
      <c r="J14" s="16">
        <v>955571</v>
      </c>
      <c r="L14" s="6"/>
      <c r="V14" s="9"/>
    </row>
    <row r="15" spans="1:22">
      <c r="A15" s="1" t="s">
        <v>25</v>
      </c>
      <c r="B15" s="6">
        <v>310569.27072684374</v>
      </c>
      <c r="C15" s="1">
        <v>0</v>
      </c>
      <c r="D15" s="1">
        <v>31612.769355519624</v>
      </c>
      <c r="E15" s="1">
        <v>0</v>
      </c>
      <c r="F15" s="1">
        <v>0</v>
      </c>
      <c r="G15" s="9">
        <f>SUM(FL_FINANCIAL)</f>
        <v>342182.04008236335</v>
      </c>
      <c r="I15" s="13" t="s">
        <v>26</v>
      </c>
      <c r="J15" s="16">
        <v>1572891.0199999998</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42698.746794763603</v>
      </c>
      <c r="C17" s="1">
        <v>2352.5213018003142</v>
      </c>
      <c r="D17" s="1">
        <v>199.72711785449508</v>
      </c>
      <c r="E17" s="1">
        <v>0</v>
      </c>
      <c r="F17" s="1">
        <v>0</v>
      </c>
      <c r="G17" s="9">
        <f>SUM(HI_FINANCIAL)</f>
        <v>45250.995214418414</v>
      </c>
      <c r="I17" s="13"/>
      <c r="J17" s="16"/>
      <c r="L17" s="6">
        <v>3864</v>
      </c>
      <c r="M17" s="1">
        <v>0</v>
      </c>
      <c r="O17" s="1">
        <v>0</v>
      </c>
      <c r="P17" s="1">
        <v>0</v>
      </c>
      <c r="R17" s="1">
        <v>0</v>
      </c>
      <c r="S17" s="1">
        <v>0</v>
      </c>
      <c r="U17" s="1">
        <v>0</v>
      </c>
      <c r="V17" s="9">
        <v>0</v>
      </c>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7396.7651932968292</v>
      </c>
      <c r="C20" s="1">
        <v>0</v>
      </c>
      <c r="D20" s="1">
        <v>2025.1715042681335</v>
      </c>
      <c r="E20" s="1">
        <v>0</v>
      </c>
      <c r="F20" s="1">
        <v>0</v>
      </c>
      <c r="G20" s="9">
        <f>SUM(IN_FINANCIAL)</f>
        <v>9421.9366975649627</v>
      </c>
      <c r="I20" s="13" t="s">
        <v>35</v>
      </c>
      <c r="J20" s="16">
        <v>-375118</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43368.127987657819</v>
      </c>
      <c r="C22" s="1">
        <v>3347.1593059665611</v>
      </c>
      <c r="D22" s="1">
        <v>17497.151342989717</v>
      </c>
      <c r="E22" s="1">
        <v>0</v>
      </c>
      <c r="F22" s="1">
        <v>0</v>
      </c>
      <c r="G22" s="9">
        <f>SUM(KS_FINANCIAL)</f>
        <v>64212.438636614097</v>
      </c>
      <c r="I22" s="13" t="s">
        <v>39</v>
      </c>
      <c r="J22" s="16">
        <v>5635144</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-10220.219204661062</v>
      </c>
      <c r="C24" s="1">
        <v>0</v>
      </c>
      <c r="D24" s="1">
        <v>0</v>
      </c>
      <c r="E24" s="1">
        <v>0</v>
      </c>
      <c r="F24" s="1">
        <v>0</v>
      </c>
      <c r="G24" s="9">
        <f>SUM(LA_FINANCIAL)</f>
        <v>-10220.219204661062</v>
      </c>
      <c r="I24" s="13" t="s">
        <v>43</v>
      </c>
      <c r="J24" s="16">
        <v>10390579.999999993</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8476755.400000006</v>
      </c>
      <c r="L26" s="6"/>
      <c r="V26" s="9"/>
    </row>
    <row r="27" spans="1:22">
      <c r="A27" s="1" t="s">
        <v>47</v>
      </c>
      <c r="B27" s="6">
        <v>0</v>
      </c>
      <c r="C27" s="1">
        <v>0</v>
      </c>
      <c r="D27" s="1">
        <v>0</v>
      </c>
      <c r="E27" s="1">
        <v>0</v>
      </c>
      <c r="F27" s="1">
        <v>0</v>
      </c>
      <c r="G27" s="9">
        <f>SUM(MA_FINANCIAL)</f>
        <v>0</v>
      </c>
      <c r="I27" s="13" t="s">
        <v>48</v>
      </c>
      <c r="J27" s="16">
        <f>SUM(ALL_BLOCKS)</f>
        <v>8476755.4000000004</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8190.8488022396377</v>
      </c>
      <c r="C30" s="1">
        <v>0</v>
      </c>
      <c r="D30" s="1">
        <v>1058.9203766105811</v>
      </c>
      <c r="E30" s="1">
        <v>0</v>
      </c>
      <c r="F30" s="1">
        <v>0</v>
      </c>
      <c r="G30" s="9">
        <f>SUM(MS_FINANCIAL)</f>
        <v>9249.7691788502198</v>
      </c>
      <c r="L30" s="6">
        <v>1085</v>
      </c>
      <c r="M30" s="1">
        <v>481</v>
      </c>
      <c r="O30" s="1">
        <v>0</v>
      </c>
      <c r="P30" s="1">
        <v>0</v>
      </c>
      <c r="R30" s="1">
        <v>3915</v>
      </c>
      <c r="S30" s="1">
        <v>1831</v>
      </c>
      <c r="U30" s="1">
        <v>0</v>
      </c>
      <c r="V30" s="9">
        <v>0</v>
      </c>
    </row>
    <row r="31" spans="1:22">
      <c r="A31" s="1" t="s">
        <v>52</v>
      </c>
      <c r="B31" s="6">
        <v>199894.48065924391</v>
      </c>
      <c r="C31" s="1">
        <v>11616.847353524678</v>
      </c>
      <c r="D31" s="1">
        <v>26355.722433309114</v>
      </c>
      <c r="E31" s="1">
        <v>0</v>
      </c>
      <c r="F31" s="1">
        <v>0</v>
      </c>
      <c r="G31" s="9">
        <f>SUM(MO_FINANCIAL)</f>
        <v>237867.05044607772</v>
      </c>
      <c r="L31" s="6"/>
      <c r="V31" s="9"/>
    </row>
    <row r="32" spans="1:22">
      <c r="A32" s="1" t="s">
        <v>53</v>
      </c>
      <c r="B32" s="6">
        <v>0</v>
      </c>
      <c r="C32" s="1">
        <v>0</v>
      </c>
      <c r="D32" s="1">
        <v>0</v>
      </c>
      <c r="E32" s="1">
        <v>0</v>
      </c>
      <c r="F32" s="1">
        <v>0</v>
      </c>
      <c r="G32" s="9">
        <f>SUM(MT_FINANCIAL)</f>
        <v>0</v>
      </c>
      <c r="L32" s="6"/>
      <c r="V32" s="9"/>
    </row>
    <row r="33" spans="1:22">
      <c r="A33" s="1" t="s">
        <v>54</v>
      </c>
      <c r="B33" s="6">
        <v>14140.720692789175</v>
      </c>
      <c r="C33" s="1">
        <v>83.822817792002922</v>
      </c>
      <c r="D33" s="1">
        <v>3753.1599284682979</v>
      </c>
      <c r="E33" s="1">
        <v>0</v>
      </c>
      <c r="F33" s="1">
        <v>0</v>
      </c>
      <c r="G33" s="9">
        <f>SUM(NE_FINANCIAL)</f>
        <v>17977.703439049474</v>
      </c>
      <c r="L33" s="6"/>
      <c r="V33" s="9"/>
    </row>
    <row r="34" spans="1:22">
      <c r="A34" s="1" t="s">
        <v>55</v>
      </c>
      <c r="B34" s="6">
        <v>13305.112649100229</v>
      </c>
      <c r="C34" s="1">
        <v>6150.4238342578865</v>
      </c>
      <c r="D34" s="1">
        <v>695.10391314377421</v>
      </c>
      <c r="E34" s="1">
        <v>0</v>
      </c>
      <c r="F34" s="1">
        <v>0</v>
      </c>
      <c r="G34" s="9">
        <f>SUM(NV_FINANCIAL)</f>
        <v>20150.640396501891</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106275.23857406103</v>
      </c>
      <c r="C37" s="1">
        <v>4081.7517013108659</v>
      </c>
      <c r="D37" s="1">
        <v>27937.351432715444</v>
      </c>
      <c r="E37" s="1">
        <v>0</v>
      </c>
      <c r="F37" s="1">
        <v>0</v>
      </c>
      <c r="G37" s="9">
        <f>SUM(NM_FINANCIAL)</f>
        <v>138294.34170808733</v>
      </c>
      <c r="L37" s="6">
        <v>59780</v>
      </c>
      <c r="M37" s="1">
        <v>0</v>
      </c>
      <c r="O37" s="1">
        <v>0</v>
      </c>
      <c r="P37" s="1">
        <v>0</v>
      </c>
      <c r="R37" s="1">
        <v>17765</v>
      </c>
      <c r="S37" s="1">
        <v>0</v>
      </c>
      <c r="U37" s="1">
        <v>0</v>
      </c>
      <c r="V37" s="9">
        <v>0</v>
      </c>
    </row>
    <row r="38" spans="1:22">
      <c r="A38" s="1" t="s">
        <v>59</v>
      </c>
      <c r="B38" s="6">
        <v>0</v>
      </c>
      <c r="C38" s="1">
        <v>0</v>
      </c>
      <c r="D38" s="1">
        <v>0</v>
      </c>
      <c r="E38" s="1">
        <v>0</v>
      </c>
      <c r="F38" s="1">
        <v>0</v>
      </c>
      <c r="G38" s="9">
        <f>SUM(NY_FINANCIAL)</f>
        <v>0</v>
      </c>
      <c r="L38" s="6"/>
      <c r="V38" s="9"/>
    </row>
    <row r="39" spans="1:22">
      <c r="A39" s="1" t="s">
        <v>60</v>
      </c>
      <c r="B39" s="6">
        <v>4130515.5533057293</v>
      </c>
      <c r="C39" s="1">
        <v>38488.690278018403</v>
      </c>
      <c r="D39" s="1">
        <v>21425.561958010549</v>
      </c>
      <c r="E39" s="1">
        <v>0</v>
      </c>
      <c r="F39" s="1">
        <v>0</v>
      </c>
      <c r="G39" s="9">
        <f>SUM(NC_FINANCIAL)</f>
        <v>4190429.8055417584</v>
      </c>
      <c r="L39" s="6">
        <v>3600000</v>
      </c>
      <c r="M39" s="1">
        <v>123750</v>
      </c>
      <c r="O39" s="1">
        <v>0</v>
      </c>
      <c r="P39" s="1">
        <v>0</v>
      </c>
      <c r="R39" s="1">
        <v>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25786.886396456423</v>
      </c>
      <c r="C41" s="1">
        <v>0</v>
      </c>
      <c r="D41" s="1">
        <v>9800.6584730318864</v>
      </c>
      <c r="E41" s="1">
        <v>0</v>
      </c>
      <c r="F41" s="1">
        <v>0</v>
      </c>
      <c r="G41" s="9">
        <f>SUM(OH_FINANCIAL)</f>
        <v>35587.544869488309</v>
      </c>
      <c r="L41" s="6"/>
      <c r="V41" s="9"/>
    </row>
    <row r="42" spans="1:22">
      <c r="A42" s="1" t="s">
        <v>63</v>
      </c>
      <c r="B42" s="6">
        <v>974268.65679653361</v>
      </c>
      <c r="C42" s="1">
        <v>29889.248689344546</v>
      </c>
      <c r="D42" s="1">
        <v>45072.266789603309</v>
      </c>
      <c r="E42" s="1">
        <v>0</v>
      </c>
      <c r="F42" s="1">
        <v>0</v>
      </c>
      <c r="G42" s="9">
        <f>SUM(OK_FINANCIAL)</f>
        <v>1049230.1722754815</v>
      </c>
      <c r="L42" s="6">
        <v>0</v>
      </c>
      <c r="M42" s="1">
        <v>5272500</v>
      </c>
      <c r="O42" s="1">
        <v>0</v>
      </c>
      <c r="P42" s="1">
        <v>111000</v>
      </c>
      <c r="R42" s="1">
        <v>0</v>
      </c>
      <c r="S42" s="1">
        <v>166500</v>
      </c>
      <c r="U42" s="1">
        <v>0</v>
      </c>
      <c r="V42" s="9">
        <v>0</v>
      </c>
    </row>
    <row r="43" spans="1:22">
      <c r="A43" s="1" t="s">
        <v>64</v>
      </c>
      <c r="B43" s="6">
        <v>34852.306127544682</v>
      </c>
      <c r="C43" s="1">
        <v>0</v>
      </c>
      <c r="D43" s="1">
        <v>2366.1340073322026</v>
      </c>
      <c r="E43" s="1">
        <v>0</v>
      </c>
      <c r="F43" s="1">
        <v>0</v>
      </c>
      <c r="G43" s="9">
        <f>SUM(OR_FINANCIAL)</f>
        <v>37218.440134876888</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250783.13392911945</v>
      </c>
      <c r="C47" s="1">
        <v>0</v>
      </c>
      <c r="D47" s="1">
        <v>18889.429843882401</v>
      </c>
      <c r="E47" s="1">
        <v>0</v>
      </c>
      <c r="F47" s="1">
        <v>0</v>
      </c>
      <c r="G47" s="9">
        <f>SUM(SC_FINANCIAL)</f>
        <v>269672.56377300184</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177511.62838851602</v>
      </c>
      <c r="C50" s="1">
        <v>53085.234310386353</v>
      </c>
      <c r="D50" s="1">
        <v>188277.47307577572</v>
      </c>
      <c r="E50" s="1">
        <v>0</v>
      </c>
      <c r="F50" s="1">
        <v>0</v>
      </c>
      <c r="G50" s="9">
        <f>SUM(TX_FINANCIAL)</f>
        <v>418874.3357746781</v>
      </c>
      <c r="L50" s="6">
        <v>195526</v>
      </c>
      <c r="M50" s="1">
        <v>77092.183000000005</v>
      </c>
      <c r="O50" s="1">
        <v>0</v>
      </c>
      <c r="P50" s="1">
        <v>0</v>
      </c>
      <c r="R50" s="1">
        <v>1247265</v>
      </c>
      <c r="S50" s="1">
        <v>491853.81700000004</v>
      </c>
      <c r="U50" s="1">
        <v>0</v>
      </c>
      <c r="V50" s="9">
        <v>0</v>
      </c>
    </row>
    <row r="51" spans="1:22">
      <c r="A51" s="1" t="s">
        <v>72</v>
      </c>
      <c r="B51" s="6">
        <v>28724.150225014055</v>
      </c>
      <c r="C51" s="1">
        <v>986.07785001729303</v>
      </c>
      <c r="D51" s="1">
        <v>928.65669411369163</v>
      </c>
      <c r="E51" s="1">
        <v>0</v>
      </c>
      <c r="F51" s="1">
        <v>0</v>
      </c>
      <c r="G51" s="9">
        <f>SUM(UT_FINANCIAL)</f>
        <v>30638.884769145039</v>
      </c>
      <c r="L51" s="6">
        <v>105000</v>
      </c>
      <c r="M51" s="1">
        <v>0</v>
      </c>
      <c r="O51" s="1">
        <v>0</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21648.477135741443</v>
      </c>
      <c r="C54" s="1">
        <v>3974.7281176356046</v>
      </c>
      <c r="D54" s="1">
        <v>4538.880293629034</v>
      </c>
      <c r="E54" s="1">
        <v>0</v>
      </c>
      <c r="F54" s="1">
        <v>0</v>
      </c>
      <c r="G54" s="9">
        <f>SUM(WA_FINANCIAL)</f>
        <v>30162.085547006081</v>
      </c>
      <c r="L54" s="6">
        <v>50139</v>
      </c>
      <c r="M54" s="1">
        <v>0</v>
      </c>
      <c r="O54" s="1">
        <v>10343</v>
      </c>
      <c r="P54" s="1">
        <v>0</v>
      </c>
      <c r="R54" s="1">
        <v>11516</v>
      </c>
      <c r="S54" s="1">
        <v>0</v>
      </c>
      <c r="U54" s="1">
        <v>0</v>
      </c>
      <c r="V54" s="9">
        <v>0</v>
      </c>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-1005.0718832933489</v>
      </c>
      <c r="C57" s="1">
        <v>-4.8495627661922924</v>
      </c>
      <c r="D57" s="1">
        <v>-14.481333260157555</v>
      </c>
      <c r="E57" s="1">
        <v>0</v>
      </c>
      <c r="F57" s="1">
        <v>0</v>
      </c>
      <c r="G57" s="9">
        <f>SUM(WY_FINANCIAL)</f>
        <v>-1024.4027793196988</v>
      </c>
      <c r="L57" s="6">
        <v>30000</v>
      </c>
      <c r="M57" s="1">
        <v>0</v>
      </c>
      <c r="O57" s="1">
        <v>0</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7621588.1753547508</v>
      </c>
      <c r="C60" s="1">
        <f>SUM(ALLOCATED)</f>
        <v>432420.10685980052</v>
      </c>
      <c r="D60" s="1">
        <f>SUM(HEALTH)</f>
        <v>422747.11778544862</v>
      </c>
      <c r="E60" s="1">
        <f>SUM(UNALLOCATED)</f>
        <v>0</v>
      </c>
      <c r="F60" s="1">
        <f>SUM(LTC)</f>
        <v>0</v>
      </c>
      <c r="G60" s="9">
        <f>SUM(ALL_BLOCKS)</f>
        <v>8476755.4000000004</v>
      </c>
      <c r="L60" s="6">
        <f>SUM(LIFE_CALLED)</f>
        <v>6139072</v>
      </c>
      <c r="M60" s="1">
        <f>SUM(LIFE_REFUNDED)</f>
        <v>5473823.1830000002</v>
      </c>
      <c r="O60" s="1">
        <f>SUM(ALLOC_CALLED)</f>
        <v>10343</v>
      </c>
      <c r="P60" s="1">
        <f>SUM(ALLOC_REFUNDED)</f>
        <v>111000</v>
      </c>
      <c r="R60" s="1">
        <f>SUM(HEALTH_CALLED)</f>
        <v>1280461</v>
      </c>
      <c r="S60" s="1">
        <f>SUM(HEALTH_REFUNDED)</f>
        <v>660184.81700000004</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169</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-4675</v>
      </c>
      <c r="E6" s="1">
        <v>0</v>
      </c>
      <c r="F6" s="1">
        <v>0</v>
      </c>
      <c r="G6" s="9">
        <f>SUM(AL_FINANCIAL)</f>
        <v>-4675</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4033.1009217545216</v>
      </c>
      <c r="E8" s="1">
        <v>0</v>
      </c>
      <c r="F8" s="1">
        <v>0</v>
      </c>
      <c r="G8" s="9">
        <f>SUM(AZ_FINANCIAL)</f>
        <v>4033.1009217545216</v>
      </c>
      <c r="I8" s="13" t="s">
        <v>14</v>
      </c>
      <c r="J8" s="16"/>
      <c r="L8" s="6"/>
      <c r="V8" s="9"/>
    </row>
    <row r="9" spans="1:22">
      <c r="A9" s="1" t="s">
        <v>15</v>
      </c>
      <c r="B9" s="6">
        <v>0</v>
      </c>
      <c r="C9" s="1">
        <v>0</v>
      </c>
      <c r="D9" s="1">
        <v>526776.86628727149</v>
      </c>
      <c r="E9" s="1">
        <v>0</v>
      </c>
      <c r="F9" s="1">
        <v>0</v>
      </c>
      <c r="G9" s="9">
        <f>SUM(AR_FINANCIAL)</f>
        <v>526776.86628727149</v>
      </c>
      <c r="I9" s="13"/>
      <c r="J9" s="16"/>
      <c r="L9" s="6">
        <v>0</v>
      </c>
      <c r="M9" s="1">
        <v>0</v>
      </c>
      <c r="O9" s="1">
        <v>0</v>
      </c>
      <c r="P9" s="1">
        <v>0</v>
      </c>
      <c r="R9" s="1">
        <v>1437371</v>
      </c>
      <c r="S9" s="1">
        <v>0</v>
      </c>
      <c r="U9" s="1">
        <v>0</v>
      </c>
      <c r="V9" s="9">
        <v>0</v>
      </c>
    </row>
    <row r="10" spans="1:22">
      <c r="A10" s="1" t="s">
        <v>16</v>
      </c>
      <c r="B10" s="6">
        <v>0</v>
      </c>
      <c r="C10" s="1">
        <v>0</v>
      </c>
      <c r="D10" s="1">
        <v>166.71303207321216</v>
      </c>
      <c r="E10" s="1">
        <v>0</v>
      </c>
      <c r="F10" s="1">
        <v>0</v>
      </c>
      <c r="G10" s="9">
        <f>SUM(CA_FINANCIAL)</f>
        <v>166.71303207321216</v>
      </c>
      <c r="I10" s="13" t="s">
        <v>17</v>
      </c>
      <c r="J10" s="16">
        <v>7285014</v>
      </c>
      <c r="L10" s="6"/>
      <c r="V10" s="9"/>
    </row>
    <row r="11" spans="1:22">
      <c r="A11" s="1" t="s">
        <v>18</v>
      </c>
      <c r="B11" s="6">
        <v>0</v>
      </c>
      <c r="C11" s="1">
        <v>0</v>
      </c>
      <c r="D11" s="1">
        <v>591.51206684254794</v>
      </c>
      <c r="E11" s="1">
        <v>0</v>
      </c>
      <c r="F11" s="1">
        <v>0</v>
      </c>
      <c r="G11" s="9">
        <f>SUM(CO_FINANCIAL)</f>
        <v>591.51206684254794</v>
      </c>
      <c r="I11" s="13"/>
      <c r="J11" s="16"/>
      <c r="L11" s="6">
        <v>4426</v>
      </c>
      <c r="M11" s="1">
        <v>0</v>
      </c>
      <c r="O11" s="1">
        <v>0</v>
      </c>
      <c r="P11" s="1">
        <v>0</v>
      </c>
      <c r="R11" s="1">
        <v>4500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602228</v>
      </c>
      <c r="L13" s="6"/>
      <c r="V13" s="9"/>
    </row>
    <row r="14" spans="1:22">
      <c r="A14" s="1" t="s">
        <v>23</v>
      </c>
      <c r="B14" s="6">
        <v>0</v>
      </c>
      <c r="C14" s="1">
        <v>0</v>
      </c>
      <c r="D14" s="1">
        <v>355.53751648595994</v>
      </c>
      <c r="E14" s="1">
        <v>0</v>
      </c>
      <c r="F14" s="1">
        <v>0</v>
      </c>
      <c r="G14" s="9">
        <f>SUM(DC_FINANCIAL)</f>
        <v>355.53751648595994</v>
      </c>
      <c r="I14" s="13" t="s">
        <v>24</v>
      </c>
      <c r="J14" s="16">
        <v>1111917</v>
      </c>
      <c r="L14" s="6"/>
      <c r="V14" s="9"/>
    </row>
    <row r="15" spans="1:22">
      <c r="A15" s="1" t="s">
        <v>25</v>
      </c>
      <c r="B15" s="6">
        <v>0</v>
      </c>
      <c r="C15" s="1">
        <v>0</v>
      </c>
      <c r="D15" s="1">
        <v>885.76261540171981</v>
      </c>
      <c r="E15" s="1">
        <v>0</v>
      </c>
      <c r="F15" s="1">
        <v>0</v>
      </c>
      <c r="G15" s="9">
        <f>SUM(FL_FINANCIAL)</f>
        <v>885.76261540171981</v>
      </c>
      <c r="I15" s="13" t="s">
        <v>26</v>
      </c>
      <c r="J15" s="16">
        <v>1309400.9099999997</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12.054848621015481</v>
      </c>
      <c r="E18" s="1">
        <v>0</v>
      </c>
      <c r="F18" s="1">
        <v>0</v>
      </c>
      <c r="G18" s="9">
        <f>SUM(ID_FINANCIAL)</f>
        <v>12.054848621015481</v>
      </c>
      <c r="I18" s="13" t="s">
        <v>31</v>
      </c>
      <c r="J18" s="16"/>
      <c r="L18" s="6"/>
      <c r="V18" s="9"/>
    </row>
    <row r="19" spans="1:22">
      <c r="A19" s="1" t="s">
        <v>32</v>
      </c>
      <c r="B19" s="6">
        <v>0</v>
      </c>
      <c r="C19" s="1">
        <v>0</v>
      </c>
      <c r="D19" s="1">
        <v>3285.8429136661507</v>
      </c>
      <c r="E19" s="1">
        <v>0</v>
      </c>
      <c r="F19" s="1">
        <v>0</v>
      </c>
      <c r="G19" s="9">
        <f>SUM(IL_FINANCIAL)</f>
        <v>3285.8429136661507</v>
      </c>
      <c r="I19" s="13" t="s">
        <v>33</v>
      </c>
      <c r="J19" s="16">
        <v>0</v>
      </c>
      <c r="L19" s="6">
        <v>5000</v>
      </c>
      <c r="M19" s="1">
        <v>0</v>
      </c>
      <c r="O19" s="1">
        <v>0</v>
      </c>
      <c r="P19" s="1">
        <v>0</v>
      </c>
      <c r="R19" s="1">
        <v>25000</v>
      </c>
      <c r="S19" s="1">
        <v>0</v>
      </c>
      <c r="U19" s="1">
        <v>0</v>
      </c>
      <c r="V19" s="9">
        <v>0</v>
      </c>
    </row>
    <row r="20" spans="1:22">
      <c r="A20" s="1" t="s">
        <v>34</v>
      </c>
      <c r="B20" s="6">
        <v>0</v>
      </c>
      <c r="C20" s="1">
        <v>0</v>
      </c>
      <c r="D20" s="1">
        <v>509.16103566804304</v>
      </c>
      <c r="E20" s="1">
        <v>0</v>
      </c>
      <c r="F20" s="1">
        <v>0</v>
      </c>
      <c r="G20" s="9">
        <f>SUM(IN_FINANCIAL)</f>
        <v>509.16103566804304</v>
      </c>
      <c r="I20" s="13" t="s">
        <v>35</v>
      </c>
      <c r="J20" s="16">
        <v>602228</v>
      </c>
      <c r="L20" s="6"/>
      <c r="V20" s="9"/>
    </row>
    <row r="21" spans="1:22">
      <c r="A21" s="1" t="s">
        <v>36</v>
      </c>
      <c r="B21" s="6">
        <v>0</v>
      </c>
      <c r="C21" s="1">
        <v>0</v>
      </c>
      <c r="D21" s="1">
        <v>18.076788069422861</v>
      </c>
      <c r="E21" s="1">
        <v>0</v>
      </c>
      <c r="F21" s="1">
        <v>0</v>
      </c>
      <c r="G21" s="9">
        <f>SUM(IA_FINANCIAL)</f>
        <v>18.076788069422861</v>
      </c>
      <c r="I21" s="13" t="s">
        <v>37</v>
      </c>
      <c r="J21" s="16"/>
      <c r="L21" s="6"/>
      <c r="V21" s="9"/>
    </row>
    <row r="22" spans="1:22">
      <c r="A22" s="1" t="s">
        <v>38</v>
      </c>
      <c r="B22" s="6">
        <v>0</v>
      </c>
      <c r="C22" s="1">
        <v>0</v>
      </c>
      <c r="D22" s="1">
        <v>883.51031174504533</v>
      </c>
      <c r="E22" s="1">
        <v>0</v>
      </c>
      <c r="F22" s="1">
        <v>0</v>
      </c>
      <c r="G22" s="9">
        <f>SUM(KS_FINANCIAL)</f>
        <v>883.51031174504533</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1703152.7006574692</v>
      </c>
      <c r="E24" s="1">
        <v>0</v>
      </c>
      <c r="F24" s="1">
        <v>0</v>
      </c>
      <c r="G24" s="9">
        <f>SUM(LA_FINANCIAL)</f>
        <v>1703152.7006574692</v>
      </c>
      <c r="I24" s="13" t="s">
        <v>43</v>
      </c>
      <c r="J24" s="16">
        <v>5654917</v>
      </c>
      <c r="L24" s="6">
        <v>170592</v>
      </c>
      <c r="M24" s="1">
        <v>0</v>
      </c>
      <c r="O24" s="1">
        <v>0</v>
      </c>
      <c r="P24" s="1">
        <v>0</v>
      </c>
      <c r="R24" s="1">
        <v>5773407</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135.57042565856977</v>
      </c>
      <c r="E26" s="1">
        <v>0</v>
      </c>
      <c r="F26" s="1">
        <v>0</v>
      </c>
      <c r="G26" s="9">
        <f>SUM(MD_FINANCIAL)</f>
        <v>135.57042565856977</v>
      </c>
      <c r="I26" s="13" t="s">
        <v>46</v>
      </c>
      <c r="J26" s="16">
        <f>SUM(ADD_FINANCIAL)-SUM(LESS_FINANCIAL)</f>
        <v>4051414.91</v>
      </c>
      <c r="L26" s="6"/>
      <c r="V26" s="9"/>
    </row>
    <row r="27" spans="1:22">
      <c r="A27" s="1" t="s">
        <v>47</v>
      </c>
      <c r="B27" s="6">
        <v>0</v>
      </c>
      <c r="C27" s="1">
        <v>0</v>
      </c>
      <c r="D27" s="1">
        <v>0</v>
      </c>
      <c r="E27" s="1">
        <v>0</v>
      </c>
      <c r="F27" s="1">
        <v>0</v>
      </c>
      <c r="G27" s="9">
        <f>SUM(MA_FINANCIAL)</f>
        <v>0</v>
      </c>
      <c r="I27" s="13" t="s">
        <v>48</v>
      </c>
      <c r="J27" s="16">
        <f>SUM(ALL_BLOCKS)</f>
        <v>4051414.9099999983</v>
      </c>
      <c r="L27" s="6"/>
      <c r="V27" s="9"/>
    </row>
    <row r="28" spans="1:22">
      <c r="A28" s="1" t="s">
        <v>49</v>
      </c>
      <c r="B28" s="6">
        <v>0</v>
      </c>
      <c r="C28" s="1">
        <v>0</v>
      </c>
      <c r="D28" s="1">
        <v>543</v>
      </c>
      <c r="E28" s="1">
        <v>0</v>
      </c>
      <c r="F28" s="1">
        <v>0</v>
      </c>
      <c r="G28" s="9">
        <f>SUM(MI_FINANCIAL)</f>
        <v>543</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1233.2544978933638</v>
      </c>
      <c r="E31" s="1">
        <v>0</v>
      </c>
      <c r="F31" s="1">
        <v>0</v>
      </c>
      <c r="G31" s="9">
        <f>SUM(MO_FINANCIAL)</f>
        <v>1233.2544978933638</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302.28345773178216</v>
      </c>
      <c r="E33" s="1">
        <v>0</v>
      </c>
      <c r="F33" s="1">
        <v>0</v>
      </c>
      <c r="G33" s="9">
        <f>SUM(NE_FINANCIAL)</f>
        <v>302.28345773178216</v>
      </c>
      <c r="L33" s="6"/>
      <c r="V33" s="9"/>
    </row>
    <row r="34" spans="1:22">
      <c r="A34" s="1" t="s">
        <v>55</v>
      </c>
      <c r="B34" s="6">
        <v>0</v>
      </c>
      <c r="C34" s="1">
        <v>0</v>
      </c>
      <c r="D34" s="1">
        <v>76.329091726097886</v>
      </c>
      <c r="E34" s="1">
        <v>0</v>
      </c>
      <c r="F34" s="1">
        <v>0</v>
      </c>
      <c r="G34" s="9">
        <f>SUM(NV_FINANCIAL)</f>
        <v>76.329091726097886</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866.68582733229778</v>
      </c>
      <c r="E37" s="1">
        <v>0</v>
      </c>
      <c r="F37" s="1">
        <v>0</v>
      </c>
      <c r="G37" s="9">
        <f>SUM(NM_FINANCIAL)</f>
        <v>866.68582733229778</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11.043878896813112</v>
      </c>
      <c r="E40" s="1">
        <v>0</v>
      </c>
      <c r="F40" s="1">
        <v>0</v>
      </c>
      <c r="G40" s="9">
        <f>SUM(ND_FINANCIAL)</f>
        <v>11.043878896813112</v>
      </c>
      <c r="L40" s="6"/>
      <c r="V40" s="9"/>
    </row>
    <row r="41" spans="1:22">
      <c r="A41" s="1" t="s">
        <v>62</v>
      </c>
      <c r="B41" s="6">
        <v>0</v>
      </c>
      <c r="C41" s="1">
        <v>0</v>
      </c>
      <c r="D41" s="1">
        <v>83.351031174504499</v>
      </c>
      <c r="E41" s="1">
        <v>0</v>
      </c>
      <c r="F41" s="1">
        <v>0</v>
      </c>
      <c r="G41" s="9">
        <f>SUM(OH_FINANCIAL)</f>
        <v>83.351031174504499</v>
      </c>
      <c r="L41" s="6"/>
      <c r="V41" s="9"/>
    </row>
    <row r="42" spans="1:22">
      <c r="A42" s="1" t="s">
        <v>63</v>
      </c>
      <c r="B42" s="6">
        <v>0</v>
      </c>
      <c r="C42" s="1">
        <v>0</v>
      </c>
      <c r="D42" s="1">
        <v>722507.14408288943</v>
      </c>
      <c r="E42" s="1">
        <v>0</v>
      </c>
      <c r="F42" s="1">
        <v>0</v>
      </c>
      <c r="G42" s="9">
        <f>SUM(OK_FINANCIAL)</f>
        <v>722507.14408288943</v>
      </c>
      <c r="L42" s="6">
        <v>147600</v>
      </c>
      <c r="M42" s="1">
        <v>21200</v>
      </c>
      <c r="O42" s="1">
        <v>0</v>
      </c>
      <c r="P42" s="1">
        <v>0</v>
      </c>
      <c r="R42" s="1">
        <v>1472400</v>
      </c>
      <c r="S42" s="1">
        <v>818800</v>
      </c>
      <c r="U42" s="1">
        <v>0</v>
      </c>
      <c r="V42" s="9">
        <v>0</v>
      </c>
    </row>
    <row r="43" spans="1:22">
      <c r="A43" s="1" t="s">
        <v>64</v>
      </c>
      <c r="B43" s="6">
        <v>0</v>
      </c>
      <c r="C43" s="1">
        <v>0</v>
      </c>
      <c r="D43" s="1">
        <v>249.06406324771672</v>
      </c>
      <c r="E43" s="1">
        <v>0</v>
      </c>
      <c r="F43" s="1">
        <v>0</v>
      </c>
      <c r="G43" s="9">
        <f>SUM(OR_FINANCIAL)</f>
        <v>249.06406324771672</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1090.0421237993105</v>
      </c>
      <c r="E47" s="1">
        <v>0</v>
      </c>
      <c r="F47" s="1">
        <v>0</v>
      </c>
      <c r="G47" s="9">
        <f>SUM(SC_FINANCIAL)</f>
        <v>1090.0421237993105</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29.120666966235916</v>
      </c>
      <c r="E49" s="1">
        <v>0</v>
      </c>
      <c r="F49" s="1">
        <v>0</v>
      </c>
      <c r="G49" s="9">
        <f>SUM(TN_FINANCIAL)</f>
        <v>29.120666966235916</v>
      </c>
      <c r="L49" s="6"/>
      <c r="V49" s="9"/>
    </row>
    <row r="50" spans="1:22">
      <c r="A50" s="1" t="s">
        <v>71</v>
      </c>
      <c r="B50" s="6">
        <v>0</v>
      </c>
      <c r="C50" s="1">
        <v>0</v>
      </c>
      <c r="D50" s="1">
        <v>1087724.7373642153</v>
      </c>
      <c r="E50" s="1">
        <v>0</v>
      </c>
      <c r="F50" s="1">
        <v>0</v>
      </c>
      <c r="G50" s="9">
        <f>SUM(TX_FINANCIAL)</f>
        <v>1087724.7373642153</v>
      </c>
      <c r="L50" s="6">
        <v>315058</v>
      </c>
      <c r="M50" s="1">
        <v>190587</v>
      </c>
      <c r="O50" s="1">
        <v>0</v>
      </c>
      <c r="P50" s="1">
        <v>0</v>
      </c>
      <c r="R50" s="1">
        <v>2835522</v>
      </c>
      <c r="S50" s="1">
        <v>1715283</v>
      </c>
      <c r="U50" s="1">
        <v>0</v>
      </c>
      <c r="V50" s="9">
        <v>0</v>
      </c>
    </row>
    <row r="51" spans="1:22">
      <c r="A51" s="1" t="s">
        <v>72</v>
      </c>
      <c r="B51" s="6">
        <v>0</v>
      </c>
      <c r="C51" s="1">
        <v>0</v>
      </c>
      <c r="D51" s="1">
        <v>60.252303656674485</v>
      </c>
      <c r="E51" s="1">
        <v>0</v>
      </c>
      <c r="F51" s="1">
        <v>0</v>
      </c>
      <c r="G51" s="9">
        <f>SUM(UT_FINANCIAL)</f>
        <v>60.252303656674485</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1.0421237993105024</v>
      </c>
      <c r="E53" s="1">
        <v>0</v>
      </c>
      <c r="F53" s="1">
        <v>0</v>
      </c>
      <c r="G53" s="9">
        <f>SUM(VA_FINANCIAL)</f>
        <v>1.0421237993105024</v>
      </c>
      <c r="L53" s="6">
        <v>3200</v>
      </c>
      <c r="M53" s="1">
        <v>0</v>
      </c>
      <c r="O53" s="1">
        <v>0</v>
      </c>
      <c r="P53" s="1">
        <v>0</v>
      </c>
      <c r="R53" s="1">
        <v>0</v>
      </c>
      <c r="S53" s="1">
        <v>0</v>
      </c>
      <c r="U53" s="1">
        <v>0</v>
      </c>
      <c r="V53" s="9">
        <v>0</v>
      </c>
    </row>
    <row r="54" spans="1:22">
      <c r="A54" s="1" t="s">
        <v>75</v>
      </c>
      <c r="B54" s="6">
        <v>0</v>
      </c>
      <c r="C54" s="1">
        <v>0</v>
      </c>
      <c r="D54" s="1">
        <v>481.04036870180789</v>
      </c>
      <c r="E54" s="1">
        <v>0</v>
      </c>
      <c r="F54" s="1">
        <v>0</v>
      </c>
      <c r="G54" s="9">
        <f>SUM(WA_FINANCIAL)</f>
        <v>481.04036870180789</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25.109697242032652</v>
      </c>
      <c r="E57" s="1">
        <v>0</v>
      </c>
      <c r="F57" s="1">
        <v>0</v>
      </c>
      <c r="G57" s="9">
        <f>SUM(WY_FINANCIAL)</f>
        <v>25.109697242032652</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4051414.9099999983</v>
      </c>
      <c r="E60" s="1">
        <f>SUM(UNALLOCATED)</f>
        <v>0</v>
      </c>
      <c r="F60" s="1">
        <f>SUM(LTC)</f>
        <v>0</v>
      </c>
      <c r="G60" s="9">
        <f>SUM(ALL_BLOCKS)</f>
        <v>4051414.9099999983</v>
      </c>
      <c r="L60" s="6">
        <f>SUM(LIFE_CALLED)</f>
        <v>645876</v>
      </c>
      <c r="M60" s="1">
        <f>SUM(LIFE_REFUNDED)</f>
        <v>211787</v>
      </c>
      <c r="O60" s="1">
        <f>SUM(ALLOC_CALLED)</f>
        <v>0</v>
      </c>
      <c r="P60" s="1">
        <f>SUM(ALLOC_REFUNDED)</f>
        <v>0</v>
      </c>
      <c r="R60" s="1">
        <f>SUM(HEALTH_CALLED)</f>
        <v>11548200</v>
      </c>
      <c r="S60" s="1">
        <f>SUM(HEALTH_REFUNDED)</f>
        <v>2534083</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170</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15033.139524733648</v>
      </c>
      <c r="C6" s="1">
        <v>1930.9984012742061</v>
      </c>
      <c r="D6" s="1">
        <v>0</v>
      </c>
      <c r="E6" s="1">
        <v>0</v>
      </c>
      <c r="F6" s="1">
        <v>0</v>
      </c>
      <c r="G6" s="9">
        <f>SUM(AL_FINANCIAL)</f>
        <v>16964.137926007854</v>
      </c>
      <c r="L6" s="6">
        <v>1082000</v>
      </c>
      <c r="M6" s="1">
        <v>0</v>
      </c>
      <c r="O6" s="1">
        <v>117801</v>
      </c>
      <c r="P6" s="1">
        <v>0</v>
      </c>
      <c r="R6" s="1">
        <v>0</v>
      </c>
      <c r="S6" s="1">
        <v>0</v>
      </c>
      <c r="U6" s="1">
        <v>0</v>
      </c>
      <c r="V6" s="9">
        <v>0</v>
      </c>
    </row>
    <row r="7" spans="1:22">
      <c r="A7" s="1" t="s">
        <v>12</v>
      </c>
      <c r="B7" s="6">
        <v>1696.0883189567812</v>
      </c>
      <c r="C7" s="1">
        <v>8794.1788358368503</v>
      </c>
      <c r="D7" s="1">
        <v>0</v>
      </c>
      <c r="E7" s="1">
        <v>0</v>
      </c>
      <c r="F7" s="1">
        <v>0</v>
      </c>
      <c r="G7" s="9">
        <f>SUM(AK_FINANCIAL)</f>
        <v>10490.267154793632</v>
      </c>
      <c r="I7" s="12"/>
      <c r="J7" s="15"/>
      <c r="L7" s="6">
        <v>11000</v>
      </c>
      <c r="M7" s="1">
        <v>5200</v>
      </c>
      <c r="O7" s="1">
        <v>36000</v>
      </c>
      <c r="P7" s="1">
        <v>20800</v>
      </c>
      <c r="R7" s="1">
        <v>0</v>
      </c>
      <c r="S7" s="1">
        <v>8000</v>
      </c>
      <c r="U7" s="1">
        <v>0</v>
      </c>
      <c r="V7" s="9">
        <v>0</v>
      </c>
    </row>
    <row r="8" spans="1:22">
      <c r="A8" s="1" t="s">
        <v>13</v>
      </c>
      <c r="B8" s="6">
        <v>200434.70171443722</v>
      </c>
      <c r="C8" s="1">
        <v>-134705.72472594678</v>
      </c>
      <c r="D8" s="1">
        <v>0</v>
      </c>
      <c r="E8" s="1">
        <v>0</v>
      </c>
      <c r="F8" s="1">
        <v>0</v>
      </c>
      <c r="G8" s="9">
        <f>SUM(AZ_FINANCIAL)</f>
        <v>65728.976988490438</v>
      </c>
      <c r="I8" s="13" t="s">
        <v>14</v>
      </c>
      <c r="J8" s="16"/>
      <c r="L8" s="6">
        <v>847395</v>
      </c>
      <c r="M8" s="1">
        <v>0</v>
      </c>
      <c r="O8" s="1">
        <v>484870</v>
      </c>
      <c r="P8" s="1">
        <v>0</v>
      </c>
      <c r="R8" s="1">
        <v>0</v>
      </c>
      <c r="S8" s="1">
        <v>0</v>
      </c>
      <c r="U8" s="1">
        <v>0</v>
      </c>
      <c r="V8" s="9">
        <v>0</v>
      </c>
    </row>
    <row r="9" spans="1:22">
      <c r="A9" s="1" t="s">
        <v>15</v>
      </c>
      <c r="B9" s="6">
        <v>41306.379822698771</v>
      </c>
      <c r="C9" s="1">
        <v>-17666.234364808013</v>
      </c>
      <c r="D9" s="1">
        <v>0</v>
      </c>
      <c r="E9" s="1">
        <v>0</v>
      </c>
      <c r="F9" s="1">
        <v>0</v>
      </c>
      <c r="G9" s="9">
        <f>SUM(AR_FINANCIAL)</f>
        <v>23640.145457890758</v>
      </c>
      <c r="I9" s="13"/>
      <c r="J9" s="16"/>
      <c r="L9" s="6">
        <v>1011744</v>
      </c>
      <c r="M9" s="1">
        <v>0</v>
      </c>
      <c r="O9" s="1">
        <v>0</v>
      </c>
      <c r="P9" s="1">
        <v>0</v>
      </c>
      <c r="R9" s="1">
        <v>0</v>
      </c>
      <c r="S9" s="1">
        <v>0</v>
      </c>
      <c r="U9" s="1">
        <v>0</v>
      </c>
      <c r="V9" s="9">
        <v>0</v>
      </c>
    </row>
    <row r="10" spans="1:22">
      <c r="A10" s="1" t="s">
        <v>16</v>
      </c>
      <c r="B10" s="6">
        <v>245460.74382022582</v>
      </c>
      <c r="C10" s="1">
        <v>10197.563119923463</v>
      </c>
      <c r="D10" s="1">
        <v>0</v>
      </c>
      <c r="E10" s="1">
        <v>0</v>
      </c>
      <c r="F10" s="1">
        <v>0</v>
      </c>
      <c r="G10" s="9">
        <f>SUM(CA_FINANCIAL)</f>
        <v>255658.30694014928</v>
      </c>
      <c r="I10" s="13" t="s">
        <v>17</v>
      </c>
      <c r="J10" s="16">
        <v>141366350.56000003</v>
      </c>
      <c r="L10" s="6">
        <v>6365000</v>
      </c>
      <c r="M10" s="1">
        <v>6300000</v>
      </c>
      <c r="O10" s="1">
        <v>3135000</v>
      </c>
      <c r="P10" s="1">
        <v>3340000</v>
      </c>
      <c r="R10" s="1">
        <v>0</v>
      </c>
      <c r="S10" s="1">
        <v>0</v>
      </c>
      <c r="U10" s="1">
        <v>0</v>
      </c>
      <c r="V10" s="9">
        <v>0</v>
      </c>
    </row>
    <row r="11" spans="1:22">
      <c r="A11" s="1" t="s">
        <v>18</v>
      </c>
      <c r="B11" s="6">
        <v>244812.15534861898</v>
      </c>
      <c r="C11" s="1">
        <v>20929.651603151869</v>
      </c>
      <c r="D11" s="1">
        <v>0</v>
      </c>
      <c r="E11" s="1">
        <v>0</v>
      </c>
      <c r="F11" s="1">
        <v>0</v>
      </c>
      <c r="G11" s="9">
        <f>SUM(CO_FINANCIAL)</f>
        <v>265741.80695177085</v>
      </c>
      <c r="I11" s="13"/>
      <c r="J11" s="16"/>
      <c r="L11" s="6">
        <v>5700000</v>
      </c>
      <c r="M11" s="1">
        <v>15030160</v>
      </c>
      <c r="O11" s="1">
        <v>0</v>
      </c>
      <c r="P11" s="1">
        <v>0</v>
      </c>
      <c r="R11" s="1">
        <v>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-15854.902828277205</v>
      </c>
      <c r="C13" s="1">
        <v>-7738.633765920822</v>
      </c>
      <c r="D13" s="1">
        <v>59992.71</v>
      </c>
      <c r="E13" s="1">
        <v>0</v>
      </c>
      <c r="F13" s="1">
        <v>0</v>
      </c>
      <c r="G13" s="9">
        <f>SUM(DE_FINANCIAL)</f>
        <v>36399.173405801972</v>
      </c>
      <c r="I13" s="13" t="s">
        <v>22</v>
      </c>
      <c r="J13" s="16">
        <v>3042199.1999999997</v>
      </c>
      <c r="L13" s="6">
        <v>361000</v>
      </c>
      <c r="M13" s="1">
        <v>0</v>
      </c>
      <c r="O13" s="1">
        <v>114000</v>
      </c>
      <c r="P13" s="1">
        <v>0</v>
      </c>
      <c r="R13" s="1">
        <v>25000</v>
      </c>
      <c r="S13" s="1">
        <v>0</v>
      </c>
      <c r="U13" s="1">
        <v>0</v>
      </c>
      <c r="V13" s="9">
        <v>0</v>
      </c>
    </row>
    <row r="14" spans="1:22">
      <c r="A14" s="1" t="s">
        <v>23</v>
      </c>
      <c r="B14" s="6">
        <v>5686.0951519903028</v>
      </c>
      <c r="C14" s="1">
        <v>3192.5713592918037</v>
      </c>
      <c r="D14" s="1">
        <v>0</v>
      </c>
      <c r="E14" s="1">
        <v>0</v>
      </c>
      <c r="F14" s="1">
        <v>0</v>
      </c>
      <c r="G14" s="9">
        <f>SUM(DC_FINANCIAL)</f>
        <v>8878.6665112821065</v>
      </c>
      <c r="I14" s="13" t="s">
        <v>24</v>
      </c>
      <c r="J14" s="16">
        <v>2455021.1100000003</v>
      </c>
      <c r="L14" s="6">
        <v>200000</v>
      </c>
      <c r="M14" s="1">
        <v>194500</v>
      </c>
      <c r="O14" s="1">
        <v>150000</v>
      </c>
      <c r="P14" s="1">
        <v>141500</v>
      </c>
      <c r="R14" s="1">
        <v>0</v>
      </c>
      <c r="S14" s="1">
        <v>0</v>
      </c>
      <c r="U14" s="1">
        <v>0</v>
      </c>
      <c r="V14" s="9">
        <v>0</v>
      </c>
    </row>
    <row r="15" spans="1:22">
      <c r="A15" s="1" t="s">
        <v>25</v>
      </c>
      <c r="B15" s="6">
        <v>176795.12698143907</v>
      </c>
      <c r="C15" s="1">
        <v>94640.230854301713</v>
      </c>
      <c r="D15" s="1">
        <v>0</v>
      </c>
      <c r="E15" s="1">
        <v>0</v>
      </c>
      <c r="F15" s="1">
        <v>0</v>
      </c>
      <c r="G15" s="9">
        <f>SUM(FL_FINANCIAL)</f>
        <v>271435.35783574078</v>
      </c>
      <c r="I15" s="13" t="s">
        <v>26</v>
      </c>
      <c r="J15" s="16">
        <v>1394696.36</v>
      </c>
      <c r="L15" s="6">
        <v>5150000</v>
      </c>
      <c r="M15" s="1">
        <v>0</v>
      </c>
      <c r="O15" s="1">
        <v>5000000</v>
      </c>
      <c r="P15" s="1">
        <v>0</v>
      </c>
      <c r="R15" s="1">
        <v>0</v>
      </c>
      <c r="S15" s="1">
        <v>0</v>
      </c>
      <c r="U15" s="1">
        <v>0</v>
      </c>
      <c r="V15" s="9">
        <v>0</v>
      </c>
    </row>
    <row r="16" spans="1:22">
      <c r="A16" s="1" t="s">
        <v>27</v>
      </c>
      <c r="B16" s="6">
        <v>63913.804693051614</v>
      </c>
      <c r="C16" s="1">
        <v>31834.704450637335</v>
      </c>
      <c r="D16" s="1">
        <v>0</v>
      </c>
      <c r="E16" s="1">
        <v>0</v>
      </c>
      <c r="F16" s="1">
        <v>0</v>
      </c>
      <c r="G16" s="9">
        <f>SUM(GA_FINANCIAL)</f>
        <v>95748.509143688949</v>
      </c>
      <c r="I16" s="13" t="s">
        <v>28</v>
      </c>
      <c r="J16" s="16">
        <v>0</v>
      </c>
      <c r="L16" s="6">
        <v>3383146</v>
      </c>
      <c r="M16" s="1">
        <v>0</v>
      </c>
      <c r="O16" s="1">
        <v>1116854</v>
      </c>
      <c r="P16" s="1">
        <v>54811.68</v>
      </c>
      <c r="R16" s="1">
        <v>0</v>
      </c>
      <c r="S16" s="1">
        <v>0</v>
      </c>
      <c r="U16" s="1">
        <v>0</v>
      </c>
      <c r="V16" s="9">
        <v>0</v>
      </c>
    </row>
    <row r="17" spans="1:22">
      <c r="A17" s="1" t="s">
        <v>29</v>
      </c>
      <c r="B17" s="6">
        <v>2391.7201478318511</v>
      </c>
      <c r="C17" s="1">
        <v>8658.9443072627982</v>
      </c>
      <c r="D17" s="1">
        <v>0</v>
      </c>
      <c r="E17" s="1">
        <v>0</v>
      </c>
      <c r="F17" s="1">
        <v>0</v>
      </c>
      <c r="G17" s="9">
        <f>SUM(HI_FINANCIAL)</f>
        <v>11050.664455094649</v>
      </c>
      <c r="I17" s="13"/>
      <c r="J17" s="16"/>
      <c r="L17" s="6">
        <v>8116</v>
      </c>
      <c r="M17" s="1">
        <v>0</v>
      </c>
      <c r="O17" s="1">
        <v>27842</v>
      </c>
      <c r="P17" s="1">
        <v>0</v>
      </c>
      <c r="R17" s="1">
        <v>118</v>
      </c>
      <c r="S17" s="1">
        <v>0</v>
      </c>
      <c r="U17" s="1">
        <v>0</v>
      </c>
      <c r="V17" s="9">
        <v>0</v>
      </c>
    </row>
    <row r="18" spans="1:22">
      <c r="A18" s="1" t="s">
        <v>30</v>
      </c>
      <c r="B18" s="6">
        <v>45933.155420857482</v>
      </c>
      <c r="C18" s="1">
        <v>17458.54184067453</v>
      </c>
      <c r="D18" s="1">
        <v>0</v>
      </c>
      <c r="E18" s="1">
        <v>0</v>
      </c>
      <c r="F18" s="1">
        <v>0</v>
      </c>
      <c r="G18" s="9">
        <f>SUM(ID_FINANCIAL)</f>
        <v>63391.697261532012</v>
      </c>
      <c r="I18" s="13" t="s">
        <v>31</v>
      </c>
      <c r="J18" s="16"/>
      <c r="L18" s="6">
        <v>1452565</v>
      </c>
      <c r="M18" s="1">
        <v>575959</v>
      </c>
      <c r="O18" s="1">
        <v>47435</v>
      </c>
      <c r="P18" s="1">
        <v>0</v>
      </c>
      <c r="R18" s="1">
        <v>0</v>
      </c>
      <c r="S18" s="1">
        <v>0</v>
      </c>
      <c r="U18" s="1">
        <v>0</v>
      </c>
      <c r="V18" s="9">
        <v>0</v>
      </c>
    </row>
    <row r="19" spans="1:22">
      <c r="A19" s="1" t="s">
        <v>32</v>
      </c>
      <c r="B19" s="6">
        <v>188880.60947754607</v>
      </c>
      <c r="C19" s="1">
        <v>128949.44682806171</v>
      </c>
      <c r="D19" s="1">
        <v>0</v>
      </c>
      <c r="E19" s="1">
        <v>0</v>
      </c>
      <c r="F19" s="1">
        <v>0</v>
      </c>
      <c r="G19" s="9">
        <f>SUM(IL_FINANCIAL)</f>
        <v>317830.05630560778</v>
      </c>
      <c r="I19" s="13" t="s">
        <v>33</v>
      </c>
      <c r="J19" s="16">
        <v>9667531</v>
      </c>
      <c r="L19" s="6">
        <v>8250000</v>
      </c>
      <c r="M19" s="1">
        <v>7954109</v>
      </c>
      <c r="O19" s="1">
        <v>3500000</v>
      </c>
      <c r="P19" s="1">
        <v>4076745</v>
      </c>
      <c r="R19" s="1">
        <v>0</v>
      </c>
      <c r="S19" s="1">
        <v>0</v>
      </c>
      <c r="U19" s="1">
        <v>0</v>
      </c>
      <c r="V19" s="9">
        <v>0</v>
      </c>
    </row>
    <row r="20" spans="1:22">
      <c r="A20" s="1" t="s">
        <v>34</v>
      </c>
      <c r="B20" s="6">
        <v>225325.03103228845</v>
      </c>
      <c r="C20" s="1">
        <v>-93505.707156196702</v>
      </c>
      <c r="D20" s="1">
        <v>0</v>
      </c>
      <c r="E20" s="1">
        <v>0</v>
      </c>
      <c r="F20" s="1">
        <v>0</v>
      </c>
      <c r="G20" s="9">
        <f>SUM(IN_FINANCIAL)</f>
        <v>131819.32387609174</v>
      </c>
      <c r="I20" s="13" t="s">
        <v>35</v>
      </c>
      <c r="J20" s="16">
        <v>2064096.2</v>
      </c>
      <c r="L20" s="6">
        <v>1994431</v>
      </c>
      <c r="M20" s="1">
        <v>0</v>
      </c>
      <c r="O20" s="1">
        <v>0</v>
      </c>
      <c r="P20" s="1">
        <v>0</v>
      </c>
      <c r="R20" s="1">
        <v>0</v>
      </c>
      <c r="S20" s="1">
        <v>0</v>
      </c>
      <c r="U20" s="1">
        <v>0</v>
      </c>
      <c r="V20" s="9">
        <v>0</v>
      </c>
    </row>
    <row r="21" spans="1:22">
      <c r="A21" s="1" t="s">
        <v>36</v>
      </c>
      <c r="B21" s="6">
        <v>23176.167813559412</v>
      </c>
      <c r="C21" s="1">
        <v>33325.530977464048</v>
      </c>
      <c r="D21" s="1">
        <v>0</v>
      </c>
      <c r="E21" s="1">
        <v>0</v>
      </c>
      <c r="F21" s="1">
        <v>0</v>
      </c>
      <c r="G21" s="9">
        <f>SUM(IA_FINANCIAL)</f>
        <v>56501.69879102346</v>
      </c>
      <c r="I21" s="13" t="s">
        <v>37</v>
      </c>
      <c r="J21" s="16"/>
      <c r="L21" s="6">
        <v>1100000</v>
      </c>
      <c r="M21" s="1">
        <v>0</v>
      </c>
      <c r="O21" s="1">
        <v>1200000</v>
      </c>
      <c r="P21" s="1">
        <v>0</v>
      </c>
      <c r="R21" s="1">
        <v>0</v>
      </c>
      <c r="S21" s="1">
        <v>0</v>
      </c>
      <c r="U21" s="1">
        <v>0</v>
      </c>
      <c r="V21" s="9">
        <v>0</v>
      </c>
    </row>
    <row r="22" spans="1:22">
      <c r="A22" s="1" t="s">
        <v>38</v>
      </c>
      <c r="B22" s="6">
        <v>9629.1155175312306</v>
      </c>
      <c r="C22" s="1">
        <v>3936.1826876645209</v>
      </c>
      <c r="D22" s="1">
        <v>0</v>
      </c>
      <c r="E22" s="1">
        <v>0</v>
      </c>
      <c r="F22" s="1">
        <v>0</v>
      </c>
      <c r="G22" s="9">
        <f>SUM(KS_FINANCIAL)</f>
        <v>13565.298205195752</v>
      </c>
      <c r="I22" s="13" t="s">
        <v>39</v>
      </c>
      <c r="J22" s="16">
        <v>16832492.000000007</v>
      </c>
      <c r="L22" s="6">
        <v>175000</v>
      </c>
      <c r="M22" s="1">
        <v>0</v>
      </c>
      <c r="O22" s="1">
        <v>0</v>
      </c>
      <c r="P22" s="1">
        <v>0</v>
      </c>
      <c r="R22" s="1">
        <v>0</v>
      </c>
      <c r="S22" s="1">
        <v>0</v>
      </c>
      <c r="U22" s="1">
        <v>0</v>
      </c>
      <c r="V22" s="9">
        <v>0</v>
      </c>
    </row>
    <row r="23" spans="1:22">
      <c r="A23" s="1" t="s">
        <v>40</v>
      </c>
      <c r="B23" s="6">
        <v>54665.655615967466</v>
      </c>
      <c r="C23" s="1">
        <v>13997.235691887559</v>
      </c>
      <c r="D23" s="1">
        <v>0</v>
      </c>
      <c r="E23" s="1">
        <v>0</v>
      </c>
      <c r="F23" s="1">
        <v>0</v>
      </c>
      <c r="G23" s="9">
        <f>SUM(KY_FINANCIAL)</f>
        <v>68662.891307855025</v>
      </c>
      <c r="I23" s="13" t="s">
        <v>41</v>
      </c>
      <c r="J23" s="16"/>
      <c r="L23" s="6">
        <v>5527178</v>
      </c>
      <c r="M23" s="1">
        <v>2183394</v>
      </c>
      <c r="O23" s="1">
        <v>882755</v>
      </c>
      <c r="P23" s="1">
        <v>445606</v>
      </c>
      <c r="R23" s="1">
        <v>0</v>
      </c>
      <c r="S23" s="1">
        <v>0</v>
      </c>
      <c r="U23" s="1">
        <v>0</v>
      </c>
      <c r="V23" s="9">
        <v>0</v>
      </c>
    </row>
    <row r="24" spans="1:22">
      <c r="A24" s="1" t="s">
        <v>42</v>
      </c>
      <c r="B24" s="6">
        <v>0</v>
      </c>
      <c r="C24" s="1">
        <v>0</v>
      </c>
      <c r="D24" s="1">
        <v>0</v>
      </c>
      <c r="E24" s="1">
        <v>0</v>
      </c>
      <c r="F24" s="1">
        <v>0</v>
      </c>
      <c r="G24" s="9">
        <f>SUM(LA_FINANCIAL)</f>
        <v>0</v>
      </c>
      <c r="I24" s="13" t="s">
        <v>43</v>
      </c>
      <c r="J24" s="16">
        <v>115036898.00000001</v>
      </c>
      <c r="L24" s="6"/>
      <c r="V24" s="9"/>
    </row>
    <row r="25" spans="1:22">
      <c r="A25" s="1" t="s">
        <v>44</v>
      </c>
      <c r="B25" s="6">
        <v>0</v>
      </c>
      <c r="C25" s="1">
        <v>0</v>
      </c>
      <c r="D25" s="1">
        <v>0</v>
      </c>
      <c r="E25" s="1">
        <v>0</v>
      </c>
      <c r="F25" s="1">
        <v>0</v>
      </c>
      <c r="G25" s="9">
        <f>SUM(ME_FINANCIAL)</f>
        <v>0</v>
      </c>
      <c r="I25" s="13"/>
      <c r="J25" s="16"/>
      <c r="L25" s="6"/>
      <c r="V25" s="9"/>
    </row>
    <row r="26" spans="1:22">
      <c r="A26" s="1" t="s">
        <v>45</v>
      </c>
      <c r="B26" s="6">
        <v>69420.103058065986</v>
      </c>
      <c r="C26" s="1">
        <v>13713.178968020045</v>
      </c>
      <c r="D26" s="1">
        <v>0</v>
      </c>
      <c r="E26" s="1">
        <v>0</v>
      </c>
      <c r="F26" s="1">
        <v>0</v>
      </c>
      <c r="G26" s="9">
        <f>SUM(MD_FINANCIAL)</f>
        <v>83133.282026086032</v>
      </c>
      <c r="I26" s="13" t="s">
        <v>46</v>
      </c>
      <c r="J26" s="16">
        <f>SUM(ADD_FINANCIAL)-SUM(LESS_FINANCIAL)</f>
        <v>4657250.030000031</v>
      </c>
      <c r="L26" s="6">
        <v>1420000</v>
      </c>
      <c r="M26" s="1">
        <v>0</v>
      </c>
      <c r="O26" s="1">
        <v>280000</v>
      </c>
      <c r="P26" s="1">
        <v>0</v>
      </c>
      <c r="R26" s="1">
        <v>0</v>
      </c>
      <c r="S26" s="1">
        <v>0</v>
      </c>
      <c r="U26" s="1">
        <v>0</v>
      </c>
      <c r="V26" s="9">
        <v>0</v>
      </c>
    </row>
    <row r="27" spans="1:22">
      <c r="A27" s="1" t="s">
        <v>47</v>
      </c>
      <c r="B27" s="6">
        <v>5037.840860619006</v>
      </c>
      <c r="C27" s="1">
        <v>2147.0116320906091</v>
      </c>
      <c r="D27" s="1">
        <v>0</v>
      </c>
      <c r="E27" s="1">
        <v>0</v>
      </c>
      <c r="F27" s="1">
        <v>0</v>
      </c>
      <c r="G27" s="9">
        <f>SUM(MA_FINANCIAL)</f>
        <v>7184.852492709615</v>
      </c>
      <c r="I27" s="13" t="s">
        <v>48</v>
      </c>
      <c r="J27" s="16">
        <f>SUM(ALL_BLOCKS)</f>
        <v>4657250.0299999807</v>
      </c>
      <c r="L27" s="6"/>
      <c r="V27" s="9"/>
    </row>
    <row r="28" spans="1:22">
      <c r="A28" s="1" t="s">
        <v>49</v>
      </c>
      <c r="B28" s="6">
        <v>1504.6524817432182</v>
      </c>
      <c r="C28" s="1">
        <v>47.391098727699159</v>
      </c>
      <c r="D28" s="1">
        <v>0</v>
      </c>
      <c r="E28" s="1">
        <v>0</v>
      </c>
      <c r="F28" s="1">
        <v>0</v>
      </c>
      <c r="G28" s="9">
        <f>SUM(MI_FINANCIAL)</f>
        <v>1552.0435804709173</v>
      </c>
      <c r="I28" s="14"/>
      <c r="J28" s="17"/>
      <c r="L28" s="6"/>
      <c r="V28" s="9"/>
    </row>
    <row r="29" spans="1:22">
      <c r="A29" s="1" t="s">
        <v>50</v>
      </c>
      <c r="B29" s="6">
        <v>210295.14582347684</v>
      </c>
      <c r="C29" s="1">
        <v>281849.03611123189</v>
      </c>
      <c r="D29" s="1">
        <v>0</v>
      </c>
      <c r="E29" s="1">
        <v>0</v>
      </c>
      <c r="F29" s="1">
        <v>0</v>
      </c>
      <c r="G29" s="9">
        <f>SUM(MN_FINANCIAL)</f>
        <v>492144.18193470873</v>
      </c>
      <c r="L29" s="6">
        <v>3800000</v>
      </c>
      <c r="M29" s="1">
        <v>0</v>
      </c>
      <c r="O29" s="1">
        <v>5100000</v>
      </c>
      <c r="P29" s="1">
        <v>0</v>
      </c>
      <c r="R29" s="1">
        <v>0</v>
      </c>
      <c r="S29" s="1">
        <v>0</v>
      </c>
      <c r="U29" s="1">
        <v>0</v>
      </c>
      <c r="V29" s="9">
        <v>0</v>
      </c>
    </row>
    <row r="30" spans="1:22">
      <c r="A30" s="1" t="s">
        <v>51</v>
      </c>
      <c r="B30" s="6">
        <v>42223.355968121206</v>
      </c>
      <c r="C30" s="1">
        <v>4577.110963457264</v>
      </c>
      <c r="D30" s="1">
        <v>0</v>
      </c>
      <c r="E30" s="1">
        <v>0</v>
      </c>
      <c r="F30" s="1">
        <v>0</v>
      </c>
      <c r="G30" s="9">
        <f>SUM(MS_FINANCIAL)</f>
        <v>46800.46693157847</v>
      </c>
      <c r="L30" s="6">
        <v>1431852</v>
      </c>
      <c r="M30" s="1">
        <v>0</v>
      </c>
      <c r="O30" s="1">
        <v>268148</v>
      </c>
      <c r="P30" s="1">
        <v>0</v>
      </c>
      <c r="R30" s="1">
        <v>0</v>
      </c>
      <c r="S30" s="1">
        <v>0</v>
      </c>
      <c r="U30" s="1">
        <v>0</v>
      </c>
      <c r="V30" s="9">
        <v>0</v>
      </c>
    </row>
    <row r="31" spans="1:22">
      <c r="A31" s="1" t="s">
        <v>52</v>
      </c>
      <c r="B31" s="6">
        <v>167763.27743106941</v>
      </c>
      <c r="C31" s="1">
        <v>-39339.646846013144</v>
      </c>
      <c r="D31" s="1">
        <v>0</v>
      </c>
      <c r="E31" s="1">
        <v>0</v>
      </c>
      <c r="F31" s="1">
        <v>0</v>
      </c>
      <c r="G31" s="9">
        <f>SUM(MO_FINANCIAL)</f>
        <v>128423.63058505626</v>
      </c>
      <c r="L31" s="6">
        <v>1794890</v>
      </c>
      <c r="M31" s="1">
        <v>0</v>
      </c>
      <c r="O31" s="1">
        <v>2035480</v>
      </c>
      <c r="P31" s="1">
        <v>0</v>
      </c>
      <c r="R31" s="1">
        <v>0</v>
      </c>
      <c r="S31" s="1">
        <v>0</v>
      </c>
      <c r="U31" s="1">
        <v>0</v>
      </c>
      <c r="V31" s="9">
        <v>0</v>
      </c>
    </row>
    <row r="32" spans="1:22">
      <c r="A32" s="1" t="s">
        <v>53</v>
      </c>
      <c r="B32" s="6">
        <v>27536.977915830677</v>
      </c>
      <c r="C32" s="1">
        <v>7940.9145779886167</v>
      </c>
      <c r="D32" s="1">
        <v>0</v>
      </c>
      <c r="E32" s="1">
        <v>0</v>
      </c>
      <c r="F32" s="1">
        <v>0</v>
      </c>
      <c r="G32" s="9">
        <f>SUM(MT_FINANCIAL)</f>
        <v>35477.892493819294</v>
      </c>
      <c r="L32" s="6">
        <v>616000</v>
      </c>
      <c r="M32" s="1">
        <v>0</v>
      </c>
      <c r="O32" s="1">
        <v>184000</v>
      </c>
      <c r="P32" s="1">
        <v>0</v>
      </c>
      <c r="R32" s="1">
        <v>0</v>
      </c>
      <c r="S32" s="1">
        <v>0</v>
      </c>
      <c r="U32" s="1">
        <v>0</v>
      </c>
      <c r="V32" s="9">
        <v>0</v>
      </c>
    </row>
    <row r="33" spans="1:22">
      <c r="A33" s="1" t="s">
        <v>54</v>
      </c>
      <c r="B33" s="6">
        <v>22624.367614467395</v>
      </c>
      <c r="C33" s="1">
        <v>14468.541359893105</v>
      </c>
      <c r="D33" s="1">
        <v>0</v>
      </c>
      <c r="E33" s="1">
        <v>0</v>
      </c>
      <c r="F33" s="1">
        <v>0</v>
      </c>
      <c r="G33" s="9">
        <f>SUM(NE_FINANCIAL)</f>
        <v>37092.9089743605</v>
      </c>
      <c r="L33" s="6">
        <v>891000</v>
      </c>
      <c r="M33" s="1">
        <v>395035</v>
      </c>
      <c r="O33" s="1">
        <v>315115</v>
      </c>
      <c r="P33" s="1">
        <v>274965</v>
      </c>
      <c r="R33" s="1">
        <v>0</v>
      </c>
      <c r="S33" s="1">
        <v>0</v>
      </c>
      <c r="U33" s="1">
        <v>0</v>
      </c>
      <c r="V33" s="9">
        <v>0</v>
      </c>
    </row>
    <row r="34" spans="1:22">
      <c r="A34" s="1" t="s">
        <v>55</v>
      </c>
      <c r="B34" s="6">
        <v>66688.875314358156</v>
      </c>
      <c r="C34" s="1">
        <v>-5914.0732370376936</v>
      </c>
      <c r="D34" s="1">
        <v>0</v>
      </c>
      <c r="E34" s="1">
        <v>0</v>
      </c>
      <c r="F34" s="1">
        <v>0</v>
      </c>
      <c r="G34" s="9">
        <f>SUM(NV_FINANCIAL)</f>
        <v>60774.802077320463</v>
      </c>
      <c r="L34" s="6">
        <v>1331000</v>
      </c>
      <c r="M34" s="1">
        <v>337000</v>
      </c>
      <c r="O34" s="1">
        <v>229000</v>
      </c>
      <c r="P34" s="1">
        <v>55000</v>
      </c>
      <c r="R34" s="1">
        <v>0</v>
      </c>
      <c r="S34" s="1">
        <v>0</v>
      </c>
      <c r="U34" s="1">
        <v>0</v>
      </c>
      <c r="V34" s="9">
        <v>0</v>
      </c>
    </row>
    <row r="35" spans="1:22">
      <c r="A35" s="1" t="s">
        <v>56</v>
      </c>
      <c r="B35" s="6">
        <v>3390.3364427334745</v>
      </c>
      <c r="C35" s="1">
        <v>115.51962634824758</v>
      </c>
      <c r="D35" s="1">
        <v>0</v>
      </c>
      <c r="E35" s="1">
        <v>0</v>
      </c>
      <c r="F35" s="1">
        <v>0</v>
      </c>
      <c r="G35" s="9">
        <f>SUM(NH_FINANCIAL)</f>
        <v>3505.8560690817221</v>
      </c>
      <c r="L35" s="6">
        <v>150000</v>
      </c>
      <c r="M35" s="1">
        <v>0</v>
      </c>
      <c r="O35" s="1">
        <v>0</v>
      </c>
      <c r="P35" s="1">
        <v>0</v>
      </c>
      <c r="R35" s="1">
        <v>0</v>
      </c>
      <c r="S35" s="1">
        <v>0</v>
      </c>
      <c r="U35" s="1">
        <v>0</v>
      </c>
      <c r="V35" s="9">
        <v>0</v>
      </c>
    </row>
    <row r="36" spans="1:22">
      <c r="A36" s="1" t="s">
        <v>57</v>
      </c>
      <c r="B36" s="6">
        <v>0</v>
      </c>
      <c r="C36" s="1">
        <v>0</v>
      </c>
      <c r="D36" s="1">
        <v>0</v>
      </c>
      <c r="E36" s="1">
        <v>0</v>
      </c>
      <c r="F36" s="1">
        <v>0</v>
      </c>
      <c r="G36" s="9">
        <f>SUM(NJ_FINANCIAL)</f>
        <v>0</v>
      </c>
      <c r="L36" s="6"/>
      <c r="V36" s="9"/>
    </row>
    <row r="37" spans="1:22">
      <c r="A37" s="1" t="s">
        <v>58</v>
      </c>
      <c r="B37" s="6">
        <v>31825.851136973419</v>
      </c>
      <c r="C37" s="1">
        <v>35633.229741279152</v>
      </c>
      <c r="D37" s="1">
        <v>0</v>
      </c>
      <c r="E37" s="1">
        <v>0</v>
      </c>
      <c r="F37" s="1">
        <v>0</v>
      </c>
      <c r="G37" s="9">
        <f>SUM(NM_FINANCIAL)</f>
        <v>67459.080878252571</v>
      </c>
      <c r="L37" s="6"/>
      <c r="V37" s="9"/>
    </row>
    <row r="38" spans="1:22">
      <c r="A38" s="1" t="s">
        <v>59</v>
      </c>
      <c r="B38" s="6">
        <v>0</v>
      </c>
      <c r="C38" s="1">
        <v>0</v>
      </c>
      <c r="D38" s="1">
        <v>0</v>
      </c>
      <c r="E38" s="1">
        <v>0</v>
      </c>
      <c r="F38" s="1">
        <v>0</v>
      </c>
      <c r="G38" s="9">
        <f>SUM(NY_FINANCIAL)</f>
        <v>0</v>
      </c>
      <c r="L38" s="6"/>
      <c r="V38" s="9"/>
    </row>
    <row r="39" spans="1:22">
      <c r="A39" s="1" t="s">
        <v>60</v>
      </c>
      <c r="B39" s="6">
        <v>70603.491815781686</v>
      </c>
      <c r="C39" s="1">
        <v>9355.6153316235868</v>
      </c>
      <c r="D39" s="1">
        <v>-444.17</v>
      </c>
      <c r="E39" s="1">
        <v>0</v>
      </c>
      <c r="F39" s="1">
        <v>0</v>
      </c>
      <c r="G39" s="9">
        <f>SUM(NC_FINANCIAL)</f>
        <v>79514.937147405275</v>
      </c>
      <c r="L39" s="6"/>
      <c r="V39" s="9"/>
    </row>
    <row r="40" spans="1:22">
      <c r="A40" s="1" t="s">
        <v>61</v>
      </c>
      <c r="B40" s="6">
        <v>13662.332956366183</v>
      </c>
      <c r="C40" s="1">
        <v>8735.2779685525456</v>
      </c>
      <c r="D40" s="1">
        <v>0</v>
      </c>
      <c r="E40" s="1">
        <v>0</v>
      </c>
      <c r="F40" s="1">
        <v>0</v>
      </c>
      <c r="G40" s="9">
        <f>SUM(ND_FINANCIAL)</f>
        <v>22397.610924918728</v>
      </c>
      <c r="L40" s="6">
        <v>442600</v>
      </c>
      <c r="M40" s="1">
        <v>423000</v>
      </c>
      <c r="O40" s="1">
        <v>282400</v>
      </c>
      <c r="P40" s="1">
        <v>214000</v>
      </c>
      <c r="R40" s="1">
        <v>0</v>
      </c>
      <c r="S40" s="1">
        <v>0</v>
      </c>
      <c r="U40" s="1">
        <v>0</v>
      </c>
      <c r="V40" s="9">
        <v>0</v>
      </c>
    </row>
    <row r="41" spans="1:22">
      <c r="A41" s="1" t="s">
        <v>62</v>
      </c>
      <c r="B41" s="6">
        <v>0</v>
      </c>
      <c r="C41" s="1">
        <v>0</v>
      </c>
      <c r="D41" s="1">
        <v>0</v>
      </c>
      <c r="E41" s="1">
        <v>0</v>
      </c>
      <c r="F41" s="1">
        <v>0</v>
      </c>
      <c r="G41" s="9">
        <f>SUM(OH_FINANCIAL)</f>
        <v>0</v>
      </c>
      <c r="L41" s="6"/>
      <c r="V41" s="9"/>
    </row>
    <row r="42" spans="1:22">
      <c r="A42" s="1" t="s">
        <v>63</v>
      </c>
      <c r="B42" s="6">
        <v>52898.816631057882</v>
      </c>
      <c r="C42" s="1">
        <v>126367.11288955202</v>
      </c>
      <c r="D42" s="1">
        <v>0</v>
      </c>
      <c r="E42" s="1">
        <v>0</v>
      </c>
      <c r="F42" s="1">
        <v>0</v>
      </c>
      <c r="G42" s="9">
        <f>SUM(OK_FINANCIAL)</f>
        <v>179265.92952060991</v>
      </c>
      <c r="L42" s="6">
        <v>560000</v>
      </c>
      <c r="M42" s="1">
        <v>501200</v>
      </c>
      <c r="O42" s="1">
        <v>1440000</v>
      </c>
      <c r="P42" s="1">
        <v>1288800</v>
      </c>
      <c r="R42" s="1">
        <v>0</v>
      </c>
      <c r="S42" s="1">
        <v>0</v>
      </c>
      <c r="U42" s="1">
        <v>0</v>
      </c>
      <c r="V42" s="9">
        <v>0</v>
      </c>
    </row>
    <row r="43" spans="1:22">
      <c r="A43" s="1" t="s">
        <v>64</v>
      </c>
      <c r="B43" s="6">
        <v>51554.010727281449</v>
      </c>
      <c r="C43" s="1">
        <v>16173.158069419675</v>
      </c>
      <c r="D43" s="1">
        <v>0</v>
      </c>
      <c r="E43" s="1">
        <v>0</v>
      </c>
      <c r="F43" s="1">
        <v>0</v>
      </c>
      <c r="G43" s="9">
        <f>SUM(OR_FINANCIAL)</f>
        <v>67727.168796701124</v>
      </c>
      <c r="L43" s="6">
        <v>2446348</v>
      </c>
      <c r="M43" s="1">
        <v>0</v>
      </c>
      <c r="O43" s="1">
        <v>726253</v>
      </c>
      <c r="P43" s="1">
        <v>0</v>
      </c>
      <c r="R43" s="1">
        <v>0</v>
      </c>
      <c r="S43" s="1">
        <v>0</v>
      </c>
      <c r="U43" s="1">
        <v>0</v>
      </c>
      <c r="V43" s="9">
        <v>0</v>
      </c>
    </row>
    <row r="44" spans="1:22">
      <c r="A44" s="1" t="s">
        <v>65</v>
      </c>
      <c r="B44" s="6">
        <v>279122.73981498741</v>
      </c>
      <c r="C44" s="1">
        <v>-75258.341906746849</v>
      </c>
      <c r="D44" s="1">
        <v>0</v>
      </c>
      <c r="E44" s="1">
        <v>0</v>
      </c>
      <c r="F44" s="1">
        <v>0</v>
      </c>
      <c r="G44" s="9">
        <f>SUM(PA_FINANCIAL)</f>
        <v>203864.39790824056</v>
      </c>
      <c r="L44" s="6"/>
      <c r="V44" s="9"/>
    </row>
    <row r="45" spans="1:22">
      <c r="A45" s="1" t="s">
        <v>66</v>
      </c>
      <c r="B45" s="6">
        <v>0</v>
      </c>
      <c r="C45" s="1">
        <v>0</v>
      </c>
      <c r="D45" s="1">
        <v>0</v>
      </c>
      <c r="E45" s="1">
        <v>0</v>
      </c>
      <c r="F45" s="1">
        <v>0</v>
      </c>
      <c r="G45" s="9">
        <f>SUM(PR_FINANCIAL)</f>
        <v>0</v>
      </c>
      <c r="L45" s="6"/>
      <c r="V45" s="9"/>
    </row>
    <row r="46" spans="1:22">
      <c r="A46" s="1" t="s">
        <v>67</v>
      </c>
      <c r="B46" s="6">
        <v>579.15875678729208</v>
      </c>
      <c r="C46" s="1">
        <v>8.4648380294229355</v>
      </c>
      <c r="D46" s="1">
        <v>0</v>
      </c>
      <c r="E46" s="1">
        <v>0</v>
      </c>
      <c r="F46" s="1">
        <v>0</v>
      </c>
      <c r="G46" s="9">
        <f>SUM(RI_FINANCIAL)</f>
        <v>587.62359481671501</v>
      </c>
      <c r="L46" s="6"/>
      <c r="V46" s="9"/>
    </row>
    <row r="47" spans="1:22">
      <c r="A47" s="1" t="s">
        <v>68</v>
      </c>
      <c r="B47" s="6">
        <v>469312.65048129251</v>
      </c>
      <c r="C47" s="1">
        <v>122125.0727520592</v>
      </c>
      <c r="D47" s="1">
        <v>0</v>
      </c>
      <c r="E47" s="1">
        <v>0</v>
      </c>
      <c r="F47" s="1">
        <v>0</v>
      </c>
      <c r="G47" s="9">
        <f>SUM(SC_FINANCIAL)</f>
        <v>591437.72323335172</v>
      </c>
      <c r="L47" s="6">
        <v>1960000</v>
      </c>
      <c r="M47" s="1">
        <v>0</v>
      </c>
      <c r="O47" s="1">
        <v>840000</v>
      </c>
      <c r="P47" s="1">
        <v>0</v>
      </c>
      <c r="R47" s="1">
        <v>0</v>
      </c>
      <c r="S47" s="1">
        <v>0</v>
      </c>
      <c r="U47" s="1">
        <v>0</v>
      </c>
      <c r="V47" s="9">
        <v>0</v>
      </c>
    </row>
    <row r="48" spans="1:22">
      <c r="A48" s="1" t="s">
        <v>69</v>
      </c>
      <c r="B48" s="6">
        <v>9530.5460977717885</v>
      </c>
      <c r="C48" s="1">
        <v>4655.7217815694457</v>
      </c>
      <c r="D48" s="1">
        <v>0</v>
      </c>
      <c r="E48" s="1">
        <v>0</v>
      </c>
      <c r="F48" s="1">
        <v>0</v>
      </c>
      <c r="G48" s="9">
        <f>SUM(SD_FINANCIAL)</f>
        <v>14186.267879341234</v>
      </c>
      <c r="L48" s="6">
        <v>299991</v>
      </c>
      <c r="M48" s="1">
        <v>0</v>
      </c>
      <c r="O48" s="1">
        <v>156000</v>
      </c>
      <c r="P48" s="1">
        <v>0</v>
      </c>
      <c r="R48" s="1">
        <v>0</v>
      </c>
      <c r="S48" s="1">
        <v>0</v>
      </c>
      <c r="U48" s="1">
        <v>0</v>
      </c>
      <c r="V48" s="9">
        <v>0</v>
      </c>
    </row>
    <row r="49" spans="1:22">
      <c r="A49" s="1" t="s">
        <v>70</v>
      </c>
      <c r="B49" s="6">
        <v>2061.0181004591286</v>
      </c>
      <c r="C49" s="1">
        <v>94500.334991954151</v>
      </c>
      <c r="D49" s="1">
        <v>0</v>
      </c>
      <c r="E49" s="1">
        <v>0</v>
      </c>
      <c r="F49" s="1">
        <v>0</v>
      </c>
      <c r="G49" s="9">
        <f>SUM(TN_FINANCIAL)</f>
        <v>96561.353092413279</v>
      </c>
      <c r="L49" s="6">
        <v>2050000</v>
      </c>
      <c r="M49" s="1">
        <v>0</v>
      </c>
      <c r="O49" s="1">
        <v>750000</v>
      </c>
      <c r="P49" s="1">
        <v>0</v>
      </c>
      <c r="R49" s="1">
        <v>0</v>
      </c>
      <c r="S49" s="1">
        <v>0</v>
      </c>
      <c r="U49" s="1">
        <v>0</v>
      </c>
      <c r="V49" s="9">
        <v>0</v>
      </c>
    </row>
    <row r="50" spans="1:22">
      <c r="A50" s="1" t="s">
        <v>71</v>
      </c>
      <c r="B50" s="6">
        <v>144765.80631322204</v>
      </c>
      <c r="C50" s="1">
        <v>224664.34266604576</v>
      </c>
      <c r="D50" s="1">
        <v>0</v>
      </c>
      <c r="E50" s="1">
        <v>0</v>
      </c>
      <c r="F50" s="1">
        <v>0</v>
      </c>
      <c r="G50" s="9">
        <f>SUM(TX_FINANCIAL)</f>
        <v>369430.1489792678</v>
      </c>
      <c r="L50" s="6">
        <v>2765448</v>
      </c>
      <c r="M50" s="1">
        <v>2298097.341364</v>
      </c>
      <c r="O50" s="1">
        <v>419087</v>
      </c>
      <c r="P50" s="1">
        <v>348261.36863599997</v>
      </c>
      <c r="R50" s="1">
        <v>0</v>
      </c>
      <c r="S50" s="1">
        <v>0</v>
      </c>
      <c r="U50" s="1">
        <v>0</v>
      </c>
      <c r="V50" s="9">
        <v>0</v>
      </c>
    </row>
    <row r="51" spans="1:22">
      <c r="A51" s="1" t="s">
        <v>72</v>
      </c>
      <c r="B51" s="6">
        <v>56147.568903752312</v>
      </c>
      <c r="C51" s="1">
        <v>51460.710517846746</v>
      </c>
      <c r="D51" s="1">
        <v>0</v>
      </c>
      <c r="E51" s="1">
        <v>0</v>
      </c>
      <c r="F51" s="1">
        <v>0</v>
      </c>
      <c r="G51" s="9">
        <f>SUM(UT_FINANCIAL)</f>
        <v>107608.27942159906</v>
      </c>
      <c r="L51" s="6">
        <v>421547</v>
      </c>
      <c r="M51" s="1">
        <v>0</v>
      </c>
      <c r="O51" s="1">
        <v>283452</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48962.358281258494</v>
      </c>
      <c r="C53" s="1">
        <v>21064.779871461447</v>
      </c>
      <c r="D53" s="1">
        <v>8022.24</v>
      </c>
      <c r="E53" s="1">
        <v>0</v>
      </c>
      <c r="F53" s="1">
        <v>0</v>
      </c>
      <c r="G53" s="9">
        <f>SUM(VA_FINANCIAL)</f>
        <v>78049.378152719946</v>
      </c>
      <c r="L53" s="6">
        <v>2131843</v>
      </c>
      <c r="M53" s="1">
        <v>1763245</v>
      </c>
      <c r="O53" s="1">
        <v>979596</v>
      </c>
      <c r="P53" s="1">
        <v>794786</v>
      </c>
      <c r="R53" s="1">
        <v>4700</v>
      </c>
      <c r="S53" s="1">
        <v>0</v>
      </c>
      <c r="U53" s="1">
        <v>0</v>
      </c>
      <c r="V53" s="9">
        <v>0</v>
      </c>
    </row>
    <row r="54" spans="1:22">
      <c r="A54" s="1" t="s">
        <v>75</v>
      </c>
      <c r="B54" s="6">
        <v>265884.14379843371</v>
      </c>
      <c r="C54" s="1">
        <v>-142837.44446871965</v>
      </c>
      <c r="D54" s="1">
        <v>0</v>
      </c>
      <c r="E54" s="1">
        <v>0</v>
      </c>
      <c r="F54" s="1">
        <v>0</v>
      </c>
      <c r="G54" s="9">
        <f>SUM(WA_FINANCIAL)</f>
        <v>123046.69932971406</v>
      </c>
      <c r="L54" s="6">
        <v>3200000</v>
      </c>
      <c r="M54" s="1">
        <v>1200000</v>
      </c>
      <c r="O54" s="1">
        <v>1100000</v>
      </c>
      <c r="P54" s="1">
        <v>1200000</v>
      </c>
      <c r="R54" s="1">
        <v>0</v>
      </c>
      <c r="S54" s="1">
        <v>0</v>
      </c>
      <c r="U54" s="1">
        <v>0</v>
      </c>
      <c r="V54" s="9">
        <v>0</v>
      </c>
    </row>
    <row r="55" spans="1:22">
      <c r="A55" s="1" t="s">
        <v>76</v>
      </c>
      <c r="B55" s="6">
        <v>115031.36793060612</v>
      </c>
      <c r="C55" s="1">
        <v>-94678.887242947763</v>
      </c>
      <c r="D55" s="1">
        <v>5460.32</v>
      </c>
      <c r="E55" s="1">
        <v>0</v>
      </c>
      <c r="F55" s="1">
        <v>0</v>
      </c>
      <c r="G55" s="9">
        <f>SUM(WV_FINANCIAL)</f>
        <v>25812.80068765836</v>
      </c>
      <c r="L55" s="6">
        <v>515621</v>
      </c>
      <c r="M55" s="1">
        <v>503796</v>
      </c>
      <c r="O55" s="1">
        <v>221407</v>
      </c>
      <c r="P55" s="1">
        <v>251424</v>
      </c>
      <c r="R55" s="1">
        <v>50000</v>
      </c>
      <c r="S55" s="1">
        <v>103672</v>
      </c>
      <c r="U55" s="1">
        <v>0</v>
      </c>
      <c r="V55" s="9">
        <v>0</v>
      </c>
    </row>
    <row r="56" spans="1:22">
      <c r="A56" s="1" t="s">
        <v>77</v>
      </c>
      <c r="B56" s="6">
        <v>7219.4396229423</v>
      </c>
      <c r="C56" s="1">
        <v>5966.4629389768816</v>
      </c>
      <c r="D56" s="1">
        <v>0</v>
      </c>
      <c r="E56" s="1">
        <v>0</v>
      </c>
      <c r="F56" s="1">
        <v>0</v>
      </c>
      <c r="G56" s="9">
        <f>SUM(WI_FINANCIAL)</f>
        <v>13185.902561919182</v>
      </c>
      <c r="L56" s="6">
        <v>200000</v>
      </c>
      <c r="M56" s="1">
        <v>0</v>
      </c>
      <c r="O56" s="1">
        <v>250000</v>
      </c>
      <c r="P56" s="1">
        <v>0</v>
      </c>
      <c r="R56" s="1">
        <v>0</v>
      </c>
      <c r="S56" s="1">
        <v>0</v>
      </c>
      <c r="U56" s="1">
        <v>0</v>
      </c>
      <c r="V56" s="9">
        <v>0</v>
      </c>
    </row>
    <row r="57" spans="1:22">
      <c r="A57" s="1" t="s">
        <v>78</v>
      </c>
      <c r="B57" s="6">
        <v>3911.6383606036543</v>
      </c>
      <c r="C57" s="1">
        <v>3606.1938472393813</v>
      </c>
      <c r="D57" s="1">
        <v>0</v>
      </c>
      <c r="E57" s="1">
        <v>0</v>
      </c>
      <c r="F57" s="1">
        <v>0</v>
      </c>
      <c r="G57" s="9">
        <f>SUM(WY_FINANCIAL)</f>
        <v>7517.8322078430356</v>
      </c>
      <c r="L57" s="6">
        <v>0</v>
      </c>
      <c r="M57" s="1">
        <v>389679</v>
      </c>
      <c r="O57" s="1">
        <v>0</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3768842.6602135198</v>
      </c>
      <c r="C60" s="1">
        <f>SUM(ALLOCATED)</f>
        <v>815376.26978646184</v>
      </c>
      <c r="D60" s="1">
        <f>SUM(HEALTH)</f>
        <v>73031.100000000006</v>
      </c>
      <c r="E60" s="1">
        <f>SUM(UNALLOCATED)</f>
        <v>0</v>
      </c>
      <c r="F60" s="1">
        <f>SUM(LTC)</f>
        <v>0</v>
      </c>
      <c r="G60" s="9">
        <f>SUM(ALL_BLOCKS)</f>
        <v>4657250.0299999807</v>
      </c>
      <c r="L60" s="6">
        <f>SUM(LIFE_CALLED)</f>
        <v>71046715</v>
      </c>
      <c r="M60" s="1">
        <f>SUM(LIFE_REFUNDED)</f>
        <v>40054374.341363996</v>
      </c>
      <c r="O60" s="1">
        <f>SUM(ALLOC_CALLED)</f>
        <v>31672495</v>
      </c>
      <c r="P60" s="1">
        <f>SUM(ALLOC_REFUNDED)</f>
        <v>12506699.048636001</v>
      </c>
      <c r="R60" s="1">
        <f>SUM(HEALTH_CALLED)</f>
        <v>79818</v>
      </c>
      <c r="S60" s="1">
        <f>SUM(HEALTH_REFUNDED)</f>
        <v>111672</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171</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1795.8211484868311</v>
      </c>
      <c r="C10" s="1">
        <v>0</v>
      </c>
      <c r="D10" s="1">
        <v>161.73061342008884</v>
      </c>
      <c r="E10" s="1">
        <v>0</v>
      </c>
      <c r="F10" s="1">
        <v>0</v>
      </c>
      <c r="G10" s="9">
        <f>SUM(CA_FINANCIAL)</f>
        <v>1957.5517619069201</v>
      </c>
      <c r="I10" s="13" t="s">
        <v>17</v>
      </c>
      <c r="J10" s="16">
        <v>0</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1253.1596812673035</v>
      </c>
      <c r="C14" s="1">
        <v>0</v>
      </c>
      <c r="D14" s="1">
        <v>254.54634560540239</v>
      </c>
      <c r="E14" s="1">
        <v>0</v>
      </c>
      <c r="F14" s="1">
        <v>0</v>
      </c>
      <c r="G14" s="9">
        <f>SUM(DC_FINANCIAL)</f>
        <v>1507.7060268727059</v>
      </c>
      <c r="I14" s="13" t="s">
        <v>24</v>
      </c>
      <c r="J14" s="16">
        <v>0</v>
      </c>
      <c r="L14" s="6"/>
      <c r="V14" s="9"/>
    </row>
    <row r="15" spans="1:22">
      <c r="A15" s="1" t="s">
        <v>25</v>
      </c>
      <c r="B15" s="6">
        <v>0</v>
      </c>
      <c r="C15" s="1">
        <v>0</v>
      </c>
      <c r="D15" s="1">
        <v>0</v>
      </c>
      <c r="E15" s="1">
        <v>0</v>
      </c>
      <c r="F15" s="1">
        <v>0</v>
      </c>
      <c r="G15" s="9">
        <f>SUM(FL_FINANCIAL)</f>
        <v>0</v>
      </c>
      <c r="I15" s="13" t="s">
        <v>26</v>
      </c>
      <c r="J15" s="16">
        <v>37530.230000000003</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9845.048879317992</v>
      </c>
      <c r="C19" s="1">
        <v>0</v>
      </c>
      <c r="D19" s="1">
        <v>5669.1015743005346</v>
      </c>
      <c r="E19" s="1">
        <v>0</v>
      </c>
      <c r="F19" s="1">
        <v>0</v>
      </c>
      <c r="G19" s="9">
        <f>SUM(IL_FINANCIAL)</f>
        <v>15514.150453618528</v>
      </c>
      <c r="I19" s="13" t="s">
        <v>33</v>
      </c>
      <c r="J19" s="16">
        <v>0</v>
      </c>
      <c r="L19" s="6">
        <v>80000</v>
      </c>
      <c r="M19" s="1">
        <v>54000</v>
      </c>
      <c r="O19" s="1">
        <v>0</v>
      </c>
      <c r="P19" s="1">
        <v>0</v>
      </c>
      <c r="R19" s="1">
        <v>20000</v>
      </c>
      <c r="S19" s="1">
        <v>24000</v>
      </c>
      <c r="U19" s="1">
        <v>0</v>
      </c>
      <c r="V19" s="9">
        <v>0</v>
      </c>
    </row>
    <row r="20" spans="1:22">
      <c r="A20" s="1" t="s">
        <v>34</v>
      </c>
      <c r="B20" s="6">
        <v>1260.6514903054633</v>
      </c>
      <c r="C20" s="1">
        <v>0</v>
      </c>
      <c r="D20" s="1">
        <v>311.6826572904946</v>
      </c>
      <c r="E20" s="1">
        <v>0</v>
      </c>
      <c r="F20" s="1">
        <v>0</v>
      </c>
      <c r="G20" s="9">
        <f>SUM(IN_FINANCIAL)</f>
        <v>1572.3341475959578</v>
      </c>
      <c r="I20" s="13" t="s">
        <v>35</v>
      </c>
      <c r="J20" s="16">
        <v>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1456.5713818114373</v>
      </c>
      <c r="C23" s="1">
        <v>0</v>
      </c>
      <c r="D23" s="1">
        <v>670.20401198926083</v>
      </c>
      <c r="E23" s="1">
        <v>0</v>
      </c>
      <c r="F23" s="1">
        <v>0</v>
      </c>
      <c r="G23" s="9">
        <f>SUM(KY_FINANCIAL)</f>
        <v>2126.7753938006981</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1263.7515462845488</v>
      </c>
      <c r="C26" s="1">
        <v>0</v>
      </c>
      <c r="D26" s="1">
        <v>112.1471291131039</v>
      </c>
      <c r="E26" s="1">
        <v>0</v>
      </c>
      <c r="F26" s="1">
        <v>0</v>
      </c>
      <c r="G26" s="9">
        <f>SUM(MD_FINANCIAL)</f>
        <v>1375.8986753976526</v>
      </c>
      <c r="I26" s="13" t="s">
        <v>46</v>
      </c>
      <c r="J26" s="16">
        <f>SUM(ADD_FINANCIAL)-SUM(LESS_FINANCIAL)</f>
        <v>37530.230000000003</v>
      </c>
      <c r="L26" s="6"/>
      <c r="V26" s="9"/>
    </row>
    <row r="27" spans="1:22">
      <c r="A27" s="1" t="s">
        <v>47</v>
      </c>
      <c r="B27" s="6">
        <v>0</v>
      </c>
      <c r="C27" s="1">
        <v>0</v>
      </c>
      <c r="D27" s="1">
        <v>0</v>
      </c>
      <c r="E27" s="1">
        <v>0</v>
      </c>
      <c r="F27" s="1">
        <v>0</v>
      </c>
      <c r="G27" s="9">
        <f>SUM(MA_FINANCIAL)</f>
        <v>0</v>
      </c>
      <c r="I27" s="13" t="s">
        <v>48</v>
      </c>
      <c r="J27" s="16">
        <f>SUM(ALL_BLOCKS)</f>
        <v>37530.230000000003</v>
      </c>
      <c r="L27" s="6"/>
      <c r="V27" s="9"/>
    </row>
    <row r="28" spans="1:22">
      <c r="A28" s="1" t="s">
        <v>49</v>
      </c>
      <c r="B28" s="6">
        <v>1966.9118658632019</v>
      </c>
      <c r="C28" s="1">
        <v>0</v>
      </c>
      <c r="D28" s="1">
        <v>294.22198944109914</v>
      </c>
      <c r="E28" s="1">
        <v>0</v>
      </c>
      <c r="F28" s="1">
        <v>0</v>
      </c>
      <c r="G28" s="9">
        <f>SUM(MI_FINANCIAL)</f>
        <v>2261.1338553043011</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473.99865322462387</v>
      </c>
      <c r="C31" s="1">
        <v>0</v>
      </c>
      <c r="D31" s="1">
        <v>154.42478380804948</v>
      </c>
      <c r="E31" s="1">
        <v>0</v>
      </c>
      <c r="F31" s="1">
        <v>0</v>
      </c>
      <c r="G31" s="9">
        <f>SUM(MO_FINANCIAL)</f>
        <v>628.42343703267329</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7358.9662134389018</v>
      </c>
      <c r="C41" s="1">
        <v>0</v>
      </c>
      <c r="D41" s="1">
        <v>1621.7914570645657</v>
      </c>
      <c r="E41" s="1">
        <v>0</v>
      </c>
      <c r="F41" s="1">
        <v>0</v>
      </c>
      <c r="G41" s="9">
        <f>SUM(OH_FINANCIAL)</f>
        <v>8980.757670503468</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1230.8303932154763</v>
      </c>
      <c r="C55" s="1">
        <v>0</v>
      </c>
      <c r="D55" s="1">
        <v>374.66818475162393</v>
      </c>
      <c r="E55" s="1">
        <v>0</v>
      </c>
      <c r="F55" s="1">
        <v>0</v>
      </c>
      <c r="G55" s="9">
        <f>SUM(WV_FINANCIAL)</f>
        <v>1605.4985779671001</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27905.711253215781</v>
      </c>
      <c r="C60" s="1">
        <f>SUM(ALLOCATED)</f>
        <v>0</v>
      </c>
      <c r="D60" s="1">
        <f>SUM(HEALTH)</f>
        <v>9624.5187467842243</v>
      </c>
      <c r="E60" s="1">
        <f>SUM(UNALLOCATED)</f>
        <v>0</v>
      </c>
      <c r="F60" s="1">
        <f>SUM(LTC)</f>
        <v>0</v>
      </c>
      <c r="G60" s="9">
        <f>SUM(ALL_BLOCKS)</f>
        <v>37530.230000000003</v>
      </c>
      <c r="L60" s="6">
        <f>SUM(LIFE_CALLED)</f>
        <v>80000</v>
      </c>
      <c r="M60" s="1">
        <f>SUM(LIFE_REFUNDED)</f>
        <v>54000</v>
      </c>
      <c r="O60" s="1">
        <f>SUM(ALLOC_CALLED)</f>
        <v>0</v>
      </c>
      <c r="P60" s="1">
        <f>SUM(ALLOC_REFUNDED)</f>
        <v>0</v>
      </c>
      <c r="R60" s="1">
        <f>SUM(HEALTH_CALLED)</f>
        <v>20000</v>
      </c>
      <c r="S60" s="1">
        <f>SUM(HEALTH_REFUNDED)</f>
        <v>24000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172</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29232.395920305491</v>
      </c>
      <c r="C6" s="1">
        <v>0</v>
      </c>
      <c r="D6" s="1">
        <v>-17371.646726173665</v>
      </c>
      <c r="E6" s="1">
        <v>0</v>
      </c>
      <c r="F6" s="1">
        <v>0</v>
      </c>
      <c r="G6" s="9">
        <f>SUM(AL_FINANCIAL)</f>
        <v>11860.749194131826</v>
      </c>
      <c r="L6" s="6"/>
      <c r="V6" s="9"/>
    </row>
    <row r="7" spans="1:22">
      <c r="A7" s="1" t="s">
        <v>12</v>
      </c>
      <c r="B7" s="6">
        <v>-184</v>
      </c>
      <c r="C7" s="1">
        <v>0</v>
      </c>
      <c r="D7" s="1">
        <v>-108</v>
      </c>
      <c r="E7" s="1">
        <v>0</v>
      </c>
      <c r="F7" s="1">
        <v>0</v>
      </c>
      <c r="G7" s="9">
        <f>SUM(AK_FINANCIAL)</f>
        <v>-292</v>
      </c>
      <c r="I7" s="12"/>
      <c r="J7" s="15"/>
      <c r="L7" s="6"/>
      <c r="V7" s="9"/>
    </row>
    <row r="8" spans="1:22">
      <c r="A8" s="1" t="s">
        <v>13</v>
      </c>
      <c r="B8" s="6">
        <v>-51340.2</v>
      </c>
      <c r="C8" s="1">
        <v>0</v>
      </c>
      <c r="D8" s="1">
        <v>86731.714714364149</v>
      </c>
      <c r="E8" s="1">
        <v>0</v>
      </c>
      <c r="F8" s="1">
        <v>0</v>
      </c>
      <c r="G8" s="9">
        <f>SUM(AZ_FINANCIAL)</f>
        <v>35391.514714364152</v>
      </c>
      <c r="I8" s="13" t="s">
        <v>14</v>
      </c>
      <c r="J8" s="16"/>
      <c r="L8" s="6"/>
      <c r="V8" s="9"/>
    </row>
    <row r="9" spans="1:22">
      <c r="A9" s="1" t="s">
        <v>15</v>
      </c>
      <c r="B9" s="6">
        <v>78366.971708428435</v>
      </c>
      <c r="C9" s="1">
        <v>0</v>
      </c>
      <c r="D9" s="1">
        <v>0</v>
      </c>
      <c r="E9" s="1">
        <v>0</v>
      </c>
      <c r="F9" s="1">
        <v>0</v>
      </c>
      <c r="G9" s="9">
        <f>SUM(AR_FINANCIAL)</f>
        <v>78366.971708428435</v>
      </c>
      <c r="I9" s="13"/>
      <c r="J9" s="16"/>
      <c r="L9" s="6"/>
      <c r="V9" s="9"/>
    </row>
    <row r="10" spans="1:22">
      <c r="A10" s="1" t="s">
        <v>16</v>
      </c>
      <c r="B10" s="6">
        <v>-140004.6</v>
      </c>
      <c r="C10" s="1">
        <v>0</v>
      </c>
      <c r="D10" s="1">
        <v>190325.59999999998</v>
      </c>
      <c r="E10" s="1">
        <v>0</v>
      </c>
      <c r="F10" s="1">
        <v>0</v>
      </c>
      <c r="G10" s="9">
        <f>SUM(CA_FINANCIAL)</f>
        <v>50320.999999999971</v>
      </c>
      <c r="I10" s="13" t="s">
        <v>17</v>
      </c>
      <c r="J10" s="16">
        <v>366100.43</v>
      </c>
      <c r="L10" s="6"/>
      <c r="V10" s="9"/>
    </row>
    <row r="11" spans="1:22">
      <c r="A11" s="1" t="s">
        <v>18</v>
      </c>
      <c r="B11" s="6">
        <v>123106.14577578966</v>
      </c>
      <c r="C11" s="1">
        <v>0</v>
      </c>
      <c r="D11" s="1">
        <v>-102530.40000000001</v>
      </c>
      <c r="E11" s="1">
        <v>0</v>
      </c>
      <c r="F11" s="1">
        <v>0</v>
      </c>
      <c r="G11" s="9">
        <f>SUM(CO_FINANCIAL)</f>
        <v>20575.745775789648</v>
      </c>
      <c r="I11" s="13"/>
      <c r="J11" s="16"/>
      <c r="L11" s="6"/>
      <c r="V11" s="9"/>
    </row>
    <row r="12" spans="1:22">
      <c r="A12" s="1" t="s">
        <v>19</v>
      </c>
      <c r="B12" s="6">
        <v>-5985.1999999999989</v>
      </c>
      <c r="C12" s="1">
        <v>0</v>
      </c>
      <c r="D12" s="1">
        <v>43893.2</v>
      </c>
      <c r="E12" s="1">
        <v>0</v>
      </c>
      <c r="F12" s="1">
        <v>0</v>
      </c>
      <c r="G12" s="9">
        <f>SUM(CT_FINANCIAL)</f>
        <v>37908</v>
      </c>
      <c r="I12" s="13" t="s">
        <v>20</v>
      </c>
      <c r="J12" s="16"/>
      <c r="L12" s="6"/>
      <c r="V12" s="9"/>
    </row>
    <row r="13" spans="1:22">
      <c r="A13" s="1" t="s">
        <v>21</v>
      </c>
      <c r="B13" s="6">
        <v>-88227.8</v>
      </c>
      <c r="C13" s="1">
        <v>0</v>
      </c>
      <c r="D13" s="1">
        <v>-52494.200000000004</v>
      </c>
      <c r="E13" s="1">
        <v>0</v>
      </c>
      <c r="F13" s="1">
        <v>0</v>
      </c>
      <c r="G13" s="9">
        <f>SUM(DE_FINANCIAL)</f>
        <v>-140722</v>
      </c>
      <c r="I13" s="13" t="s">
        <v>22</v>
      </c>
      <c r="J13" s="16">
        <v>2435.58</v>
      </c>
      <c r="L13" s="6"/>
      <c r="V13" s="9"/>
    </row>
    <row r="14" spans="1:22">
      <c r="A14" s="1" t="s">
        <v>23</v>
      </c>
      <c r="B14" s="6">
        <v>-558.79999999999995</v>
      </c>
      <c r="C14" s="1">
        <v>0</v>
      </c>
      <c r="D14" s="1">
        <v>5109.8</v>
      </c>
      <c r="E14" s="1">
        <v>0</v>
      </c>
      <c r="F14" s="1">
        <v>0</v>
      </c>
      <c r="G14" s="9">
        <f>SUM(DC_FINANCIAL)</f>
        <v>4551</v>
      </c>
      <c r="I14" s="13" t="s">
        <v>24</v>
      </c>
      <c r="J14" s="16">
        <v>0</v>
      </c>
      <c r="L14" s="6"/>
      <c r="V14" s="9"/>
    </row>
    <row r="15" spans="1:22">
      <c r="A15" s="1" t="s">
        <v>25</v>
      </c>
      <c r="B15" s="6">
        <v>-94610.4</v>
      </c>
      <c r="C15" s="1">
        <v>0</v>
      </c>
      <c r="D15" s="1">
        <v>428785.4</v>
      </c>
      <c r="E15" s="1">
        <v>0</v>
      </c>
      <c r="F15" s="1">
        <v>0</v>
      </c>
      <c r="G15" s="9">
        <f>SUM(FL_FINANCIAL)</f>
        <v>334175</v>
      </c>
      <c r="I15" s="13" t="s">
        <v>26</v>
      </c>
      <c r="J15" s="16">
        <v>4201166.4052936621</v>
      </c>
      <c r="L15" s="6"/>
      <c r="V15" s="9"/>
    </row>
    <row r="16" spans="1:22">
      <c r="A16" s="1" t="s">
        <v>27</v>
      </c>
      <c r="B16" s="6">
        <v>64046.289569075248</v>
      </c>
      <c r="C16" s="1">
        <v>0</v>
      </c>
      <c r="D16" s="1">
        <v>25600.610921516505</v>
      </c>
      <c r="E16" s="1">
        <v>0</v>
      </c>
      <c r="F16" s="1">
        <v>0</v>
      </c>
      <c r="G16" s="9">
        <f>SUM(GA_FINANCIAL)</f>
        <v>89646.900490591754</v>
      </c>
      <c r="I16" s="13" t="s">
        <v>28</v>
      </c>
      <c r="J16" s="16">
        <v>366100.43</v>
      </c>
      <c r="L16" s="6"/>
      <c r="V16" s="9"/>
    </row>
    <row r="17" spans="1:22">
      <c r="A17" s="1" t="s">
        <v>29</v>
      </c>
      <c r="B17" s="6">
        <v>9.1999999999999993</v>
      </c>
      <c r="C17" s="1">
        <v>0</v>
      </c>
      <c r="D17" s="1">
        <v>-1.2000000000000002</v>
      </c>
      <c r="E17" s="1">
        <v>0</v>
      </c>
      <c r="F17" s="1">
        <v>0</v>
      </c>
      <c r="G17" s="9">
        <f>SUM(HI_FINANCIAL)</f>
        <v>7.9999999999999991</v>
      </c>
      <c r="I17" s="13"/>
      <c r="J17" s="16"/>
      <c r="L17" s="6"/>
      <c r="V17" s="9"/>
    </row>
    <row r="18" spans="1:22">
      <c r="A18" s="1" t="s">
        <v>30</v>
      </c>
      <c r="B18" s="6">
        <v>-342.4</v>
      </c>
      <c r="C18" s="1">
        <v>0</v>
      </c>
      <c r="D18" s="1">
        <v>1412.4</v>
      </c>
      <c r="E18" s="1">
        <v>0</v>
      </c>
      <c r="F18" s="1">
        <v>0</v>
      </c>
      <c r="G18" s="9">
        <f>SUM(ID_FINANCIAL)</f>
        <v>1070</v>
      </c>
      <c r="I18" s="13" t="s">
        <v>31</v>
      </c>
      <c r="J18" s="16"/>
      <c r="L18" s="6"/>
      <c r="V18" s="9"/>
    </row>
    <row r="19" spans="1:22">
      <c r="A19" s="1" t="s">
        <v>32</v>
      </c>
      <c r="B19" s="6">
        <v>-26326.399999999994</v>
      </c>
      <c r="C19" s="1">
        <v>0</v>
      </c>
      <c r="D19" s="1">
        <v>66660.399999999994</v>
      </c>
      <c r="E19" s="1">
        <v>0</v>
      </c>
      <c r="F19" s="1">
        <v>0</v>
      </c>
      <c r="G19" s="9">
        <f>SUM(IL_FINANCIAL)</f>
        <v>40334</v>
      </c>
      <c r="I19" s="13" t="s">
        <v>33</v>
      </c>
      <c r="J19" s="16">
        <v>0</v>
      </c>
      <c r="L19" s="6"/>
      <c r="V19" s="9"/>
    </row>
    <row r="20" spans="1:22">
      <c r="A20" s="1" t="s">
        <v>34</v>
      </c>
      <c r="B20" s="6">
        <v>-32663.520830581478</v>
      </c>
      <c r="C20" s="1">
        <v>0</v>
      </c>
      <c r="D20" s="1">
        <v>-12116.117768509117</v>
      </c>
      <c r="E20" s="1">
        <v>0</v>
      </c>
      <c r="F20" s="1">
        <v>0</v>
      </c>
      <c r="G20" s="9">
        <f>SUM(IN_FINANCIAL)</f>
        <v>-44779.638599090598</v>
      </c>
      <c r="I20" s="13" t="s">
        <v>35</v>
      </c>
      <c r="J20" s="16">
        <v>366100.43</v>
      </c>
      <c r="L20" s="6"/>
      <c r="V20" s="9"/>
    </row>
    <row r="21" spans="1:22">
      <c r="A21" s="1" t="s">
        <v>36</v>
      </c>
      <c r="B21" s="6">
        <v>-9592.5364593710619</v>
      </c>
      <c r="C21" s="1">
        <v>0</v>
      </c>
      <c r="D21" s="1">
        <v>8402.1703316747517</v>
      </c>
      <c r="E21" s="1">
        <v>0</v>
      </c>
      <c r="F21" s="1">
        <v>0</v>
      </c>
      <c r="G21" s="9">
        <f>SUM(IA_FINANCIAL)</f>
        <v>-1190.3661276963103</v>
      </c>
      <c r="I21" s="13" t="s">
        <v>37</v>
      </c>
      <c r="J21" s="16"/>
      <c r="L21" s="6"/>
      <c r="V21" s="9"/>
    </row>
    <row r="22" spans="1:22">
      <c r="A22" s="1" t="s">
        <v>38</v>
      </c>
      <c r="B22" s="6">
        <v>-14738</v>
      </c>
      <c r="C22" s="1">
        <v>0</v>
      </c>
      <c r="D22" s="1">
        <v>29955</v>
      </c>
      <c r="E22" s="1">
        <v>0</v>
      </c>
      <c r="F22" s="1">
        <v>0</v>
      </c>
      <c r="G22" s="9">
        <f>SUM(KS_FINANCIAL)</f>
        <v>15217</v>
      </c>
      <c r="I22" s="13" t="s">
        <v>39</v>
      </c>
      <c r="J22" s="16">
        <v>0</v>
      </c>
      <c r="L22" s="6"/>
      <c r="V22" s="9"/>
    </row>
    <row r="23" spans="1:22">
      <c r="A23" s="1" t="s">
        <v>40</v>
      </c>
      <c r="B23" s="6">
        <v>-19708.8</v>
      </c>
      <c r="C23" s="1">
        <v>0</v>
      </c>
      <c r="D23" s="1">
        <v>64786.641418844883</v>
      </c>
      <c r="E23" s="1">
        <v>0</v>
      </c>
      <c r="F23" s="1">
        <v>0</v>
      </c>
      <c r="G23" s="9">
        <f>SUM(KY_FINANCIAL)</f>
        <v>45077.841418844881</v>
      </c>
      <c r="I23" s="13" t="s">
        <v>41</v>
      </c>
      <c r="J23" s="16"/>
      <c r="L23" s="6"/>
      <c r="V23" s="9"/>
    </row>
    <row r="24" spans="1:22">
      <c r="A24" s="1" t="s">
        <v>42</v>
      </c>
      <c r="B24" s="6">
        <v>-273577</v>
      </c>
      <c r="C24" s="1">
        <v>0</v>
      </c>
      <c r="D24" s="1">
        <v>-159427.37</v>
      </c>
      <c r="E24" s="1">
        <v>0</v>
      </c>
      <c r="F24" s="1">
        <v>0</v>
      </c>
      <c r="G24" s="9">
        <f>SUM(LA_FINANCIAL)</f>
        <v>-433004.37</v>
      </c>
      <c r="I24" s="13" t="s">
        <v>43</v>
      </c>
      <c r="J24" s="16">
        <v>3419594.0000000014</v>
      </c>
      <c r="L24" s="6"/>
      <c r="V24" s="9"/>
    </row>
    <row r="25" spans="1:22">
      <c r="A25" s="1" t="s">
        <v>44</v>
      </c>
      <c r="B25" s="6">
        <v>1022.6000000000001</v>
      </c>
      <c r="C25" s="1">
        <v>0</v>
      </c>
      <c r="D25" s="1">
        <v>5914.4</v>
      </c>
      <c r="E25" s="1">
        <v>0</v>
      </c>
      <c r="F25" s="1">
        <v>0</v>
      </c>
      <c r="G25" s="9">
        <f>SUM(ME_FINANCIAL)</f>
        <v>6937</v>
      </c>
      <c r="I25" s="13"/>
      <c r="J25" s="16"/>
      <c r="L25" s="6"/>
      <c r="V25" s="9"/>
    </row>
    <row r="26" spans="1:22">
      <c r="A26" s="1" t="s">
        <v>45</v>
      </c>
      <c r="B26" s="6">
        <v>-5559.6</v>
      </c>
      <c r="C26" s="1">
        <v>0</v>
      </c>
      <c r="D26" s="1">
        <v>45132.6</v>
      </c>
      <c r="E26" s="1">
        <v>0</v>
      </c>
      <c r="F26" s="1">
        <v>0</v>
      </c>
      <c r="G26" s="9">
        <f>SUM(MD_FINANCIAL)</f>
        <v>39573</v>
      </c>
      <c r="I26" s="13" t="s">
        <v>46</v>
      </c>
      <c r="J26" s="16">
        <f>SUM(ADD_FINANCIAL)-SUM(LESS_FINANCIAL)</f>
        <v>1150108.41529366</v>
      </c>
      <c r="L26" s="6"/>
      <c r="V26" s="9"/>
    </row>
    <row r="27" spans="1:22">
      <c r="A27" s="1" t="s">
        <v>47</v>
      </c>
      <c r="B27" s="6">
        <v>-28441.199999999997</v>
      </c>
      <c r="C27" s="1">
        <v>0</v>
      </c>
      <c r="D27" s="1">
        <v>85882.2</v>
      </c>
      <c r="E27" s="1">
        <v>0</v>
      </c>
      <c r="F27" s="1">
        <v>0</v>
      </c>
      <c r="G27" s="9">
        <f>SUM(MA_FINANCIAL)</f>
        <v>57441</v>
      </c>
      <c r="I27" s="13" t="s">
        <v>48</v>
      </c>
      <c r="J27" s="16">
        <f>SUM(ALL_BLOCKS)</f>
        <v>1150108.4152936619</v>
      </c>
      <c r="L27" s="6"/>
      <c r="V27" s="9"/>
    </row>
    <row r="28" spans="1:22">
      <c r="A28" s="1" t="s">
        <v>49</v>
      </c>
      <c r="B28" s="6">
        <v>52134.14488693748</v>
      </c>
      <c r="C28" s="1">
        <v>0</v>
      </c>
      <c r="D28" s="1">
        <v>-25417.200000000001</v>
      </c>
      <c r="E28" s="1">
        <v>0</v>
      </c>
      <c r="F28" s="1">
        <v>0</v>
      </c>
      <c r="G28" s="9">
        <f>SUM(MI_FINANCIAL)</f>
        <v>26716.944886937479</v>
      </c>
      <c r="I28" s="14"/>
      <c r="J28" s="17"/>
      <c r="L28" s="6"/>
      <c r="V28" s="9"/>
    </row>
    <row r="29" spans="1:22">
      <c r="A29" s="1" t="s">
        <v>50</v>
      </c>
      <c r="B29" s="6">
        <v>46767.140320113118</v>
      </c>
      <c r="C29" s="1">
        <v>0</v>
      </c>
      <c r="D29" s="1">
        <v>-9381.2000000000007</v>
      </c>
      <c r="E29" s="1">
        <v>0</v>
      </c>
      <c r="F29" s="1">
        <v>0</v>
      </c>
      <c r="G29" s="9">
        <f>SUM(MN_FINANCIAL)</f>
        <v>37385.940320113121</v>
      </c>
      <c r="L29" s="6"/>
      <c r="V29" s="9"/>
    </row>
    <row r="30" spans="1:22">
      <c r="A30" s="1" t="s">
        <v>51</v>
      </c>
      <c r="B30" s="6">
        <v>-790.39999999999964</v>
      </c>
      <c r="C30" s="1">
        <v>0</v>
      </c>
      <c r="D30" s="1">
        <v>6784.35</v>
      </c>
      <c r="E30" s="1">
        <v>0</v>
      </c>
      <c r="F30" s="1">
        <v>0</v>
      </c>
      <c r="G30" s="9">
        <f>SUM(MS_FINANCIAL)</f>
        <v>5993.9500000000007</v>
      </c>
      <c r="L30" s="6"/>
      <c r="V30" s="9"/>
    </row>
    <row r="31" spans="1:22">
      <c r="A31" s="1" t="s">
        <v>52</v>
      </c>
      <c r="B31" s="6">
        <v>-20722.2</v>
      </c>
      <c r="C31" s="1">
        <v>0</v>
      </c>
      <c r="D31" s="1">
        <v>63184.127604015637</v>
      </c>
      <c r="E31" s="1">
        <v>0</v>
      </c>
      <c r="F31" s="1">
        <v>0</v>
      </c>
      <c r="G31" s="9">
        <f>SUM(MO_FINANCIAL)</f>
        <v>42461.92760401564</v>
      </c>
      <c r="L31" s="6"/>
      <c r="V31" s="9"/>
    </row>
    <row r="32" spans="1:22">
      <c r="A32" s="1" t="s">
        <v>53</v>
      </c>
      <c r="B32" s="6">
        <v>-1033</v>
      </c>
      <c r="C32" s="1">
        <v>0</v>
      </c>
      <c r="D32" s="1">
        <v>9946</v>
      </c>
      <c r="E32" s="1">
        <v>0</v>
      </c>
      <c r="F32" s="1">
        <v>0</v>
      </c>
      <c r="G32" s="9">
        <f>SUM(MT_FINANCIAL)</f>
        <v>8913</v>
      </c>
      <c r="L32" s="6"/>
      <c r="V32" s="9"/>
    </row>
    <row r="33" spans="1:22">
      <c r="A33" s="1" t="s">
        <v>54</v>
      </c>
      <c r="B33" s="6">
        <v>34002.344088067337</v>
      </c>
      <c r="C33" s="1">
        <v>0</v>
      </c>
      <c r="D33" s="1">
        <v>-21372.400000000001</v>
      </c>
      <c r="E33" s="1">
        <v>0</v>
      </c>
      <c r="F33" s="1">
        <v>0</v>
      </c>
      <c r="G33" s="9">
        <f>SUM(NE_FINANCIAL)</f>
        <v>12629.944088067336</v>
      </c>
      <c r="L33" s="6"/>
      <c r="V33" s="9"/>
    </row>
    <row r="34" spans="1:22">
      <c r="A34" s="1" t="s">
        <v>55</v>
      </c>
      <c r="B34" s="6">
        <v>-83036.399999999994</v>
      </c>
      <c r="C34" s="1">
        <v>0</v>
      </c>
      <c r="D34" s="1">
        <v>-39964.600000000006</v>
      </c>
      <c r="E34" s="1">
        <v>0</v>
      </c>
      <c r="F34" s="1">
        <v>0</v>
      </c>
      <c r="G34" s="9">
        <f>SUM(NV_FINANCIAL)</f>
        <v>-123001</v>
      </c>
      <c r="L34" s="6"/>
      <c r="V34" s="9"/>
    </row>
    <row r="35" spans="1:22">
      <c r="A35" s="1" t="s">
        <v>56</v>
      </c>
      <c r="B35" s="6">
        <v>-158.59999999999991</v>
      </c>
      <c r="C35" s="1">
        <v>0</v>
      </c>
      <c r="D35" s="1">
        <v>14155.6</v>
      </c>
      <c r="E35" s="1">
        <v>0</v>
      </c>
      <c r="F35" s="1">
        <v>0</v>
      </c>
      <c r="G35" s="9">
        <f>SUM(NH_FINANCIAL)</f>
        <v>13997</v>
      </c>
      <c r="L35" s="6"/>
      <c r="V35" s="9"/>
    </row>
    <row r="36" spans="1:22">
      <c r="A36" s="1" t="s">
        <v>57</v>
      </c>
      <c r="B36" s="6">
        <v>-25190</v>
      </c>
      <c r="C36" s="1">
        <v>0</v>
      </c>
      <c r="D36" s="1">
        <v>67735</v>
      </c>
      <c r="E36" s="1">
        <v>0</v>
      </c>
      <c r="F36" s="1">
        <v>0</v>
      </c>
      <c r="G36" s="9">
        <f>SUM(NJ_FINANCIAL)</f>
        <v>42545</v>
      </c>
      <c r="L36" s="6"/>
      <c r="V36" s="9"/>
    </row>
    <row r="37" spans="1:22">
      <c r="A37" s="1" t="s">
        <v>58</v>
      </c>
      <c r="B37" s="6">
        <v>-3303.5999999999995</v>
      </c>
      <c r="C37" s="1">
        <v>0</v>
      </c>
      <c r="D37" s="1">
        <v>16890.599999999999</v>
      </c>
      <c r="E37" s="1">
        <v>0</v>
      </c>
      <c r="F37" s="1">
        <v>0</v>
      </c>
      <c r="G37" s="9">
        <f>SUM(NM_FINANCIAL)</f>
        <v>13587</v>
      </c>
      <c r="L37" s="6"/>
      <c r="V37" s="9"/>
    </row>
    <row r="38" spans="1:22">
      <c r="A38" s="1" t="s">
        <v>59</v>
      </c>
      <c r="B38" s="6">
        <v>0</v>
      </c>
      <c r="C38" s="1">
        <v>0</v>
      </c>
      <c r="D38" s="1">
        <v>0</v>
      </c>
      <c r="E38" s="1">
        <v>0</v>
      </c>
      <c r="F38" s="1">
        <v>0</v>
      </c>
      <c r="G38" s="9">
        <f>SUM(NY_FINANCIAL)</f>
        <v>0</v>
      </c>
      <c r="L38" s="6"/>
      <c r="V38" s="9"/>
    </row>
    <row r="39" spans="1:22">
      <c r="A39" s="1" t="s">
        <v>60</v>
      </c>
      <c r="B39" s="6">
        <v>23599</v>
      </c>
      <c r="C39" s="1">
        <v>0</v>
      </c>
      <c r="D39" s="1">
        <v>38553</v>
      </c>
      <c r="E39" s="1">
        <v>0</v>
      </c>
      <c r="F39" s="1">
        <v>0</v>
      </c>
      <c r="G39" s="9">
        <f>SUM(NC_FINANCIAL)</f>
        <v>62152</v>
      </c>
      <c r="L39" s="6"/>
      <c r="V39" s="9"/>
    </row>
    <row r="40" spans="1:22">
      <c r="A40" s="1" t="s">
        <v>61</v>
      </c>
      <c r="B40" s="6">
        <v>1251.6000000000004</v>
      </c>
      <c r="C40" s="1">
        <v>0</v>
      </c>
      <c r="D40" s="1">
        <v>18058.400000000001</v>
      </c>
      <c r="E40" s="1">
        <v>0</v>
      </c>
      <c r="F40" s="1">
        <v>0</v>
      </c>
      <c r="G40" s="9">
        <f>SUM(ND_FINANCIAL)</f>
        <v>19310</v>
      </c>
      <c r="L40" s="6"/>
      <c r="V40" s="9"/>
    </row>
    <row r="41" spans="1:22">
      <c r="A41" s="1" t="s">
        <v>62</v>
      </c>
      <c r="B41" s="6">
        <v>87553.499400210058</v>
      </c>
      <c r="C41" s="1">
        <v>0</v>
      </c>
      <c r="D41" s="1">
        <v>-16209.6</v>
      </c>
      <c r="E41" s="1">
        <v>0</v>
      </c>
      <c r="F41" s="1">
        <v>0</v>
      </c>
      <c r="G41" s="9">
        <f>SUM(OH_FINANCIAL)</f>
        <v>71343.899400210052</v>
      </c>
      <c r="L41" s="6"/>
      <c r="V41" s="9"/>
    </row>
    <row r="42" spans="1:22">
      <c r="A42" s="1" t="s">
        <v>63</v>
      </c>
      <c r="B42" s="6">
        <v>-14918.8</v>
      </c>
      <c r="C42" s="1">
        <v>0</v>
      </c>
      <c r="D42" s="1">
        <v>1600.7999999999993</v>
      </c>
      <c r="E42" s="1">
        <v>0</v>
      </c>
      <c r="F42" s="1">
        <v>0</v>
      </c>
      <c r="G42" s="9">
        <f>SUM(OK_FINANCIAL)</f>
        <v>-13318</v>
      </c>
      <c r="L42" s="6"/>
      <c r="V42" s="9"/>
    </row>
    <row r="43" spans="1:22">
      <c r="A43" s="1" t="s">
        <v>64</v>
      </c>
      <c r="B43" s="6">
        <v>-6943.8</v>
      </c>
      <c r="C43" s="1">
        <v>0</v>
      </c>
      <c r="D43" s="1">
        <v>15022.783329445527</v>
      </c>
      <c r="E43" s="1">
        <v>0</v>
      </c>
      <c r="F43" s="1">
        <v>0</v>
      </c>
      <c r="G43" s="9">
        <f>SUM(OR_FINANCIAL)</f>
        <v>8078.9833294455266</v>
      </c>
      <c r="L43" s="6"/>
      <c r="V43" s="9"/>
    </row>
    <row r="44" spans="1:22">
      <c r="A44" s="1" t="s">
        <v>65</v>
      </c>
      <c r="B44" s="6">
        <v>-24599.4</v>
      </c>
      <c r="C44" s="1">
        <v>0</v>
      </c>
      <c r="D44" s="1">
        <v>177802.4</v>
      </c>
      <c r="E44" s="1">
        <v>0</v>
      </c>
      <c r="F44" s="1">
        <v>0</v>
      </c>
      <c r="G44" s="9">
        <f>SUM(PA_FINANCIAL)</f>
        <v>153203</v>
      </c>
      <c r="L44" s="6"/>
      <c r="V44" s="9"/>
    </row>
    <row r="45" spans="1:22">
      <c r="A45" s="1" t="s">
        <v>66</v>
      </c>
      <c r="B45" s="6">
        <v>0</v>
      </c>
      <c r="C45" s="1">
        <v>0</v>
      </c>
      <c r="D45" s="1">
        <v>0</v>
      </c>
      <c r="E45" s="1">
        <v>0</v>
      </c>
      <c r="F45" s="1">
        <v>0</v>
      </c>
      <c r="G45" s="9">
        <f>SUM(PR_FINANCIAL)</f>
        <v>0</v>
      </c>
      <c r="L45" s="6"/>
      <c r="V45" s="9"/>
    </row>
    <row r="46" spans="1:22">
      <c r="A46" s="1" t="s">
        <v>67</v>
      </c>
      <c r="B46" s="6">
        <v>-708.8</v>
      </c>
      <c r="C46" s="1">
        <v>0</v>
      </c>
      <c r="D46" s="1">
        <v>5085.8</v>
      </c>
      <c r="E46" s="1">
        <v>0</v>
      </c>
      <c r="F46" s="1">
        <v>0</v>
      </c>
      <c r="G46" s="9">
        <f>SUM(RI_FINANCIAL)</f>
        <v>4377</v>
      </c>
      <c r="L46" s="6"/>
      <c r="V46" s="9"/>
    </row>
    <row r="47" spans="1:22">
      <c r="A47" s="1" t="s">
        <v>68</v>
      </c>
      <c r="B47" s="6">
        <v>-23278.199999999997</v>
      </c>
      <c r="C47" s="1">
        <v>0</v>
      </c>
      <c r="D47" s="1">
        <v>10670.199999999997</v>
      </c>
      <c r="E47" s="1">
        <v>0</v>
      </c>
      <c r="F47" s="1">
        <v>0</v>
      </c>
      <c r="G47" s="9">
        <f>SUM(SC_FINANCIAL)</f>
        <v>-12608</v>
      </c>
      <c r="L47" s="6"/>
      <c r="V47" s="9"/>
    </row>
    <row r="48" spans="1:22">
      <c r="A48" s="1" t="s">
        <v>69</v>
      </c>
      <c r="B48" s="6">
        <v>32232.27459862499</v>
      </c>
      <c r="C48" s="1">
        <v>0</v>
      </c>
      <c r="D48" s="1">
        <v>7958.1792686919998</v>
      </c>
      <c r="E48" s="1">
        <v>0</v>
      </c>
      <c r="F48" s="1">
        <v>0</v>
      </c>
      <c r="G48" s="9">
        <f>SUM(SD_FINANCIAL)</f>
        <v>40190.453867316988</v>
      </c>
      <c r="L48" s="6"/>
      <c r="V48" s="9"/>
    </row>
    <row r="49" spans="1:22">
      <c r="A49" s="1" t="s">
        <v>70</v>
      </c>
      <c r="B49" s="6">
        <v>56714.107075530825</v>
      </c>
      <c r="C49" s="1">
        <v>0</v>
      </c>
      <c r="D49" s="1">
        <v>-6926.8657328218433</v>
      </c>
      <c r="E49" s="1">
        <v>0</v>
      </c>
      <c r="F49" s="1">
        <v>0</v>
      </c>
      <c r="G49" s="9">
        <f>SUM(TN_FINANCIAL)</f>
        <v>49787.241342708978</v>
      </c>
      <c r="L49" s="6"/>
      <c r="V49" s="9"/>
    </row>
    <row r="50" spans="1:22">
      <c r="A50" s="1" t="s">
        <v>71</v>
      </c>
      <c r="B50" s="6">
        <v>-55843.1111521528</v>
      </c>
      <c r="C50" s="1">
        <v>0</v>
      </c>
      <c r="D50" s="1">
        <v>269494.89303163585</v>
      </c>
      <c r="E50" s="1">
        <v>0</v>
      </c>
      <c r="F50" s="1">
        <v>0</v>
      </c>
      <c r="G50" s="9">
        <f>SUM(TX_FINANCIAL)</f>
        <v>213651.78187948305</v>
      </c>
      <c r="L50" s="6"/>
      <c r="V50" s="9"/>
    </row>
    <row r="51" spans="1:22">
      <c r="A51" s="1" t="s">
        <v>72</v>
      </c>
      <c r="B51" s="6">
        <v>87.600000000000023</v>
      </c>
      <c r="C51" s="1">
        <v>0</v>
      </c>
      <c r="D51" s="1">
        <v>2937.4</v>
      </c>
      <c r="E51" s="1">
        <v>0</v>
      </c>
      <c r="F51" s="1">
        <v>0</v>
      </c>
      <c r="G51" s="9">
        <f>SUM(UT_FINANCIAL)</f>
        <v>3025</v>
      </c>
      <c r="L51" s="6"/>
      <c r="V51" s="9"/>
    </row>
    <row r="52" spans="1:22">
      <c r="A52" s="1" t="s">
        <v>73</v>
      </c>
      <c r="B52" s="6">
        <v>5.5999999999999091</v>
      </c>
      <c r="C52" s="1">
        <v>0</v>
      </c>
      <c r="D52" s="1">
        <v>9470.4</v>
      </c>
      <c r="E52" s="1">
        <v>0</v>
      </c>
      <c r="F52" s="1">
        <v>0</v>
      </c>
      <c r="G52" s="9">
        <f>SUM(VT_FINANCIAL)</f>
        <v>9476</v>
      </c>
      <c r="L52" s="6"/>
      <c r="V52" s="9"/>
    </row>
    <row r="53" spans="1:22">
      <c r="A53" s="1" t="s">
        <v>74</v>
      </c>
      <c r="B53" s="6">
        <v>19108</v>
      </c>
      <c r="C53" s="1">
        <v>0</v>
      </c>
      <c r="D53" s="1">
        <v>107394</v>
      </c>
      <c r="E53" s="1">
        <v>0</v>
      </c>
      <c r="F53" s="1">
        <v>0</v>
      </c>
      <c r="G53" s="9">
        <f>SUM(VA_FINANCIAL)</f>
        <v>126502</v>
      </c>
      <c r="L53" s="6"/>
      <c r="V53" s="9"/>
    </row>
    <row r="54" spans="1:22">
      <c r="A54" s="1" t="s">
        <v>75</v>
      </c>
      <c r="B54" s="6">
        <v>-28034.199999999997</v>
      </c>
      <c r="C54" s="1">
        <v>0</v>
      </c>
      <c r="D54" s="1">
        <v>160752.20000000001</v>
      </c>
      <c r="E54" s="1">
        <v>0</v>
      </c>
      <c r="F54" s="1">
        <v>0</v>
      </c>
      <c r="G54" s="9">
        <f>SUM(WA_FINANCIAL)</f>
        <v>132718</v>
      </c>
      <c r="L54" s="6"/>
      <c r="V54" s="9"/>
    </row>
    <row r="55" spans="1:22">
      <c r="A55" s="1" t="s">
        <v>76</v>
      </c>
      <c r="B55" s="6">
        <v>10902.6</v>
      </c>
      <c r="C55" s="1">
        <v>0</v>
      </c>
      <c r="D55" s="1">
        <v>2375.4</v>
      </c>
      <c r="E55" s="1">
        <v>0</v>
      </c>
      <c r="F55" s="1">
        <v>0</v>
      </c>
      <c r="G55" s="9">
        <f>SUM(WV_FINANCIAL)</f>
        <v>13278</v>
      </c>
      <c r="L55" s="6"/>
      <c r="V55" s="9"/>
    </row>
    <row r="56" spans="1:22">
      <c r="A56" s="1" t="s">
        <v>77</v>
      </c>
      <c r="B56" s="6">
        <v>-106830</v>
      </c>
      <c r="C56" s="1">
        <v>0</v>
      </c>
      <c r="D56" s="1">
        <v>45859</v>
      </c>
      <c r="E56" s="1">
        <v>0</v>
      </c>
      <c r="F56" s="1">
        <v>0</v>
      </c>
      <c r="G56" s="9">
        <f>SUM(WI_FINANCIAL)</f>
        <v>-60971</v>
      </c>
      <c r="L56" s="6"/>
      <c r="V56" s="9"/>
    </row>
    <row r="57" spans="1:22">
      <c r="A57" s="1" t="s">
        <v>78</v>
      </c>
      <c r="B57" s="6">
        <v>-194.79999999999995</v>
      </c>
      <c r="C57" s="1">
        <v>0</v>
      </c>
      <c r="D57" s="1">
        <v>410.79999999999995</v>
      </c>
      <c r="E57" s="1">
        <v>0</v>
      </c>
      <c r="F57" s="1">
        <v>0</v>
      </c>
      <c r="G57" s="9">
        <f>SUM(WY_FINANCIAL)</f>
        <v>216</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-527304.25509902288</v>
      </c>
      <c r="C60" s="1">
        <f>SUM(ALLOCATED)</f>
        <v>0</v>
      </c>
      <c r="D60" s="1">
        <f>SUM(HEALTH)</f>
        <v>1677412.6703926844</v>
      </c>
      <c r="E60" s="1">
        <f>SUM(UNALLOCATED)</f>
        <v>0</v>
      </c>
      <c r="F60" s="1">
        <f>SUM(LTC)</f>
        <v>0</v>
      </c>
      <c r="G60" s="9">
        <f>SUM(ALL_BLOCKS)</f>
        <v>1150108.4152936619</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173</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557191</v>
      </c>
      <c r="E6" s="1">
        <v>0</v>
      </c>
      <c r="F6" s="1">
        <v>0</v>
      </c>
      <c r="G6" s="9">
        <f>SUM(AL_FINANCIAL)</f>
        <v>557191</v>
      </c>
      <c r="L6" s="6">
        <v>0</v>
      </c>
      <c r="M6" s="1">
        <v>0</v>
      </c>
      <c r="O6" s="1">
        <v>0</v>
      </c>
      <c r="P6" s="1">
        <v>0</v>
      </c>
      <c r="R6" s="1">
        <v>555000</v>
      </c>
      <c r="S6" s="1">
        <v>0</v>
      </c>
      <c r="U6" s="1">
        <v>0</v>
      </c>
      <c r="V6" s="9">
        <v>0</v>
      </c>
    </row>
    <row r="7" spans="1:22">
      <c r="A7" s="1" t="s">
        <v>12</v>
      </c>
      <c r="B7" s="6">
        <v>0</v>
      </c>
      <c r="C7" s="1">
        <v>0</v>
      </c>
      <c r="D7" s="1">
        <v>0</v>
      </c>
      <c r="E7" s="1">
        <v>0</v>
      </c>
      <c r="F7" s="1">
        <v>0</v>
      </c>
      <c r="G7" s="9">
        <f>SUM(AK_FINANCIAL)</f>
        <v>0</v>
      </c>
      <c r="I7" s="12"/>
      <c r="J7" s="15"/>
      <c r="L7" s="6"/>
      <c r="V7" s="9"/>
    </row>
    <row r="8" spans="1:22">
      <c r="A8" s="1" t="s">
        <v>13</v>
      </c>
      <c r="B8" s="6">
        <v>0</v>
      </c>
      <c r="C8" s="1">
        <v>0</v>
      </c>
      <c r="D8" s="1">
        <v>193164</v>
      </c>
      <c r="E8" s="1">
        <v>0</v>
      </c>
      <c r="F8" s="1">
        <v>0</v>
      </c>
      <c r="G8" s="9">
        <f>SUM(AZ_FINANCIAL)</f>
        <v>193164</v>
      </c>
      <c r="I8" s="13" t="s">
        <v>14</v>
      </c>
      <c r="J8" s="16"/>
      <c r="L8" s="6">
        <v>0</v>
      </c>
      <c r="M8" s="1">
        <v>0</v>
      </c>
      <c r="O8" s="1">
        <v>0</v>
      </c>
      <c r="P8" s="1">
        <v>0</v>
      </c>
      <c r="R8" s="1">
        <v>90283</v>
      </c>
      <c r="S8" s="1">
        <v>0</v>
      </c>
      <c r="U8" s="1">
        <v>0</v>
      </c>
      <c r="V8" s="9">
        <v>0</v>
      </c>
    </row>
    <row r="9" spans="1:22">
      <c r="A9" s="1" t="s">
        <v>15</v>
      </c>
      <c r="B9" s="6">
        <v>0</v>
      </c>
      <c r="C9" s="1">
        <v>0</v>
      </c>
      <c r="D9" s="1">
        <v>87320</v>
      </c>
      <c r="E9" s="1">
        <v>0</v>
      </c>
      <c r="F9" s="1">
        <v>0</v>
      </c>
      <c r="G9" s="9">
        <f>SUM(AR_FINANCIAL)</f>
        <v>87320</v>
      </c>
      <c r="I9" s="13"/>
      <c r="J9" s="16"/>
      <c r="L9" s="6"/>
      <c r="V9" s="9"/>
    </row>
    <row r="10" spans="1:22">
      <c r="A10" s="1" t="s">
        <v>16</v>
      </c>
      <c r="B10" s="6">
        <v>0</v>
      </c>
      <c r="C10" s="1">
        <v>0</v>
      </c>
      <c r="D10" s="1">
        <v>164443</v>
      </c>
      <c r="E10" s="1">
        <v>0</v>
      </c>
      <c r="F10" s="1">
        <v>0</v>
      </c>
      <c r="G10" s="9">
        <f>SUM(CA_FINANCIAL)</f>
        <v>164443</v>
      </c>
      <c r="I10" s="13" t="s">
        <v>17</v>
      </c>
      <c r="J10" s="16">
        <v>8039193</v>
      </c>
      <c r="L10" s="6"/>
      <c r="V10" s="9"/>
    </row>
    <row r="11" spans="1:22">
      <c r="A11" s="1" t="s">
        <v>18</v>
      </c>
      <c r="B11" s="6">
        <v>0</v>
      </c>
      <c r="C11" s="1">
        <v>0</v>
      </c>
      <c r="D11" s="1">
        <v>55203</v>
      </c>
      <c r="E11" s="1">
        <v>0</v>
      </c>
      <c r="F11" s="1">
        <v>0</v>
      </c>
      <c r="G11" s="9">
        <f>SUM(CO_FINANCIAL)</f>
        <v>55203</v>
      </c>
      <c r="I11" s="13"/>
      <c r="J11" s="16"/>
      <c r="L11" s="6">
        <v>0</v>
      </c>
      <c r="M11" s="1">
        <v>0</v>
      </c>
      <c r="O11" s="1">
        <v>0</v>
      </c>
      <c r="P11" s="1">
        <v>0</v>
      </c>
      <c r="R11" s="1">
        <v>10000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264</v>
      </c>
      <c r="E13" s="1">
        <v>0</v>
      </c>
      <c r="F13" s="1">
        <v>0</v>
      </c>
      <c r="G13" s="9">
        <f>SUM(DE_FINANCIAL)</f>
        <v>264</v>
      </c>
      <c r="I13" s="13" t="s">
        <v>22</v>
      </c>
      <c r="J13" s="16">
        <v>8039193</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13820</v>
      </c>
      <c r="E15" s="1">
        <v>0</v>
      </c>
      <c r="F15" s="1">
        <v>0</v>
      </c>
      <c r="G15" s="9">
        <f>SUM(FL_FINANCIAL)</f>
        <v>13820</v>
      </c>
      <c r="I15" s="13" t="s">
        <v>26</v>
      </c>
      <c r="J15" s="16">
        <v>67801</v>
      </c>
      <c r="L15" s="6"/>
      <c r="V15" s="9"/>
    </row>
    <row r="16" spans="1:22">
      <c r="A16" s="1" t="s">
        <v>27</v>
      </c>
      <c r="B16" s="6">
        <v>0</v>
      </c>
      <c r="C16" s="1">
        <v>0</v>
      </c>
      <c r="D16" s="1">
        <v>2711387</v>
      </c>
      <c r="E16" s="1">
        <v>0</v>
      </c>
      <c r="F16" s="1">
        <v>0</v>
      </c>
      <c r="G16" s="9">
        <f>SUM(GA_FINANCIAL)</f>
        <v>2711387</v>
      </c>
      <c r="I16" s="13" t="s">
        <v>28</v>
      </c>
      <c r="J16" s="16">
        <v>0</v>
      </c>
      <c r="L16" s="6">
        <v>0</v>
      </c>
      <c r="M16" s="1">
        <v>0</v>
      </c>
      <c r="O16" s="1">
        <v>0</v>
      </c>
      <c r="P16" s="1">
        <v>0</v>
      </c>
      <c r="R16" s="1">
        <v>3083986</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21960</v>
      </c>
      <c r="E18" s="1">
        <v>0</v>
      </c>
      <c r="F18" s="1">
        <v>0</v>
      </c>
      <c r="G18" s="9">
        <f>SUM(ID_FINANCIAL)</f>
        <v>21960</v>
      </c>
      <c r="I18" s="13" t="s">
        <v>31</v>
      </c>
      <c r="J18" s="16"/>
      <c r="L18" s="6">
        <v>13000</v>
      </c>
      <c r="M18" s="1">
        <v>12848</v>
      </c>
      <c r="O18" s="1">
        <v>0</v>
      </c>
      <c r="P18" s="1">
        <v>0</v>
      </c>
      <c r="R18" s="1">
        <v>12000</v>
      </c>
      <c r="S18" s="1">
        <v>0</v>
      </c>
      <c r="U18" s="1">
        <v>0</v>
      </c>
      <c r="V18" s="9">
        <v>0</v>
      </c>
    </row>
    <row r="19" spans="1:22">
      <c r="A19" s="1" t="s">
        <v>32</v>
      </c>
      <c r="B19" s="6">
        <v>0</v>
      </c>
      <c r="C19" s="1">
        <v>0</v>
      </c>
      <c r="D19" s="1">
        <v>122013</v>
      </c>
      <c r="E19" s="1">
        <v>0</v>
      </c>
      <c r="F19" s="1">
        <v>0</v>
      </c>
      <c r="G19" s="9">
        <f>SUM(IL_FINANCIAL)</f>
        <v>122013</v>
      </c>
      <c r="I19" s="13" t="s">
        <v>33</v>
      </c>
      <c r="J19" s="16">
        <v>0</v>
      </c>
      <c r="L19" s="6">
        <v>0</v>
      </c>
      <c r="M19" s="1">
        <v>0</v>
      </c>
      <c r="O19" s="1">
        <v>0</v>
      </c>
      <c r="P19" s="1">
        <v>0</v>
      </c>
      <c r="R19" s="1">
        <v>145000</v>
      </c>
      <c r="S19" s="1">
        <v>20700</v>
      </c>
      <c r="U19" s="1">
        <v>0</v>
      </c>
      <c r="V19" s="9">
        <v>0</v>
      </c>
    </row>
    <row r="20" spans="1:22">
      <c r="A20" s="1" t="s">
        <v>34</v>
      </c>
      <c r="B20" s="6">
        <v>0</v>
      </c>
      <c r="C20" s="1">
        <v>0</v>
      </c>
      <c r="D20" s="1">
        <v>27047</v>
      </c>
      <c r="E20" s="1">
        <v>0</v>
      </c>
      <c r="F20" s="1">
        <v>0</v>
      </c>
      <c r="G20" s="9">
        <f>SUM(IN_FINANCIAL)</f>
        <v>27047</v>
      </c>
      <c r="I20" s="13" t="s">
        <v>35</v>
      </c>
      <c r="J20" s="16">
        <v>8039193</v>
      </c>
      <c r="L20" s="6">
        <v>0</v>
      </c>
      <c r="M20" s="1">
        <v>0</v>
      </c>
      <c r="O20" s="1">
        <v>0</v>
      </c>
      <c r="P20" s="1">
        <v>0</v>
      </c>
      <c r="R20" s="1">
        <v>240011</v>
      </c>
      <c r="S20" s="1">
        <v>0</v>
      </c>
      <c r="U20" s="1">
        <v>0</v>
      </c>
      <c r="V20" s="9">
        <v>0</v>
      </c>
    </row>
    <row r="21" spans="1:22">
      <c r="A21" s="1" t="s">
        <v>36</v>
      </c>
      <c r="B21" s="6">
        <v>0</v>
      </c>
      <c r="C21" s="1">
        <v>0</v>
      </c>
      <c r="D21" s="1">
        <v>25481</v>
      </c>
      <c r="E21" s="1">
        <v>0</v>
      </c>
      <c r="F21" s="1">
        <v>0</v>
      </c>
      <c r="G21" s="9">
        <f>SUM(IA_FINANCIAL)</f>
        <v>25481</v>
      </c>
      <c r="I21" s="13" t="s">
        <v>37</v>
      </c>
      <c r="J21" s="16"/>
      <c r="L21" s="6">
        <v>0</v>
      </c>
      <c r="M21" s="1">
        <v>0</v>
      </c>
      <c r="O21" s="1">
        <v>0</v>
      </c>
      <c r="P21" s="1">
        <v>0</v>
      </c>
      <c r="R21" s="1">
        <v>43800</v>
      </c>
      <c r="S21" s="1">
        <v>0</v>
      </c>
      <c r="U21" s="1">
        <v>0</v>
      </c>
      <c r="V21" s="9">
        <v>0</v>
      </c>
    </row>
    <row r="22" spans="1:22">
      <c r="A22" s="1" t="s">
        <v>38</v>
      </c>
      <c r="B22" s="6">
        <v>0</v>
      </c>
      <c r="C22" s="1">
        <v>0</v>
      </c>
      <c r="D22" s="1">
        <v>14496</v>
      </c>
      <c r="E22" s="1">
        <v>0</v>
      </c>
      <c r="F22" s="1">
        <v>0</v>
      </c>
      <c r="G22" s="9">
        <f>SUM(KS_FINANCIAL)</f>
        <v>14496</v>
      </c>
      <c r="I22" s="13" t="s">
        <v>39</v>
      </c>
      <c r="J22" s="16">
        <v>0</v>
      </c>
      <c r="L22" s="6"/>
      <c r="V22" s="9"/>
    </row>
    <row r="23" spans="1:22">
      <c r="A23" s="1" t="s">
        <v>40</v>
      </c>
      <c r="B23" s="6">
        <v>0</v>
      </c>
      <c r="C23" s="1">
        <v>0</v>
      </c>
      <c r="D23" s="1">
        <v>463038</v>
      </c>
      <c r="E23" s="1">
        <v>0</v>
      </c>
      <c r="F23" s="1">
        <v>0</v>
      </c>
      <c r="G23" s="9">
        <f>SUM(KY_FINANCIAL)</f>
        <v>463038</v>
      </c>
      <c r="I23" s="13" t="s">
        <v>41</v>
      </c>
      <c r="J23" s="16"/>
      <c r="L23" s="6">
        <v>15900</v>
      </c>
      <c r="M23" s="1">
        <v>10160.379999999999</v>
      </c>
      <c r="O23" s="1">
        <v>514100</v>
      </c>
      <c r="P23" s="1">
        <v>0</v>
      </c>
      <c r="R23" s="1">
        <v>0</v>
      </c>
      <c r="S23" s="1">
        <v>240218.01</v>
      </c>
      <c r="U23" s="1">
        <v>0</v>
      </c>
      <c r="V23" s="9">
        <v>0</v>
      </c>
    </row>
    <row r="24" spans="1:22">
      <c r="A24" s="1" t="s">
        <v>42</v>
      </c>
      <c r="B24" s="6">
        <v>0</v>
      </c>
      <c r="C24" s="1">
        <v>0</v>
      </c>
      <c r="D24" s="1">
        <v>70448</v>
      </c>
      <c r="E24" s="1">
        <v>0</v>
      </c>
      <c r="F24" s="1">
        <v>0</v>
      </c>
      <c r="G24" s="9">
        <f>SUM(LA_FINANCIAL)</f>
        <v>70448</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6769</v>
      </c>
      <c r="E26" s="1">
        <v>0</v>
      </c>
      <c r="F26" s="1">
        <v>0</v>
      </c>
      <c r="G26" s="9">
        <f>SUM(MD_FINANCIAL)</f>
        <v>6769</v>
      </c>
      <c r="I26" s="13" t="s">
        <v>46</v>
      </c>
      <c r="J26" s="16">
        <f>SUM(ADD_FINANCIAL)-SUM(LESS_FINANCIAL)</f>
        <v>8106994</v>
      </c>
      <c r="L26" s="6"/>
      <c r="V26" s="9"/>
    </row>
    <row r="27" spans="1:22">
      <c r="A27" s="1" t="s">
        <v>47</v>
      </c>
      <c r="B27" s="6">
        <v>0</v>
      </c>
      <c r="C27" s="1">
        <v>0</v>
      </c>
      <c r="D27" s="1">
        <v>0</v>
      </c>
      <c r="E27" s="1">
        <v>0</v>
      </c>
      <c r="F27" s="1">
        <v>0</v>
      </c>
      <c r="G27" s="9">
        <f>SUM(MA_FINANCIAL)</f>
        <v>0</v>
      </c>
      <c r="I27" s="13" t="s">
        <v>48</v>
      </c>
      <c r="J27" s="16">
        <f>SUM(ALL_BLOCKS)</f>
        <v>8106994</v>
      </c>
      <c r="L27" s="6"/>
      <c r="V27" s="9"/>
    </row>
    <row r="28" spans="1:22">
      <c r="A28" s="1" t="s">
        <v>49</v>
      </c>
      <c r="B28" s="6">
        <v>0</v>
      </c>
      <c r="C28" s="1">
        <v>0</v>
      </c>
      <c r="D28" s="1">
        <v>111797</v>
      </c>
      <c r="E28" s="1">
        <v>0</v>
      </c>
      <c r="F28" s="1">
        <v>0</v>
      </c>
      <c r="G28" s="9">
        <f>SUM(MI_FINANCIAL)</f>
        <v>111797</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189833</v>
      </c>
      <c r="E30" s="1">
        <v>0</v>
      </c>
      <c r="F30" s="1">
        <v>0</v>
      </c>
      <c r="G30" s="9">
        <f>SUM(MS_FINANCIAL)</f>
        <v>189833</v>
      </c>
      <c r="L30" s="6">
        <v>75235</v>
      </c>
      <c r="M30" s="1">
        <v>14145</v>
      </c>
      <c r="O30" s="1">
        <v>0</v>
      </c>
      <c r="P30" s="1">
        <v>0</v>
      </c>
      <c r="R30" s="1">
        <v>154765</v>
      </c>
      <c r="S30" s="1">
        <v>28210</v>
      </c>
      <c r="U30" s="1">
        <v>0</v>
      </c>
      <c r="V30" s="9">
        <v>0</v>
      </c>
    </row>
    <row r="31" spans="1:22">
      <c r="A31" s="1" t="s">
        <v>52</v>
      </c>
      <c r="B31" s="6">
        <v>0</v>
      </c>
      <c r="C31" s="1">
        <v>0</v>
      </c>
      <c r="D31" s="1">
        <v>143266</v>
      </c>
      <c r="E31" s="1">
        <v>0</v>
      </c>
      <c r="F31" s="1">
        <v>0</v>
      </c>
      <c r="G31" s="9">
        <f>SUM(MO_FINANCIAL)</f>
        <v>143266</v>
      </c>
      <c r="L31" s="6"/>
      <c r="V31" s="9"/>
    </row>
    <row r="32" spans="1:22">
      <c r="A32" s="1" t="s">
        <v>53</v>
      </c>
      <c r="B32" s="6">
        <v>0</v>
      </c>
      <c r="C32" s="1">
        <v>0</v>
      </c>
      <c r="D32" s="1">
        <v>15589</v>
      </c>
      <c r="E32" s="1">
        <v>0</v>
      </c>
      <c r="F32" s="1">
        <v>0</v>
      </c>
      <c r="G32" s="9">
        <f>SUM(MT_FINANCIAL)</f>
        <v>15589</v>
      </c>
      <c r="L32" s="6">
        <v>11160</v>
      </c>
      <c r="M32" s="1">
        <v>0</v>
      </c>
      <c r="O32" s="1">
        <v>0</v>
      </c>
      <c r="P32" s="1">
        <v>0</v>
      </c>
      <c r="R32" s="1">
        <v>19840</v>
      </c>
      <c r="S32" s="1">
        <v>0</v>
      </c>
      <c r="U32" s="1">
        <v>0</v>
      </c>
      <c r="V32" s="9">
        <v>0</v>
      </c>
    </row>
    <row r="33" spans="1:22">
      <c r="A33" s="1" t="s">
        <v>54</v>
      </c>
      <c r="B33" s="6">
        <v>0</v>
      </c>
      <c r="C33" s="1">
        <v>0</v>
      </c>
      <c r="D33" s="1">
        <v>47648</v>
      </c>
      <c r="E33" s="1">
        <v>0</v>
      </c>
      <c r="F33" s="1">
        <v>0</v>
      </c>
      <c r="G33" s="9">
        <f>SUM(NE_FINANCIAL)</f>
        <v>47648</v>
      </c>
      <c r="L33" s="6">
        <v>0</v>
      </c>
      <c r="M33" s="1">
        <v>0</v>
      </c>
      <c r="O33" s="1">
        <v>0</v>
      </c>
      <c r="P33" s="1">
        <v>0</v>
      </c>
      <c r="R33" s="1">
        <v>55000</v>
      </c>
      <c r="S33" s="1">
        <v>0</v>
      </c>
      <c r="U33" s="1">
        <v>0</v>
      </c>
      <c r="V33" s="9">
        <v>0</v>
      </c>
    </row>
    <row r="34" spans="1:22">
      <c r="A34" s="1" t="s">
        <v>55</v>
      </c>
      <c r="B34" s="6">
        <v>0</v>
      </c>
      <c r="C34" s="1">
        <v>0</v>
      </c>
      <c r="D34" s="1">
        <v>371517</v>
      </c>
      <c r="E34" s="1">
        <v>0</v>
      </c>
      <c r="F34" s="1">
        <v>0</v>
      </c>
      <c r="G34" s="9">
        <f>SUM(NV_FINANCIAL)</f>
        <v>371517</v>
      </c>
      <c r="L34" s="6">
        <v>0</v>
      </c>
      <c r="M34" s="1">
        <v>0</v>
      </c>
      <c r="O34" s="1">
        <v>0</v>
      </c>
      <c r="P34" s="1">
        <v>0</v>
      </c>
      <c r="R34" s="1">
        <v>419800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4027</v>
      </c>
      <c r="E36" s="1">
        <v>0</v>
      </c>
      <c r="F36" s="1">
        <v>0</v>
      </c>
      <c r="G36" s="9">
        <f>SUM(NJ_FINANCIAL)</f>
        <v>4027</v>
      </c>
      <c r="L36" s="6"/>
      <c r="V36" s="9"/>
    </row>
    <row r="37" spans="1:22">
      <c r="A37" s="1" t="s">
        <v>58</v>
      </c>
      <c r="B37" s="6">
        <v>0</v>
      </c>
      <c r="C37" s="1">
        <v>0</v>
      </c>
      <c r="D37" s="1">
        <v>121733</v>
      </c>
      <c r="E37" s="1">
        <v>0</v>
      </c>
      <c r="F37" s="1">
        <v>0</v>
      </c>
      <c r="G37" s="9">
        <f>SUM(NM_FINANCIAL)</f>
        <v>121733</v>
      </c>
      <c r="L37" s="6"/>
      <c r="V37" s="9"/>
    </row>
    <row r="38" spans="1:22">
      <c r="A38" s="1" t="s">
        <v>59</v>
      </c>
      <c r="B38" s="6">
        <v>0</v>
      </c>
      <c r="C38" s="1">
        <v>0</v>
      </c>
      <c r="D38" s="1">
        <v>1484</v>
      </c>
      <c r="E38" s="1">
        <v>0</v>
      </c>
      <c r="F38" s="1">
        <v>0</v>
      </c>
      <c r="G38" s="9">
        <f>SUM(NY_FINANCIAL)</f>
        <v>1484</v>
      </c>
      <c r="L38" s="6"/>
      <c r="V38" s="9"/>
    </row>
    <row r="39" spans="1:22">
      <c r="A39" s="1" t="s">
        <v>60</v>
      </c>
      <c r="B39" s="6">
        <v>0</v>
      </c>
      <c r="C39" s="1">
        <v>0</v>
      </c>
      <c r="D39" s="1">
        <v>30</v>
      </c>
      <c r="E39" s="1">
        <v>0</v>
      </c>
      <c r="F39" s="1">
        <v>0</v>
      </c>
      <c r="G39" s="9">
        <f>SUM(NC_FINANCIAL)</f>
        <v>30</v>
      </c>
      <c r="L39" s="6"/>
      <c r="V39" s="9"/>
    </row>
    <row r="40" spans="1:22">
      <c r="A40" s="1" t="s">
        <v>61</v>
      </c>
      <c r="B40" s="6">
        <v>0</v>
      </c>
      <c r="C40" s="1">
        <v>0</v>
      </c>
      <c r="D40" s="1">
        <v>5374</v>
      </c>
      <c r="E40" s="1">
        <v>0</v>
      </c>
      <c r="F40" s="1">
        <v>0</v>
      </c>
      <c r="G40" s="9">
        <f>SUM(ND_FINANCIAL)</f>
        <v>5374</v>
      </c>
      <c r="L40" s="6">
        <v>0</v>
      </c>
      <c r="M40" s="1">
        <v>0</v>
      </c>
      <c r="O40" s="1">
        <v>0</v>
      </c>
      <c r="P40" s="1">
        <v>0</v>
      </c>
      <c r="R40" s="1">
        <v>4452</v>
      </c>
      <c r="S40" s="1">
        <v>0</v>
      </c>
      <c r="U40" s="1">
        <v>0</v>
      </c>
      <c r="V40" s="9">
        <v>0</v>
      </c>
    </row>
    <row r="41" spans="1:22">
      <c r="A41" s="1" t="s">
        <v>62</v>
      </c>
      <c r="B41" s="6">
        <v>0</v>
      </c>
      <c r="C41" s="1">
        <v>0</v>
      </c>
      <c r="D41" s="1">
        <v>99535</v>
      </c>
      <c r="E41" s="1">
        <v>0</v>
      </c>
      <c r="F41" s="1">
        <v>0</v>
      </c>
      <c r="G41" s="9">
        <f>SUM(OH_FINANCIAL)</f>
        <v>99535</v>
      </c>
      <c r="L41" s="6">
        <v>0</v>
      </c>
      <c r="M41" s="1">
        <v>0</v>
      </c>
      <c r="O41" s="1">
        <v>0</v>
      </c>
      <c r="P41" s="1">
        <v>0</v>
      </c>
      <c r="R41" s="1">
        <v>65000</v>
      </c>
      <c r="S41" s="1">
        <v>0</v>
      </c>
      <c r="U41" s="1">
        <v>0</v>
      </c>
      <c r="V41" s="9">
        <v>0</v>
      </c>
    </row>
    <row r="42" spans="1:22">
      <c r="A42" s="1" t="s">
        <v>63</v>
      </c>
      <c r="B42" s="6">
        <v>0</v>
      </c>
      <c r="C42" s="1">
        <v>0</v>
      </c>
      <c r="D42" s="1">
        <v>93787</v>
      </c>
      <c r="E42" s="1">
        <v>0</v>
      </c>
      <c r="F42" s="1">
        <v>0</v>
      </c>
      <c r="G42" s="9">
        <f>SUM(OK_FINANCIAL)</f>
        <v>93787</v>
      </c>
      <c r="L42" s="6"/>
      <c r="V42" s="9"/>
    </row>
    <row r="43" spans="1:22">
      <c r="A43" s="1" t="s">
        <v>64</v>
      </c>
      <c r="B43" s="6">
        <v>0</v>
      </c>
      <c r="C43" s="1">
        <v>0</v>
      </c>
      <c r="D43" s="1">
        <v>67597</v>
      </c>
      <c r="E43" s="1">
        <v>0</v>
      </c>
      <c r="F43" s="1">
        <v>0</v>
      </c>
      <c r="G43" s="9">
        <f>SUM(OR_FINANCIAL)</f>
        <v>67597</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7267</v>
      </c>
      <c r="E47" s="1">
        <v>0</v>
      </c>
      <c r="F47" s="1">
        <v>0</v>
      </c>
      <c r="G47" s="9">
        <f>SUM(SC_FINANCIAL)</f>
        <v>7267</v>
      </c>
      <c r="L47" s="6"/>
      <c r="V47" s="9"/>
    </row>
    <row r="48" spans="1:22">
      <c r="A48" s="1" t="s">
        <v>69</v>
      </c>
      <c r="B48" s="6">
        <v>0</v>
      </c>
      <c r="C48" s="1">
        <v>0</v>
      </c>
      <c r="D48" s="1">
        <v>51116</v>
      </c>
      <c r="E48" s="1">
        <v>0</v>
      </c>
      <c r="F48" s="1">
        <v>0</v>
      </c>
      <c r="G48" s="9">
        <f>SUM(SD_FINANCIAL)</f>
        <v>51116</v>
      </c>
      <c r="L48" s="6">
        <v>150</v>
      </c>
      <c r="M48" s="1">
        <v>0</v>
      </c>
      <c r="O48" s="1">
        <v>0</v>
      </c>
      <c r="P48" s="1">
        <v>0</v>
      </c>
      <c r="R48" s="1">
        <v>82731</v>
      </c>
      <c r="S48" s="1">
        <v>0</v>
      </c>
      <c r="U48" s="1">
        <v>0</v>
      </c>
      <c r="V48" s="9">
        <v>0</v>
      </c>
    </row>
    <row r="49" spans="1:22">
      <c r="A49" s="1" t="s">
        <v>70</v>
      </c>
      <c r="B49" s="6">
        <v>0</v>
      </c>
      <c r="C49" s="1">
        <v>0</v>
      </c>
      <c r="D49" s="1">
        <v>67009</v>
      </c>
      <c r="E49" s="1">
        <v>0</v>
      </c>
      <c r="F49" s="1">
        <v>0</v>
      </c>
      <c r="G49" s="9">
        <f>SUM(TN_FINANCIAL)</f>
        <v>67009</v>
      </c>
      <c r="L49" s="6">
        <v>0</v>
      </c>
      <c r="M49" s="1">
        <v>0</v>
      </c>
      <c r="O49" s="1">
        <v>0</v>
      </c>
      <c r="P49" s="1">
        <v>0</v>
      </c>
      <c r="R49" s="1">
        <v>48000</v>
      </c>
      <c r="S49" s="1">
        <v>0</v>
      </c>
      <c r="U49" s="1">
        <v>0</v>
      </c>
      <c r="V49" s="9">
        <v>0</v>
      </c>
    </row>
    <row r="50" spans="1:22">
      <c r="A50" s="1" t="s">
        <v>71</v>
      </c>
      <c r="B50" s="6">
        <v>0</v>
      </c>
      <c r="C50" s="1">
        <v>0</v>
      </c>
      <c r="D50" s="1">
        <v>1832245</v>
      </c>
      <c r="E50" s="1">
        <v>0</v>
      </c>
      <c r="F50" s="1">
        <v>0</v>
      </c>
      <c r="G50" s="9">
        <f>SUM(TX_FINANCIAL)</f>
        <v>1832245</v>
      </c>
      <c r="L50" s="6">
        <v>17071</v>
      </c>
      <c r="M50" s="1">
        <v>11023.714</v>
      </c>
      <c r="O50" s="1">
        <v>0</v>
      </c>
      <c r="P50" s="1">
        <v>0</v>
      </c>
      <c r="R50" s="1">
        <v>1292203</v>
      </c>
      <c r="S50" s="1">
        <v>836954.28599999996</v>
      </c>
      <c r="U50" s="1">
        <v>0</v>
      </c>
      <c r="V50" s="9">
        <v>0</v>
      </c>
    </row>
    <row r="51" spans="1:22">
      <c r="A51" s="1" t="s">
        <v>72</v>
      </c>
      <c r="B51" s="6">
        <v>0</v>
      </c>
      <c r="C51" s="1">
        <v>0</v>
      </c>
      <c r="D51" s="1">
        <v>32888</v>
      </c>
      <c r="E51" s="1">
        <v>0</v>
      </c>
      <c r="F51" s="1">
        <v>0</v>
      </c>
      <c r="G51" s="9">
        <f>SUM(UT_FINANCIAL)</f>
        <v>32888</v>
      </c>
      <c r="L51" s="6">
        <v>2000</v>
      </c>
      <c r="M51" s="1">
        <v>0</v>
      </c>
      <c r="O51" s="1">
        <v>0</v>
      </c>
      <c r="P51" s="1">
        <v>0</v>
      </c>
      <c r="R51" s="1">
        <v>320000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0</v>
      </c>
      <c r="D53" s="1">
        <v>27892</v>
      </c>
      <c r="E53" s="1">
        <v>0</v>
      </c>
      <c r="F53" s="1">
        <v>0</v>
      </c>
      <c r="G53" s="9">
        <f>SUM(VA_FINANCIAL)</f>
        <v>27892</v>
      </c>
      <c r="L53" s="6">
        <v>0</v>
      </c>
      <c r="M53" s="1">
        <v>0</v>
      </c>
      <c r="O53" s="1">
        <v>0</v>
      </c>
      <c r="P53" s="1">
        <v>0</v>
      </c>
      <c r="R53" s="1">
        <v>30000</v>
      </c>
      <c r="S53" s="1">
        <v>42431</v>
      </c>
      <c r="U53" s="1">
        <v>0</v>
      </c>
      <c r="V53" s="9">
        <v>0</v>
      </c>
    </row>
    <row r="54" spans="1:22">
      <c r="A54" s="1" t="s">
        <v>75</v>
      </c>
      <c r="B54" s="6">
        <v>0</v>
      </c>
      <c r="C54" s="1">
        <v>0</v>
      </c>
      <c r="D54" s="1">
        <v>167735</v>
      </c>
      <c r="E54" s="1">
        <v>0</v>
      </c>
      <c r="F54" s="1">
        <v>0</v>
      </c>
      <c r="G54" s="9">
        <f>SUM(WA_FINANCIAL)</f>
        <v>167735</v>
      </c>
      <c r="L54" s="6">
        <v>0</v>
      </c>
      <c r="M54" s="1">
        <v>0</v>
      </c>
      <c r="O54" s="1">
        <v>0</v>
      </c>
      <c r="P54" s="1">
        <v>0</v>
      </c>
      <c r="R54" s="1">
        <v>200000</v>
      </c>
      <c r="S54" s="1">
        <v>85160</v>
      </c>
      <c r="U54" s="1">
        <v>0</v>
      </c>
      <c r="V54" s="9">
        <v>0</v>
      </c>
    </row>
    <row r="55" spans="1:22">
      <c r="A55" s="1" t="s">
        <v>76</v>
      </c>
      <c r="B55" s="6">
        <v>0</v>
      </c>
      <c r="C55" s="1">
        <v>0</v>
      </c>
      <c r="D55" s="1">
        <v>110539</v>
      </c>
      <c r="E55" s="1">
        <v>0</v>
      </c>
      <c r="F55" s="1">
        <v>0</v>
      </c>
      <c r="G55" s="9">
        <f>SUM(WV_FINANCIAL)</f>
        <v>110539</v>
      </c>
      <c r="L55" s="6">
        <v>2159</v>
      </c>
      <c r="M55" s="1">
        <v>0</v>
      </c>
      <c r="O55" s="1">
        <v>0</v>
      </c>
      <c r="P55" s="1">
        <v>0</v>
      </c>
      <c r="R55" s="1">
        <v>206730</v>
      </c>
      <c r="S55" s="1">
        <v>155286</v>
      </c>
      <c r="U55" s="1">
        <v>0</v>
      </c>
      <c r="V55" s="9">
        <v>0</v>
      </c>
    </row>
    <row r="56" spans="1:22">
      <c r="A56" s="1" t="s">
        <v>77</v>
      </c>
      <c r="B56" s="6">
        <v>0</v>
      </c>
      <c r="C56" s="1">
        <v>0</v>
      </c>
      <c r="D56" s="1">
        <v>2097</v>
      </c>
      <c r="E56" s="1">
        <v>0</v>
      </c>
      <c r="F56" s="1">
        <v>0</v>
      </c>
      <c r="G56" s="9">
        <f>SUM(WI_FINANCIAL)</f>
        <v>2097</v>
      </c>
      <c r="L56" s="6"/>
      <c r="V56" s="9"/>
    </row>
    <row r="57" spans="1:22">
      <c r="A57" s="1" t="s">
        <v>78</v>
      </c>
      <c r="B57" s="6">
        <v>0</v>
      </c>
      <c r="C57" s="1">
        <v>0</v>
      </c>
      <c r="D57" s="1">
        <v>945</v>
      </c>
      <c r="E57" s="1">
        <v>0</v>
      </c>
      <c r="F57" s="1">
        <v>0</v>
      </c>
      <c r="G57" s="9">
        <f>SUM(WY_FINANCIAL)</f>
        <v>945</v>
      </c>
      <c r="L57" s="6">
        <v>170</v>
      </c>
      <c r="M57" s="1">
        <v>0</v>
      </c>
      <c r="O57" s="1">
        <v>0</v>
      </c>
      <c r="P57" s="1">
        <v>0</v>
      </c>
      <c r="R57" s="1">
        <v>4830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8106994</v>
      </c>
      <c r="E60" s="1">
        <f>SUM(UNALLOCATED)</f>
        <v>0</v>
      </c>
      <c r="F60" s="1">
        <f>SUM(LTC)</f>
        <v>0</v>
      </c>
      <c r="G60" s="9">
        <f>SUM(ALL_BLOCKS)</f>
        <v>8106994</v>
      </c>
      <c r="L60" s="6">
        <f>SUM(LIFE_CALLED)</f>
        <v>136845</v>
      </c>
      <c r="M60" s="1">
        <f>SUM(LIFE_REFUNDED)</f>
        <v>48177.093999999997</v>
      </c>
      <c r="O60" s="1">
        <f>SUM(ALLOC_CALLED)</f>
        <v>514100</v>
      </c>
      <c r="P60" s="1">
        <f>SUM(ALLOC_REFUNDED)</f>
        <v>0</v>
      </c>
      <c r="R60" s="1">
        <f>SUM(HEALTH_CALLED)</f>
        <v>7083431</v>
      </c>
      <c r="S60" s="1">
        <f>SUM(HEALTH_REFUNDED)</f>
        <v>1408959.2960000001</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174</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43713.746108570631</v>
      </c>
      <c r="C6" s="1">
        <v>127087.8938914294</v>
      </c>
      <c r="D6" s="1">
        <v>0</v>
      </c>
      <c r="E6" s="1">
        <v>0</v>
      </c>
      <c r="F6" s="1">
        <v>0</v>
      </c>
      <c r="G6" s="9">
        <f>SUM(AL_FINANCIAL)</f>
        <v>170801.64</v>
      </c>
      <c r="L6" s="6">
        <v>266000</v>
      </c>
      <c r="M6" s="1">
        <v>0</v>
      </c>
      <c r="O6" s="1">
        <v>171943</v>
      </c>
      <c r="P6" s="1">
        <v>0</v>
      </c>
      <c r="R6" s="1">
        <v>0</v>
      </c>
      <c r="S6" s="1">
        <v>0</v>
      </c>
      <c r="U6" s="1">
        <v>0</v>
      </c>
      <c r="V6" s="9">
        <v>0</v>
      </c>
    </row>
    <row r="7" spans="1:22">
      <c r="A7" s="1" t="s">
        <v>12</v>
      </c>
      <c r="B7" s="6">
        <v>0</v>
      </c>
      <c r="C7" s="1">
        <v>0</v>
      </c>
      <c r="D7" s="1">
        <v>0</v>
      </c>
      <c r="E7" s="1">
        <v>0</v>
      </c>
      <c r="F7" s="1">
        <v>0</v>
      </c>
      <c r="G7" s="9">
        <f>SUM(AK_FINANCIAL)</f>
        <v>0</v>
      </c>
      <c r="I7" s="12"/>
      <c r="J7" s="15"/>
      <c r="L7" s="6"/>
      <c r="V7" s="9"/>
    </row>
    <row r="8" spans="1:22">
      <c r="A8" s="1" t="s">
        <v>13</v>
      </c>
      <c r="B8" s="6">
        <v>116447.35864762857</v>
      </c>
      <c r="C8" s="1">
        <v>403774.3602659186</v>
      </c>
      <c r="D8" s="1">
        <v>0</v>
      </c>
      <c r="E8" s="1">
        <v>0</v>
      </c>
      <c r="F8" s="1">
        <v>0</v>
      </c>
      <c r="G8" s="9">
        <f>SUM(AZ_FINANCIAL)</f>
        <v>520221.71891354717</v>
      </c>
      <c r="I8" s="13" t="s">
        <v>14</v>
      </c>
      <c r="J8" s="16"/>
      <c r="L8" s="6">
        <v>0</v>
      </c>
      <c r="M8" s="1">
        <v>0</v>
      </c>
      <c r="O8" s="1">
        <v>418014</v>
      </c>
      <c r="P8" s="1">
        <v>0</v>
      </c>
      <c r="R8" s="1">
        <v>81022</v>
      </c>
      <c r="S8" s="1">
        <v>0</v>
      </c>
      <c r="U8" s="1">
        <v>0</v>
      </c>
      <c r="V8" s="9">
        <v>0</v>
      </c>
    </row>
    <row r="9" spans="1:22">
      <c r="A9" s="1" t="s">
        <v>15</v>
      </c>
      <c r="B9" s="6">
        <v>100076.55576328079</v>
      </c>
      <c r="C9" s="1">
        <v>289524.34423671919</v>
      </c>
      <c r="D9" s="1">
        <v>0</v>
      </c>
      <c r="E9" s="1">
        <v>0</v>
      </c>
      <c r="F9" s="1">
        <v>0</v>
      </c>
      <c r="G9" s="9">
        <f>SUM(AR_FINANCIAL)</f>
        <v>389600.89999999997</v>
      </c>
      <c r="I9" s="13"/>
      <c r="J9" s="16"/>
      <c r="L9" s="6">
        <v>659371</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23787587.611440528</v>
      </c>
      <c r="L10" s="6"/>
      <c r="V10" s="9"/>
    </row>
    <row r="11" spans="1:22">
      <c r="A11" s="1" t="s">
        <v>18</v>
      </c>
      <c r="B11" s="6">
        <v>92065.890055322365</v>
      </c>
      <c r="C11" s="1">
        <v>492208.85994467762</v>
      </c>
      <c r="D11" s="1">
        <v>0</v>
      </c>
      <c r="E11" s="1">
        <v>0</v>
      </c>
      <c r="F11" s="1">
        <v>0</v>
      </c>
      <c r="G11" s="9">
        <f>SUM(CO_FINANCIAL)</f>
        <v>584274.75</v>
      </c>
      <c r="I11" s="13"/>
      <c r="J11" s="16"/>
      <c r="L11" s="6">
        <v>216260</v>
      </c>
      <c r="M11" s="1">
        <v>251470</v>
      </c>
      <c r="O11" s="1">
        <v>906211</v>
      </c>
      <c r="P11" s="1">
        <v>80000</v>
      </c>
      <c r="R11" s="1">
        <v>0</v>
      </c>
      <c r="S11" s="1">
        <v>100117</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4754904</v>
      </c>
      <c r="L13" s="6"/>
      <c r="V13" s="9"/>
    </row>
    <row r="14" spans="1:22">
      <c r="A14" s="1" t="s">
        <v>23</v>
      </c>
      <c r="B14" s="6">
        <v>0</v>
      </c>
      <c r="C14" s="1">
        <v>0</v>
      </c>
      <c r="D14" s="1">
        <v>0</v>
      </c>
      <c r="E14" s="1">
        <v>0</v>
      </c>
      <c r="F14" s="1">
        <v>0</v>
      </c>
      <c r="G14" s="9">
        <f>SUM(DC_FINANCIAL)</f>
        <v>0</v>
      </c>
      <c r="I14" s="13" t="s">
        <v>24</v>
      </c>
      <c r="J14" s="16">
        <v>1142999.24</v>
      </c>
      <c r="L14" s="6"/>
      <c r="V14" s="9"/>
    </row>
    <row r="15" spans="1:22">
      <c r="A15" s="1" t="s">
        <v>25</v>
      </c>
      <c r="B15" s="6">
        <v>0</v>
      </c>
      <c r="C15" s="1">
        <v>0</v>
      </c>
      <c r="D15" s="1">
        <v>0</v>
      </c>
      <c r="E15" s="1">
        <v>0</v>
      </c>
      <c r="F15" s="1">
        <v>0</v>
      </c>
      <c r="G15" s="9">
        <f>SUM(FL_FINANCIAL)</f>
        <v>0</v>
      </c>
      <c r="I15" s="13" t="s">
        <v>26</v>
      </c>
      <c r="J15" s="16">
        <v>612636.75999999954</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12980.416210475571</v>
      </c>
      <c r="C18" s="1">
        <v>243466.25378952437</v>
      </c>
      <c r="D18" s="1">
        <v>0</v>
      </c>
      <c r="E18" s="1">
        <v>0</v>
      </c>
      <c r="F18" s="1">
        <v>0</v>
      </c>
      <c r="G18" s="9">
        <f>SUM(ID_FINANCIAL)</f>
        <v>256446.66999999995</v>
      </c>
      <c r="I18" s="13" t="s">
        <v>31</v>
      </c>
      <c r="J18" s="16"/>
      <c r="L18" s="6">
        <v>58740</v>
      </c>
      <c r="M18" s="1">
        <v>0</v>
      </c>
      <c r="O18" s="1">
        <v>371260</v>
      </c>
      <c r="P18" s="1">
        <v>0</v>
      </c>
      <c r="R18" s="1">
        <v>0</v>
      </c>
      <c r="S18" s="1">
        <v>0</v>
      </c>
      <c r="U18" s="1">
        <v>0</v>
      </c>
      <c r="V18" s="9">
        <v>0</v>
      </c>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4734481.0000000009</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236544.78161360518</v>
      </c>
      <c r="C22" s="1">
        <v>1157829.4183863946</v>
      </c>
      <c r="D22" s="1">
        <v>0</v>
      </c>
      <c r="E22" s="1">
        <v>0</v>
      </c>
      <c r="F22" s="1">
        <v>0</v>
      </c>
      <c r="G22" s="9">
        <f>SUM(KS_FINANCIAL)</f>
        <v>1394374.1999999997</v>
      </c>
      <c r="I22" s="13" t="s">
        <v>39</v>
      </c>
      <c r="J22" s="16">
        <v>1898918.8425269816</v>
      </c>
      <c r="L22" s="6">
        <v>500000</v>
      </c>
      <c r="M22" s="1">
        <v>0</v>
      </c>
      <c r="O22" s="1">
        <v>1500000</v>
      </c>
      <c r="P22" s="1">
        <v>0</v>
      </c>
      <c r="R22" s="1">
        <v>0</v>
      </c>
      <c r="S22" s="1">
        <v>0</v>
      </c>
      <c r="U22" s="1">
        <v>0</v>
      </c>
      <c r="V22" s="9">
        <v>0</v>
      </c>
    </row>
    <row r="23" spans="1:22">
      <c r="A23" s="1" t="s">
        <v>40</v>
      </c>
      <c r="B23" s="6">
        <v>0</v>
      </c>
      <c r="C23" s="1">
        <v>0</v>
      </c>
      <c r="D23" s="1">
        <v>0</v>
      </c>
      <c r="E23" s="1">
        <v>0</v>
      </c>
      <c r="F23" s="1">
        <v>0</v>
      </c>
      <c r="G23" s="9">
        <f>SUM(KY_FINANCIAL)</f>
        <v>0</v>
      </c>
      <c r="I23" s="13" t="s">
        <v>41</v>
      </c>
      <c r="J23" s="16"/>
      <c r="L23" s="6"/>
      <c r="V23" s="9"/>
    </row>
    <row r="24" spans="1:22">
      <c r="A24" s="1" t="s">
        <v>42</v>
      </c>
      <c r="B24" s="6">
        <v>175965.40491098168</v>
      </c>
      <c r="C24" s="1">
        <v>668571.61508901836</v>
      </c>
      <c r="D24" s="1">
        <v>0</v>
      </c>
      <c r="E24" s="1">
        <v>0</v>
      </c>
      <c r="F24" s="1">
        <v>0</v>
      </c>
      <c r="G24" s="9">
        <f>SUM(LA_FINANCIAL)</f>
        <v>844537.02</v>
      </c>
      <c r="I24" s="13" t="s">
        <v>43</v>
      </c>
      <c r="J24" s="16">
        <v>10249807.68</v>
      </c>
      <c r="L24" s="6">
        <v>369626</v>
      </c>
      <c r="M24" s="1">
        <v>0</v>
      </c>
      <c r="O24" s="1">
        <v>1034674</v>
      </c>
      <c r="P24" s="1">
        <v>0</v>
      </c>
      <c r="R24" s="1">
        <v>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13414920.088913541</v>
      </c>
      <c r="L26" s="6"/>
      <c r="V26" s="9"/>
    </row>
    <row r="27" spans="1:22">
      <c r="A27" s="1" t="s">
        <v>47</v>
      </c>
      <c r="B27" s="6">
        <v>0</v>
      </c>
      <c r="C27" s="1">
        <v>0</v>
      </c>
      <c r="D27" s="1">
        <v>0</v>
      </c>
      <c r="E27" s="1">
        <v>0</v>
      </c>
      <c r="F27" s="1">
        <v>0</v>
      </c>
      <c r="G27" s="9">
        <f>SUM(MA_FINANCIAL)</f>
        <v>0</v>
      </c>
      <c r="I27" s="13" t="s">
        <v>48</v>
      </c>
      <c r="J27" s="16">
        <f>SUM(ALL_BLOCKS)</f>
        <v>13414920.088913547</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82657.124077029905</v>
      </c>
      <c r="C30" s="1">
        <v>375025.77592297015</v>
      </c>
      <c r="D30" s="1">
        <v>0</v>
      </c>
      <c r="E30" s="1">
        <v>0</v>
      </c>
      <c r="F30" s="1">
        <v>0</v>
      </c>
      <c r="G30" s="9">
        <f>SUM(MS_FINANCIAL)</f>
        <v>457682.9</v>
      </c>
      <c r="L30" s="6">
        <v>299790</v>
      </c>
      <c r="M30" s="1">
        <v>0</v>
      </c>
      <c r="O30" s="1">
        <v>600210</v>
      </c>
      <c r="P30" s="1">
        <v>0</v>
      </c>
      <c r="R30" s="1">
        <v>0</v>
      </c>
      <c r="S30" s="1">
        <v>0</v>
      </c>
      <c r="U30" s="1">
        <v>0</v>
      </c>
      <c r="V30" s="9">
        <v>0</v>
      </c>
    </row>
    <row r="31" spans="1:22">
      <c r="A31" s="1" t="s">
        <v>52</v>
      </c>
      <c r="B31" s="6">
        <v>140055.34021015669</v>
      </c>
      <c r="C31" s="1">
        <v>1108521.6397898435</v>
      </c>
      <c r="D31" s="1">
        <v>0</v>
      </c>
      <c r="E31" s="1">
        <v>0</v>
      </c>
      <c r="F31" s="1">
        <v>0</v>
      </c>
      <c r="G31" s="9">
        <f>SUM(MO_FINANCIAL)</f>
        <v>1248576.9800000002</v>
      </c>
      <c r="L31" s="6">
        <v>0</v>
      </c>
      <c r="M31" s="1">
        <v>0</v>
      </c>
      <c r="O31" s="1">
        <v>1723861</v>
      </c>
      <c r="P31" s="1">
        <v>0</v>
      </c>
      <c r="R31" s="1">
        <v>0</v>
      </c>
      <c r="S31" s="1">
        <v>0</v>
      </c>
      <c r="U31" s="1">
        <v>0</v>
      </c>
      <c r="V31" s="9">
        <v>0</v>
      </c>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875.06773569256256</v>
      </c>
      <c r="C34" s="1">
        <v>1014.9322643074374</v>
      </c>
      <c r="D34" s="1">
        <v>0</v>
      </c>
      <c r="E34" s="1">
        <v>0</v>
      </c>
      <c r="F34" s="1">
        <v>0</v>
      </c>
      <c r="G34" s="9">
        <f>SUM(NV_FINANCIAL)</f>
        <v>1890</v>
      </c>
      <c r="L34" s="6">
        <v>15200</v>
      </c>
      <c r="M34" s="1">
        <v>0</v>
      </c>
      <c r="O34" s="1">
        <v>14200</v>
      </c>
      <c r="P34" s="1">
        <v>0</v>
      </c>
      <c r="R34" s="1">
        <v>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231.03459477044316</v>
      </c>
      <c r="C37" s="1">
        <v>42701.245405229536</v>
      </c>
      <c r="D37" s="1">
        <v>0</v>
      </c>
      <c r="E37" s="1">
        <v>0</v>
      </c>
      <c r="F37" s="1">
        <v>0</v>
      </c>
      <c r="G37" s="9">
        <f>SUM(NM_FINANCIAL)</f>
        <v>42932.279999999977</v>
      </c>
      <c r="L37" s="6">
        <v>35000</v>
      </c>
      <c r="M37" s="1">
        <v>0</v>
      </c>
      <c r="O37" s="1">
        <v>30000</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1602536.596318003</v>
      </c>
      <c r="C42" s="1">
        <v>2174253.2427838715</v>
      </c>
      <c r="D42" s="1">
        <v>3925.5008981258761</v>
      </c>
      <c r="E42" s="1">
        <v>0</v>
      </c>
      <c r="F42" s="1">
        <v>0</v>
      </c>
      <c r="G42" s="9">
        <f>SUM(OK_FINANCIAL)</f>
        <v>3780715.3400000003</v>
      </c>
      <c r="L42" s="6">
        <v>3455258</v>
      </c>
      <c r="M42" s="1">
        <v>1633000</v>
      </c>
      <c r="O42" s="1">
        <v>2943368</v>
      </c>
      <c r="P42" s="1">
        <v>1391000</v>
      </c>
      <c r="R42" s="1">
        <v>0</v>
      </c>
      <c r="S42" s="1">
        <v>0</v>
      </c>
      <c r="U42" s="1">
        <v>0</v>
      </c>
      <c r="V42" s="9">
        <v>0</v>
      </c>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738345.16772062343</v>
      </c>
      <c r="C50" s="1">
        <v>2963862.1087250831</v>
      </c>
      <c r="D50" s="1">
        <v>225.97355429443095</v>
      </c>
      <c r="E50" s="1">
        <v>0</v>
      </c>
      <c r="F50" s="1">
        <v>0</v>
      </c>
      <c r="G50" s="9">
        <f>SUM(TX_FINANCIAL)</f>
        <v>3702433.2500000009</v>
      </c>
      <c r="L50" s="6">
        <v>6280667</v>
      </c>
      <c r="M50" s="1">
        <v>2588740.9462700002</v>
      </c>
      <c r="O50" s="1">
        <v>53716</v>
      </c>
      <c r="P50" s="1">
        <v>22192.433730000001</v>
      </c>
      <c r="R50" s="1">
        <v>0</v>
      </c>
      <c r="S50" s="1">
        <v>0</v>
      </c>
      <c r="U50" s="1">
        <v>0</v>
      </c>
      <c r="V50" s="9">
        <v>0</v>
      </c>
    </row>
    <row r="51" spans="1:22">
      <c r="A51" s="1" t="s">
        <v>72</v>
      </c>
      <c r="B51" s="6">
        <v>1698.4848741687315</v>
      </c>
      <c r="C51" s="1">
        <v>18733.955125831271</v>
      </c>
      <c r="D51" s="1">
        <v>0</v>
      </c>
      <c r="E51" s="1">
        <v>0</v>
      </c>
      <c r="F51" s="1">
        <v>0</v>
      </c>
      <c r="G51" s="9">
        <f>SUM(UT_FINANCIAL)</f>
        <v>20432.440000000002</v>
      </c>
      <c r="L51" s="6">
        <v>8382</v>
      </c>
      <c r="M51" s="1">
        <v>0</v>
      </c>
      <c r="O51" s="1">
        <v>46618</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3344192.9688403099</v>
      </c>
      <c r="C60" s="1">
        <f>SUM(ALLOCATED)</f>
        <v>10066575.645620819</v>
      </c>
      <c r="D60" s="1">
        <f>SUM(HEALTH)</f>
        <v>4151.474452420307</v>
      </c>
      <c r="E60" s="1">
        <f>SUM(UNALLOCATED)</f>
        <v>0</v>
      </c>
      <c r="F60" s="1">
        <f>SUM(LTC)</f>
        <v>0</v>
      </c>
      <c r="G60" s="9">
        <f>SUM(ALL_BLOCKS)</f>
        <v>13414920.088913547</v>
      </c>
      <c r="L60" s="6">
        <f>SUM(LIFE_CALLED)</f>
        <v>12164294</v>
      </c>
      <c r="M60" s="1">
        <f>SUM(LIFE_REFUNDED)</f>
        <v>4473210.9462700002</v>
      </c>
      <c r="O60" s="1">
        <f>SUM(ALLOC_CALLED)</f>
        <v>9814075</v>
      </c>
      <c r="P60" s="1">
        <f>SUM(ALLOC_REFUNDED)</f>
        <v>1493192.4337299999</v>
      </c>
      <c r="R60" s="1">
        <f>SUM(HEALTH_CALLED)</f>
        <v>81022</v>
      </c>
      <c r="S60" s="1">
        <f>SUM(HEALTH_REFUNDED)</f>
        <v>100117</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175</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928.55306082589289</v>
      </c>
      <c r="C8" s="1">
        <v>0</v>
      </c>
      <c r="D8" s="1">
        <v>0</v>
      </c>
      <c r="E8" s="1">
        <v>0</v>
      </c>
      <c r="F8" s="1">
        <v>0</v>
      </c>
      <c r="G8" s="9">
        <f>SUM(AZ_FINANCIAL)</f>
        <v>928.55306082589289</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0</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40667.22</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0</v>
      </c>
      <c r="L20" s="6"/>
      <c r="V20" s="9"/>
    </row>
    <row r="21" spans="1:22">
      <c r="A21" s="1" t="s">
        <v>36</v>
      </c>
      <c r="B21" s="6">
        <v>35.931788504464286</v>
      </c>
      <c r="C21" s="1">
        <v>0</v>
      </c>
      <c r="D21" s="1">
        <v>0</v>
      </c>
      <c r="E21" s="1">
        <v>0</v>
      </c>
      <c r="F21" s="1">
        <v>0</v>
      </c>
      <c r="G21" s="9">
        <f>SUM(IA_FINANCIAL)</f>
        <v>35.931788504464286</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347.97100446428578</v>
      </c>
      <c r="C24" s="1">
        <v>0</v>
      </c>
      <c r="D24" s="1">
        <v>0</v>
      </c>
      <c r="E24" s="1">
        <v>0</v>
      </c>
      <c r="F24" s="1">
        <v>0</v>
      </c>
      <c r="G24" s="9">
        <f>SUM(LA_FINANCIAL)</f>
        <v>347.97100446428578</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40667.22</v>
      </c>
      <c r="L26" s="6"/>
      <c r="V26" s="9"/>
    </row>
    <row r="27" spans="1:22">
      <c r="A27" s="1" t="s">
        <v>47</v>
      </c>
      <c r="B27" s="6">
        <v>0</v>
      </c>
      <c r="C27" s="1">
        <v>0</v>
      </c>
      <c r="D27" s="1">
        <v>0</v>
      </c>
      <c r="E27" s="1">
        <v>0</v>
      </c>
      <c r="F27" s="1">
        <v>0</v>
      </c>
      <c r="G27" s="9">
        <f>SUM(MA_FINANCIAL)</f>
        <v>0</v>
      </c>
      <c r="I27" s="13" t="s">
        <v>48</v>
      </c>
      <c r="J27" s="16">
        <f>SUM(ALL_BLOCKS)</f>
        <v>40667.220000000008</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3001.6059532864988</v>
      </c>
      <c r="C31" s="1">
        <v>0</v>
      </c>
      <c r="D31" s="1">
        <v>0</v>
      </c>
      <c r="E31" s="1">
        <v>27443.965790575112</v>
      </c>
      <c r="F31" s="1">
        <v>0</v>
      </c>
      <c r="G31" s="9">
        <f>SUM(MO_FINANCIAL)</f>
        <v>30445.571743861612</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907.75044642857142</v>
      </c>
      <c r="C41" s="1">
        <v>0</v>
      </c>
      <c r="D41" s="1">
        <v>0</v>
      </c>
      <c r="E41" s="1">
        <v>0</v>
      </c>
      <c r="F41" s="1">
        <v>0</v>
      </c>
      <c r="G41" s="9">
        <f>SUM(OH_FINANCIAL)</f>
        <v>907.75044642857142</v>
      </c>
      <c r="L41" s="6"/>
      <c r="V41" s="9"/>
    </row>
    <row r="42" spans="1:22">
      <c r="A42" s="1" t="s">
        <v>63</v>
      </c>
      <c r="B42" s="6">
        <v>6218.0905580357148</v>
      </c>
      <c r="C42" s="1">
        <v>0</v>
      </c>
      <c r="D42" s="1">
        <v>0</v>
      </c>
      <c r="E42" s="1">
        <v>0</v>
      </c>
      <c r="F42" s="1">
        <v>0</v>
      </c>
      <c r="G42" s="9">
        <f>SUM(OK_FINANCIAL)</f>
        <v>6218.0905580357148</v>
      </c>
      <c r="L42" s="6">
        <v>30000</v>
      </c>
      <c r="M42" s="1">
        <v>0</v>
      </c>
      <c r="O42" s="1">
        <v>0</v>
      </c>
      <c r="P42" s="1">
        <v>0</v>
      </c>
      <c r="R42" s="1">
        <v>0</v>
      </c>
      <c r="S42" s="1">
        <v>0</v>
      </c>
      <c r="U42" s="1">
        <v>0</v>
      </c>
      <c r="V42" s="9">
        <v>0</v>
      </c>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1584.5189094794912</v>
      </c>
      <c r="C51" s="1">
        <v>198.8324883999733</v>
      </c>
      <c r="D51" s="1">
        <v>0</v>
      </c>
      <c r="E51" s="1">
        <v>0</v>
      </c>
      <c r="F51" s="1">
        <v>0</v>
      </c>
      <c r="G51" s="9">
        <f>SUM(UT_FINANCIAL)</f>
        <v>1783.3513978794645</v>
      </c>
      <c r="L51" s="6">
        <v>27000</v>
      </c>
      <c r="M51" s="1">
        <v>0</v>
      </c>
      <c r="O51" s="1">
        <v>0</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13024.421721024919</v>
      </c>
      <c r="C60" s="1">
        <f>SUM(ALLOCATED)</f>
        <v>198.8324883999733</v>
      </c>
      <c r="D60" s="1">
        <f>SUM(HEALTH)</f>
        <v>0</v>
      </c>
      <c r="E60" s="1">
        <f>SUM(UNALLOCATED)</f>
        <v>27443.965790575112</v>
      </c>
      <c r="F60" s="1">
        <f>SUM(LTC)</f>
        <v>0</v>
      </c>
      <c r="G60" s="9">
        <f>SUM(ALL_BLOCKS)</f>
        <v>40667.220000000008</v>
      </c>
      <c r="L60" s="6">
        <f>SUM(LIFE_CALLED)</f>
        <v>57000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176</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-164806.76282782434</v>
      </c>
      <c r="E8" s="1">
        <v>0</v>
      </c>
      <c r="F8" s="1">
        <v>0</v>
      </c>
      <c r="G8" s="9">
        <f>SUM(AZ_FINANCIAL)</f>
        <v>-164806.76282782434</v>
      </c>
      <c r="I8" s="13" t="s">
        <v>14</v>
      </c>
      <c r="J8" s="16"/>
      <c r="L8" s="6"/>
      <c r="V8" s="9"/>
    </row>
    <row r="9" spans="1:22">
      <c r="A9" s="1" t="s">
        <v>15</v>
      </c>
      <c r="B9" s="6">
        <v>0</v>
      </c>
      <c r="C9" s="1">
        <v>0</v>
      </c>
      <c r="D9" s="1">
        <v>-5.6843418860808015E-14</v>
      </c>
      <c r="E9" s="1">
        <v>0</v>
      </c>
      <c r="F9" s="1">
        <v>0</v>
      </c>
      <c r="G9" s="9">
        <f>SUM(AR_FINANCIAL)</f>
        <v>-5.6843418860808015E-14</v>
      </c>
      <c r="I9" s="13"/>
      <c r="J9" s="16"/>
      <c r="L9" s="6"/>
      <c r="V9" s="9"/>
    </row>
    <row r="10" spans="1:22">
      <c r="A10" s="1" t="s">
        <v>16</v>
      </c>
      <c r="B10" s="6">
        <v>0</v>
      </c>
      <c r="C10" s="1">
        <v>0</v>
      </c>
      <c r="D10" s="1">
        <v>0</v>
      </c>
      <c r="E10" s="1">
        <v>0</v>
      </c>
      <c r="F10" s="1">
        <v>0</v>
      </c>
      <c r="G10" s="9">
        <f>SUM(CA_FINANCIAL)</f>
        <v>0</v>
      </c>
      <c r="I10" s="13" t="s">
        <v>17</v>
      </c>
      <c r="J10" s="16">
        <v>6483172.1899999995</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6483172.1899999995</v>
      </c>
      <c r="L13" s="6"/>
      <c r="V13" s="9"/>
    </row>
    <row r="14" spans="1:22">
      <c r="A14" s="1" t="s">
        <v>23</v>
      </c>
      <c r="B14" s="6">
        <v>0</v>
      </c>
      <c r="C14" s="1">
        <v>0</v>
      </c>
      <c r="D14" s="1">
        <v>0</v>
      </c>
      <c r="E14" s="1">
        <v>0</v>
      </c>
      <c r="F14" s="1">
        <v>0</v>
      </c>
      <c r="G14" s="9">
        <f>SUM(DC_FINANCIAL)</f>
        <v>0</v>
      </c>
      <c r="I14" s="13" t="s">
        <v>24</v>
      </c>
      <c r="J14" s="16">
        <v>1119709.19</v>
      </c>
      <c r="L14" s="6"/>
      <c r="V14" s="9"/>
    </row>
    <row r="15" spans="1:22">
      <c r="A15" s="1" t="s">
        <v>25</v>
      </c>
      <c r="B15" s="6">
        <v>0</v>
      </c>
      <c r="C15" s="1">
        <v>0</v>
      </c>
      <c r="D15" s="1">
        <v>-267058.59483131574</v>
      </c>
      <c r="E15" s="1">
        <v>0</v>
      </c>
      <c r="F15" s="1">
        <v>0</v>
      </c>
      <c r="G15" s="9">
        <f>SUM(FL_FINANCIAL)</f>
        <v>-267058.59483131574</v>
      </c>
      <c r="I15" s="13" t="s">
        <v>26</v>
      </c>
      <c r="J15" s="16">
        <v>1443427.0986441544</v>
      </c>
      <c r="L15" s="6"/>
      <c r="V15" s="9"/>
    </row>
    <row r="16" spans="1:22">
      <c r="A16" s="1" t="s">
        <v>27</v>
      </c>
      <c r="B16" s="6">
        <v>0</v>
      </c>
      <c r="C16" s="1">
        <v>0</v>
      </c>
      <c r="D16" s="1">
        <v>-126479.41045092215</v>
      </c>
      <c r="E16" s="1">
        <v>0</v>
      </c>
      <c r="F16" s="1">
        <v>0</v>
      </c>
      <c r="G16" s="9">
        <f>SUM(GA_FINANCIAL)</f>
        <v>-126479.41045092215</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6483172.1899999995</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-24165.902107981579</v>
      </c>
      <c r="E24" s="1">
        <v>0</v>
      </c>
      <c r="F24" s="1">
        <v>0</v>
      </c>
      <c r="G24" s="9">
        <f>SUM(LA_FINANCIAL)</f>
        <v>-24165.902107981579</v>
      </c>
      <c r="I24" s="13" t="s">
        <v>43</v>
      </c>
      <c r="J24" s="16">
        <v>10213302.939999999</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-1166994.4613558464</v>
      </c>
      <c r="L26" s="6"/>
      <c r="V26" s="9"/>
    </row>
    <row r="27" spans="1:22">
      <c r="A27" s="1" t="s">
        <v>47</v>
      </c>
      <c r="B27" s="6">
        <v>0</v>
      </c>
      <c r="C27" s="1">
        <v>0</v>
      </c>
      <c r="D27" s="1">
        <v>0</v>
      </c>
      <c r="E27" s="1">
        <v>0</v>
      </c>
      <c r="F27" s="1">
        <v>0</v>
      </c>
      <c r="G27" s="9">
        <f>SUM(MA_FINANCIAL)</f>
        <v>0</v>
      </c>
      <c r="I27" s="13" t="s">
        <v>48</v>
      </c>
      <c r="J27" s="16">
        <f>SUM(ALL_BLOCKS)</f>
        <v>-1166994.4613558461</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-129470.50626330008</v>
      </c>
      <c r="E30" s="1">
        <v>0</v>
      </c>
      <c r="F30" s="1">
        <v>0</v>
      </c>
      <c r="G30" s="9">
        <f>SUM(MS_FINANCIAL)</f>
        <v>-129470.50626330008</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-10019.179932658677</v>
      </c>
      <c r="E34" s="1">
        <v>0</v>
      </c>
      <c r="F34" s="1">
        <v>0</v>
      </c>
      <c r="G34" s="9">
        <f>SUM(NV_FINANCIAL)</f>
        <v>-10019.179932658677</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-228491.0043511386</v>
      </c>
      <c r="E39" s="1">
        <v>0</v>
      </c>
      <c r="F39" s="1">
        <v>0</v>
      </c>
      <c r="G39" s="9">
        <f>SUM(NC_FINANCIAL)</f>
        <v>-228491.0043511386</v>
      </c>
      <c r="L39" s="6"/>
      <c r="V39" s="9"/>
    </row>
    <row r="40" spans="1:22">
      <c r="A40" s="1" t="s">
        <v>61</v>
      </c>
      <c r="B40" s="6">
        <v>0</v>
      </c>
      <c r="C40" s="1">
        <v>0</v>
      </c>
      <c r="D40" s="1">
        <v>-2.8421709430404007E-14</v>
      </c>
      <c r="E40" s="1">
        <v>0</v>
      </c>
      <c r="F40" s="1">
        <v>0</v>
      </c>
      <c r="G40" s="9">
        <f>SUM(ND_FINANCIAL)</f>
        <v>-2.8421709430404007E-14</v>
      </c>
      <c r="L40" s="6"/>
      <c r="V40" s="9"/>
    </row>
    <row r="41" spans="1:22">
      <c r="A41" s="1" t="s">
        <v>62</v>
      </c>
      <c r="B41" s="6">
        <v>0</v>
      </c>
      <c r="C41" s="1">
        <v>0</v>
      </c>
      <c r="D41" s="1">
        <v>-1749.0866397632053</v>
      </c>
      <c r="E41" s="1">
        <v>0</v>
      </c>
      <c r="F41" s="1">
        <v>0</v>
      </c>
      <c r="G41" s="9">
        <f>SUM(OH_FINANCIAL)</f>
        <v>-1749.0866397632053</v>
      </c>
      <c r="L41" s="6">
        <v>0</v>
      </c>
      <c r="M41" s="1">
        <v>0</v>
      </c>
      <c r="O41" s="1">
        <v>0</v>
      </c>
      <c r="P41" s="1">
        <v>0</v>
      </c>
      <c r="R41" s="1">
        <v>250000</v>
      </c>
      <c r="S41" s="1">
        <v>0</v>
      </c>
      <c r="U41" s="1">
        <v>0</v>
      </c>
      <c r="V41" s="9">
        <v>0</v>
      </c>
    </row>
    <row r="42" spans="1:22">
      <c r="A42" s="1" t="s">
        <v>63</v>
      </c>
      <c r="B42" s="6">
        <v>0</v>
      </c>
      <c r="C42" s="1">
        <v>0</v>
      </c>
      <c r="D42" s="1">
        <v>-9.0949470177292824E-13</v>
      </c>
      <c r="E42" s="1">
        <v>0</v>
      </c>
      <c r="F42" s="1">
        <v>0</v>
      </c>
      <c r="G42" s="9">
        <f>SUM(OK_FINANCIAL)</f>
        <v>-9.0949470177292824E-13</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-62286.105662734481</v>
      </c>
      <c r="E44" s="1">
        <v>0</v>
      </c>
      <c r="F44" s="1">
        <v>0</v>
      </c>
      <c r="G44" s="9">
        <f>SUM(PA_FINANCIAL)</f>
        <v>-62286.105662734481</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-1447.9994116630623</v>
      </c>
      <c r="E47" s="1">
        <v>0</v>
      </c>
      <c r="F47" s="1">
        <v>0</v>
      </c>
      <c r="G47" s="9">
        <f>SUM(SC_FINANCIAL)</f>
        <v>-1447.9994116630623</v>
      </c>
      <c r="L47" s="6"/>
      <c r="V47" s="9"/>
    </row>
    <row r="48" spans="1:22">
      <c r="A48" s="1" t="s">
        <v>69</v>
      </c>
      <c r="B48" s="6">
        <v>0</v>
      </c>
      <c r="C48" s="1">
        <v>0</v>
      </c>
      <c r="D48" s="1">
        <v>-5.6843418860808015E-14</v>
      </c>
      <c r="E48" s="1">
        <v>0</v>
      </c>
      <c r="F48" s="1">
        <v>0</v>
      </c>
      <c r="G48" s="9">
        <f>SUM(SD_FINANCIAL)</f>
        <v>-5.6843418860808015E-14</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-121543.74112823152</v>
      </c>
      <c r="E50" s="1">
        <v>0</v>
      </c>
      <c r="F50" s="1">
        <v>0</v>
      </c>
      <c r="G50" s="9">
        <f>SUM(TX_FINANCIAL)</f>
        <v>-121543.74112823152</v>
      </c>
      <c r="L50" s="6"/>
      <c r="V50" s="9"/>
    </row>
    <row r="51" spans="1:22">
      <c r="A51" s="1" t="s">
        <v>72</v>
      </c>
      <c r="B51" s="6">
        <v>0</v>
      </c>
      <c r="C51" s="1">
        <v>0</v>
      </c>
      <c r="D51" s="1">
        <v>-29476.167748312808</v>
      </c>
      <c r="E51" s="1">
        <v>0</v>
      </c>
      <c r="F51" s="1">
        <v>0</v>
      </c>
      <c r="G51" s="9">
        <f>SUM(UT_FINANCIAL)</f>
        <v>-29476.167748312808</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-1166994.4613558461</v>
      </c>
      <c r="E60" s="1">
        <f>SUM(UNALLOCATED)</f>
        <v>0</v>
      </c>
      <c r="F60" s="1">
        <f>SUM(LTC)</f>
        <v>0</v>
      </c>
      <c r="G60" s="9">
        <f>SUM(ALL_BLOCKS)</f>
        <v>-1166994.4613558461</v>
      </c>
      <c r="L60" s="6">
        <f>SUM(LIFE_CALLED)</f>
        <v>0</v>
      </c>
      <c r="M60" s="1">
        <f>SUM(LIFE_REFUNDED)</f>
        <v>0</v>
      </c>
      <c r="O60" s="1">
        <f>SUM(ALLOC_CALLED)</f>
        <v>0</v>
      </c>
      <c r="P60" s="1">
        <f>SUM(ALLOC_REFUNDED)</f>
        <v>0</v>
      </c>
      <c r="R60" s="1">
        <f>SUM(HEALTH_CALLED)</f>
        <v>250000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177</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3574357.5045669116</v>
      </c>
      <c r="C6" s="1">
        <v>0</v>
      </c>
      <c r="D6" s="1">
        <v>-12159.81100971796</v>
      </c>
      <c r="E6" s="1">
        <v>0</v>
      </c>
      <c r="F6" s="1">
        <v>0</v>
      </c>
      <c r="G6" s="9">
        <f>SUM(AL_FINANCIAL)</f>
        <v>3562197.6935571935</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-58995.608612695272</v>
      </c>
      <c r="C9" s="1">
        <v>0</v>
      </c>
      <c r="D9" s="1">
        <v>1218.2228878698506</v>
      </c>
      <c r="E9" s="1">
        <v>0</v>
      </c>
      <c r="F9" s="1">
        <v>0</v>
      </c>
      <c r="G9" s="9">
        <f>SUM(AR_FINANCIAL)</f>
        <v>-57777.385724825421</v>
      </c>
      <c r="I9" s="13"/>
      <c r="J9" s="16"/>
      <c r="L9" s="6">
        <v>0</v>
      </c>
      <c r="M9" s="1">
        <v>0</v>
      </c>
      <c r="O9" s="1">
        <v>0</v>
      </c>
      <c r="P9" s="1">
        <v>0</v>
      </c>
      <c r="R9" s="1">
        <v>0</v>
      </c>
      <c r="S9" s="1">
        <v>0</v>
      </c>
      <c r="U9" s="1">
        <v>0</v>
      </c>
      <c r="V9" s="9">
        <v>0</v>
      </c>
    </row>
    <row r="10" spans="1:22">
      <c r="A10" s="1" t="s">
        <v>16</v>
      </c>
      <c r="B10" s="6">
        <v>15217.268543028156</v>
      </c>
      <c r="C10" s="1">
        <v>0</v>
      </c>
      <c r="D10" s="1">
        <v>4.9202238177589663</v>
      </c>
      <c r="E10" s="1">
        <v>0</v>
      </c>
      <c r="F10" s="1">
        <v>0</v>
      </c>
      <c r="G10" s="9">
        <f>SUM(CA_FINANCIAL)</f>
        <v>15222.188766845915</v>
      </c>
      <c r="I10" s="13" t="s">
        <v>17</v>
      </c>
      <c r="J10" s="16">
        <v>11456200.099999998</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2229375.1</v>
      </c>
      <c r="L13" s="6"/>
      <c r="V13" s="9"/>
    </row>
    <row r="14" spans="1:22">
      <c r="A14" s="1" t="s">
        <v>23</v>
      </c>
      <c r="B14" s="6">
        <v>1111.9805102886112</v>
      </c>
      <c r="C14" s="1">
        <v>0</v>
      </c>
      <c r="D14" s="1">
        <v>-0.37581067401151813</v>
      </c>
      <c r="E14" s="1">
        <v>0</v>
      </c>
      <c r="F14" s="1">
        <v>0</v>
      </c>
      <c r="G14" s="9">
        <f>SUM(DC_FINANCIAL)</f>
        <v>1111.6046996145997</v>
      </c>
      <c r="I14" s="13" t="s">
        <v>24</v>
      </c>
      <c r="J14" s="16">
        <v>0</v>
      </c>
      <c r="L14" s="6"/>
      <c r="V14" s="9"/>
    </row>
    <row r="15" spans="1:22">
      <c r="A15" s="1" t="s">
        <v>25</v>
      </c>
      <c r="B15" s="6">
        <v>0</v>
      </c>
      <c r="C15" s="1">
        <v>0</v>
      </c>
      <c r="D15" s="1">
        <v>0</v>
      </c>
      <c r="E15" s="1">
        <v>0</v>
      </c>
      <c r="F15" s="1">
        <v>0</v>
      </c>
      <c r="G15" s="9">
        <f>SUM(FL_FINANCIAL)</f>
        <v>0</v>
      </c>
      <c r="I15" s="13" t="s">
        <v>26</v>
      </c>
      <c r="J15" s="16">
        <v>5391593.259881448</v>
      </c>
      <c r="L15" s="6"/>
      <c r="V15" s="9"/>
    </row>
    <row r="16" spans="1:22">
      <c r="A16" s="1" t="s">
        <v>27</v>
      </c>
      <c r="B16" s="6">
        <v>0</v>
      </c>
      <c r="C16" s="1">
        <v>0</v>
      </c>
      <c r="D16" s="1">
        <v>0</v>
      </c>
      <c r="E16" s="1">
        <v>0</v>
      </c>
      <c r="F16" s="1">
        <v>0</v>
      </c>
      <c r="G16" s="9">
        <f>SUM(GA_FINANCIAL)</f>
        <v>0</v>
      </c>
      <c r="I16" s="13" t="s">
        <v>28</v>
      </c>
      <c r="J16" s="16">
        <v>9226825</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11456200.099999998</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7915.9449442915502</v>
      </c>
      <c r="C22" s="1">
        <v>0</v>
      </c>
      <c r="D22" s="1">
        <v>69.486604461722891</v>
      </c>
      <c r="E22" s="1">
        <v>0</v>
      </c>
      <c r="F22" s="1">
        <v>0</v>
      </c>
      <c r="G22" s="9">
        <f>SUM(KS_FINANCIAL)</f>
        <v>7985.4315487532731</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126747.45086452574</v>
      </c>
      <c r="C24" s="1">
        <v>0</v>
      </c>
      <c r="D24" s="1">
        <v>161.80847232617555</v>
      </c>
      <c r="E24" s="1">
        <v>0</v>
      </c>
      <c r="F24" s="1">
        <v>0</v>
      </c>
      <c r="G24" s="9">
        <f>SUM(LA_FINANCIAL)</f>
        <v>126909.25933685192</v>
      </c>
      <c r="I24" s="13" t="s">
        <v>43</v>
      </c>
      <c r="J24" s="16">
        <v>12721559.000000002</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4126234.3598814458</v>
      </c>
      <c r="L26" s="6"/>
      <c r="V26" s="9"/>
    </row>
    <row r="27" spans="1:22">
      <c r="A27" s="1" t="s">
        <v>47</v>
      </c>
      <c r="B27" s="6">
        <v>0</v>
      </c>
      <c r="C27" s="1">
        <v>0</v>
      </c>
      <c r="D27" s="1">
        <v>0</v>
      </c>
      <c r="E27" s="1">
        <v>0</v>
      </c>
      <c r="F27" s="1">
        <v>0</v>
      </c>
      <c r="G27" s="9">
        <f>SUM(MA_FINANCIAL)</f>
        <v>0</v>
      </c>
      <c r="I27" s="13" t="s">
        <v>48</v>
      </c>
      <c r="J27" s="16">
        <f>SUM(ALL_BLOCKS)</f>
        <v>4126234.3598814481</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22605.907208681689</v>
      </c>
      <c r="C30" s="1">
        <v>0</v>
      </c>
      <c r="D30" s="1">
        <v>1422.0621920594149</v>
      </c>
      <c r="E30" s="1">
        <v>0</v>
      </c>
      <c r="F30" s="1">
        <v>0</v>
      </c>
      <c r="G30" s="9">
        <f>SUM(MS_FINANCIAL)</f>
        <v>24027.969400741102</v>
      </c>
      <c r="L30" s="6"/>
      <c r="V30" s="9"/>
    </row>
    <row r="31" spans="1:22">
      <c r="A31" s="1" t="s">
        <v>52</v>
      </c>
      <c r="B31" s="6">
        <v>-46164.828601862006</v>
      </c>
      <c r="C31" s="1">
        <v>0</v>
      </c>
      <c r="D31" s="1">
        <v>-4930.5546130623643</v>
      </c>
      <c r="E31" s="1">
        <v>0</v>
      </c>
      <c r="F31" s="1">
        <v>0</v>
      </c>
      <c r="G31" s="9">
        <f>SUM(MO_FINANCIAL)</f>
        <v>-51095.383214924368</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7616.3788499878356</v>
      </c>
      <c r="C42" s="1">
        <v>0</v>
      </c>
      <c r="D42" s="1">
        <v>-0.16794779871997889</v>
      </c>
      <c r="E42" s="1">
        <v>0</v>
      </c>
      <c r="F42" s="1">
        <v>0</v>
      </c>
      <c r="G42" s="9">
        <f>SUM(OK_FINANCIAL)</f>
        <v>7616.2109021891156</v>
      </c>
      <c r="L42" s="6">
        <v>100000</v>
      </c>
      <c r="M42" s="1">
        <v>0</v>
      </c>
      <c r="O42" s="1">
        <v>0</v>
      </c>
      <c r="P42" s="1">
        <v>0</v>
      </c>
      <c r="R42" s="1">
        <v>0</v>
      </c>
      <c r="S42" s="1">
        <v>0</v>
      </c>
      <c r="U42" s="1">
        <v>0</v>
      </c>
      <c r="V42" s="9">
        <v>0</v>
      </c>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262527.28186058952</v>
      </c>
      <c r="C49" s="1">
        <v>0</v>
      </c>
      <c r="D49" s="1">
        <v>-610.79366224587875</v>
      </c>
      <c r="E49" s="1">
        <v>0</v>
      </c>
      <c r="F49" s="1">
        <v>0</v>
      </c>
      <c r="G49" s="9">
        <f>SUM(TN_FINANCIAL)</f>
        <v>261916.48819834364</v>
      </c>
      <c r="L49" s="6"/>
      <c r="V49" s="9"/>
    </row>
    <row r="50" spans="1:22">
      <c r="A50" s="1" t="s">
        <v>71</v>
      </c>
      <c r="B50" s="6">
        <v>85753.616889664088</v>
      </c>
      <c r="C50" s="1">
        <v>0</v>
      </c>
      <c r="D50" s="1">
        <v>-272.61888553247991</v>
      </c>
      <c r="E50" s="1">
        <v>0</v>
      </c>
      <c r="F50" s="1">
        <v>0</v>
      </c>
      <c r="G50" s="9">
        <f>SUM(TX_FINANCIAL)</f>
        <v>85480.998004131601</v>
      </c>
      <c r="L50" s="6">
        <v>224994</v>
      </c>
      <c r="M50" s="1">
        <v>0</v>
      </c>
      <c r="O50" s="1">
        <v>0</v>
      </c>
      <c r="P50" s="1">
        <v>0</v>
      </c>
      <c r="R50" s="1">
        <v>0</v>
      </c>
      <c r="S50" s="1">
        <v>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142840.85408021393</v>
      </c>
      <c r="C53" s="1">
        <v>0</v>
      </c>
      <c r="D53" s="1">
        <v>-201.5696736806475</v>
      </c>
      <c r="E53" s="1">
        <v>0</v>
      </c>
      <c r="F53" s="1">
        <v>0</v>
      </c>
      <c r="G53" s="9">
        <f>SUM(VA_FINANCIAL)</f>
        <v>142639.28440653329</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4141533.7511036247</v>
      </c>
      <c r="C60" s="1">
        <f>SUM(ALLOCATED)</f>
        <v>0</v>
      </c>
      <c r="D60" s="1">
        <f>SUM(HEALTH)</f>
        <v>-15299.391222177137</v>
      </c>
      <c r="E60" s="1">
        <f>SUM(UNALLOCATED)</f>
        <v>0</v>
      </c>
      <c r="F60" s="1">
        <f>SUM(LTC)</f>
        <v>0</v>
      </c>
      <c r="G60" s="9">
        <f>SUM(ALL_BLOCKS)</f>
        <v>4126234.3598814481</v>
      </c>
      <c r="L60" s="6">
        <f>SUM(LIFE_CALLED)</f>
        <v>324994</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V64"/>
  <sheetViews>
    <sheetView zoomScale="75" workbookViewId="0">
      <selection activeCell="I33" sqref="I33"/>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120" t="s">
        <v>178</v>
      </c>
      <c r="B1" s="114"/>
      <c r="C1" s="114"/>
      <c r="D1" s="114"/>
      <c r="E1" s="114"/>
      <c r="F1" s="114"/>
      <c r="G1" s="114"/>
    </row>
    <row r="3" spans="1:22">
      <c r="B3" s="121" t="s">
        <v>1</v>
      </c>
      <c r="C3" s="122"/>
      <c r="D3" s="122"/>
      <c r="E3" s="122"/>
      <c r="F3" s="122"/>
      <c r="G3" s="123"/>
      <c r="L3" s="124" t="s">
        <v>2</v>
      </c>
      <c r="M3" s="125"/>
      <c r="N3" s="125"/>
      <c r="O3" s="125"/>
      <c r="P3" s="125"/>
      <c r="Q3" s="125"/>
      <c r="R3" s="125"/>
      <c r="S3" s="125"/>
      <c r="T3" s="125"/>
      <c r="U3" s="125"/>
      <c r="V3" s="126"/>
    </row>
    <row r="4" spans="1:22">
      <c r="B4" s="6"/>
      <c r="G4" s="9"/>
      <c r="L4" s="127" t="s">
        <v>3</v>
      </c>
      <c r="M4" s="128"/>
      <c r="N4" s="3"/>
      <c r="O4" s="129" t="s">
        <v>4</v>
      </c>
      <c r="P4" s="128"/>
      <c r="Q4" s="3"/>
      <c r="R4" s="129" t="s">
        <v>5</v>
      </c>
      <c r="S4" s="128"/>
      <c r="T4" s="3"/>
      <c r="U4" s="129" t="s">
        <v>6</v>
      </c>
      <c r="V4" s="130"/>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21235.880475797367</v>
      </c>
      <c r="E7" s="1">
        <v>0</v>
      </c>
      <c r="F7" s="1">
        <v>0</v>
      </c>
      <c r="G7" s="9">
        <f>SUM(AK_FINANCIAL)</f>
        <v>21235.880475797367</v>
      </c>
      <c r="I7" s="12"/>
      <c r="J7" s="15"/>
      <c r="L7" s="6">
        <v>0</v>
      </c>
      <c r="M7" s="1">
        <v>0</v>
      </c>
      <c r="O7" s="1">
        <v>0</v>
      </c>
      <c r="P7" s="1">
        <v>0</v>
      </c>
      <c r="R7" s="1">
        <v>25000</v>
      </c>
      <c r="S7" s="1">
        <v>0</v>
      </c>
      <c r="U7" s="1">
        <v>0</v>
      </c>
      <c r="V7" s="9">
        <v>0</v>
      </c>
    </row>
    <row r="8" spans="1:22">
      <c r="A8" s="1" t="s">
        <v>13</v>
      </c>
      <c r="B8" s="6">
        <v>0</v>
      </c>
      <c r="C8" s="1">
        <v>0</v>
      </c>
      <c r="D8" s="1">
        <v>571.92447295450256</v>
      </c>
      <c r="E8" s="1">
        <v>0</v>
      </c>
      <c r="F8" s="1">
        <v>0</v>
      </c>
      <c r="G8" s="9">
        <f>SUM(AZ_FINANCIAL)</f>
        <v>571.92447295450256</v>
      </c>
      <c r="I8" s="13" t="s">
        <v>14</v>
      </c>
      <c r="J8" s="16"/>
      <c r="L8" s="6"/>
      <c r="V8" s="9"/>
    </row>
    <row r="9" spans="1:22">
      <c r="A9" s="1" t="s">
        <v>15</v>
      </c>
      <c r="B9" s="6">
        <v>0</v>
      </c>
      <c r="C9" s="1">
        <v>0</v>
      </c>
      <c r="D9" s="1">
        <v>30649.818326687113</v>
      </c>
      <c r="E9" s="1">
        <v>0</v>
      </c>
      <c r="F9" s="1">
        <v>0</v>
      </c>
      <c r="G9" s="9">
        <f>SUM(AR_FINANCIAL)</f>
        <v>30649.818326687113</v>
      </c>
      <c r="I9" s="13"/>
      <c r="J9" s="16"/>
      <c r="L9" s="6">
        <v>84049</v>
      </c>
      <c r="M9" s="1">
        <v>0</v>
      </c>
      <c r="O9" s="1">
        <v>0</v>
      </c>
      <c r="P9" s="1">
        <v>0</v>
      </c>
      <c r="R9" s="1">
        <v>0</v>
      </c>
      <c r="S9" s="1">
        <v>0</v>
      </c>
      <c r="U9" s="1">
        <v>0</v>
      </c>
      <c r="V9" s="9">
        <v>0</v>
      </c>
    </row>
    <row r="10" spans="1:22">
      <c r="A10" s="1" t="s">
        <v>16</v>
      </c>
      <c r="B10" s="6">
        <v>0</v>
      </c>
      <c r="C10" s="1">
        <v>0</v>
      </c>
      <c r="D10" s="1">
        <v>185797.02671589699</v>
      </c>
      <c r="E10" s="1">
        <v>0</v>
      </c>
      <c r="F10" s="1">
        <v>0</v>
      </c>
      <c r="G10" s="9">
        <f>SUM(CA_FINANCIAL)</f>
        <v>185797.02671589699</v>
      </c>
      <c r="I10" s="13" t="s">
        <v>17</v>
      </c>
      <c r="J10" s="16">
        <v>11764659.76</v>
      </c>
      <c r="L10" s="6">
        <v>0</v>
      </c>
      <c r="M10" s="1">
        <v>0</v>
      </c>
      <c r="O10" s="1">
        <v>0</v>
      </c>
      <c r="P10" s="1">
        <v>0</v>
      </c>
      <c r="R10" s="1">
        <v>300000</v>
      </c>
      <c r="S10" s="1">
        <v>0</v>
      </c>
      <c r="U10" s="1">
        <v>0</v>
      </c>
      <c r="V10" s="9">
        <v>0</v>
      </c>
    </row>
    <row r="11" spans="1:22">
      <c r="A11" s="1" t="s">
        <v>18</v>
      </c>
      <c r="B11" s="6">
        <v>0</v>
      </c>
      <c r="C11" s="1">
        <v>0</v>
      </c>
      <c r="D11" s="1">
        <v>333519.42183768027</v>
      </c>
      <c r="E11" s="1">
        <v>0</v>
      </c>
      <c r="F11" s="1">
        <v>0</v>
      </c>
      <c r="G11" s="9">
        <f>SUM(CO_FINANCIAL)</f>
        <v>333519.42183768027</v>
      </c>
      <c r="I11" s="13"/>
      <c r="J11" s="16"/>
      <c r="L11" s="6">
        <v>0</v>
      </c>
      <c r="M11" s="1">
        <v>0</v>
      </c>
      <c r="O11" s="1">
        <v>0</v>
      </c>
      <c r="P11" s="1">
        <v>0</v>
      </c>
      <c r="R11" s="1">
        <v>481162</v>
      </c>
      <c r="S11" s="1">
        <v>816500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6431483.7800000003</v>
      </c>
      <c r="L13" s="6"/>
      <c r="V13" s="9"/>
    </row>
    <row r="14" spans="1:22">
      <c r="A14" s="1" t="s">
        <v>23</v>
      </c>
      <c r="B14" s="6">
        <v>0</v>
      </c>
      <c r="C14" s="1">
        <v>0</v>
      </c>
      <c r="D14" s="1">
        <v>0</v>
      </c>
      <c r="E14" s="1">
        <v>0</v>
      </c>
      <c r="F14" s="1">
        <v>0</v>
      </c>
      <c r="G14" s="9">
        <f>SUM(DC_FINANCIAL)</f>
        <v>0</v>
      </c>
      <c r="I14" s="13" t="s">
        <v>24</v>
      </c>
      <c r="J14" s="16">
        <v>935654.02</v>
      </c>
      <c r="L14" s="6"/>
      <c r="V14" s="9"/>
    </row>
    <row r="15" spans="1:22">
      <c r="A15" s="1" t="s">
        <v>25</v>
      </c>
      <c r="B15" s="6">
        <v>0</v>
      </c>
      <c r="C15" s="1">
        <v>0</v>
      </c>
      <c r="D15" s="1">
        <v>0</v>
      </c>
      <c r="E15" s="1">
        <v>0</v>
      </c>
      <c r="F15" s="1">
        <v>0</v>
      </c>
      <c r="G15" s="9">
        <f>SUM(FL_FINANCIAL)</f>
        <v>0</v>
      </c>
      <c r="I15" s="13" t="s">
        <v>26</v>
      </c>
      <c r="J15" s="16">
        <v>1100901.7899999996</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706.72059997408542</v>
      </c>
      <c r="E17" s="1">
        <v>0</v>
      </c>
      <c r="F17" s="1">
        <v>0</v>
      </c>
      <c r="G17" s="9">
        <f>SUM(HI_FINANCIAL)</f>
        <v>706.72059997408542</v>
      </c>
      <c r="I17" s="13"/>
      <c r="J17" s="16"/>
      <c r="L17" s="6"/>
      <c r="V17" s="9"/>
    </row>
    <row r="18" spans="1:22">
      <c r="A18" s="1" t="s">
        <v>30</v>
      </c>
      <c r="B18" s="6">
        <v>0</v>
      </c>
      <c r="C18" s="1">
        <v>0</v>
      </c>
      <c r="D18" s="1">
        <v>337071.42406979494</v>
      </c>
      <c r="E18" s="1">
        <v>0</v>
      </c>
      <c r="F18" s="1">
        <v>0</v>
      </c>
      <c r="G18" s="9">
        <f>SUM(ID_FINANCIAL)</f>
        <v>337071.42406979494</v>
      </c>
      <c r="I18" s="13" t="s">
        <v>31</v>
      </c>
      <c r="J18" s="16"/>
      <c r="L18" s="6">
        <v>22765</v>
      </c>
      <c r="M18" s="1">
        <v>0</v>
      </c>
      <c r="O18" s="1">
        <v>0</v>
      </c>
      <c r="P18" s="1">
        <v>0</v>
      </c>
      <c r="R18" s="1">
        <v>432235</v>
      </c>
      <c r="S18" s="1">
        <v>0</v>
      </c>
      <c r="U18" s="1">
        <v>0</v>
      </c>
      <c r="V18" s="9">
        <v>0</v>
      </c>
    </row>
    <row r="19" spans="1:22">
      <c r="A19" s="1" t="s">
        <v>32</v>
      </c>
      <c r="B19" s="6">
        <v>0</v>
      </c>
      <c r="C19" s="1">
        <v>0</v>
      </c>
      <c r="D19" s="1">
        <v>19290.615984832752</v>
      </c>
      <c r="E19" s="1">
        <v>0</v>
      </c>
      <c r="F19" s="1">
        <v>0</v>
      </c>
      <c r="G19" s="9">
        <f>SUM(IL_FINANCIAL)</f>
        <v>19290.615984832752</v>
      </c>
      <c r="I19" s="13" t="s">
        <v>33</v>
      </c>
      <c r="J19" s="16">
        <v>0</v>
      </c>
      <c r="L19" s="6">
        <v>0</v>
      </c>
      <c r="M19" s="1">
        <v>0</v>
      </c>
      <c r="O19" s="1">
        <v>0</v>
      </c>
      <c r="P19" s="1">
        <v>0</v>
      </c>
      <c r="R19" s="1">
        <v>140000</v>
      </c>
      <c r="S19" s="1">
        <v>0</v>
      </c>
      <c r="U19" s="1">
        <v>0</v>
      </c>
      <c r="V19" s="9">
        <v>0</v>
      </c>
    </row>
    <row r="20" spans="1:22">
      <c r="A20" s="1" t="s">
        <v>34</v>
      </c>
      <c r="B20" s="6">
        <v>0</v>
      </c>
      <c r="C20" s="1">
        <v>0</v>
      </c>
      <c r="D20" s="1">
        <v>2435.1780105400285</v>
      </c>
      <c r="E20" s="1">
        <v>0</v>
      </c>
      <c r="F20" s="1">
        <v>0</v>
      </c>
      <c r="G20" s="9">
        <f>SUM(IN_FINANCIAL)</f>
        <v>2435.1780105400285</v>
      </c>
      <c r="I20" s="13" t="s">
        <v>35</v>
      </c>
      <c r="J20" s="16">
        <v>6312722.7800000003</v>
      </c>
      <c r="L20" s="6"/>
      <c r="V20" s="9"/>
    </row>
    <row r="21" spans="1:22">
      <c r="A21" s="1" t="s">
        <v>36</v>
      </c>
      <c r="B21" s="6">
        <v>0</v>
      </c>
      <c r="C21" s="1">
        <v>0</v>
      </c>
      <c r="D21" s="1">
        <v>654216.63693063695</v>
      </c>
      <c r="E21" s="1">
        <v>0</v>
      </c>
      <c r="F21" s="1">
        <v>0</v>
      </c>
      <c r="G21" s="9">
        <f>SUM(IA_FINANCIAL)</f>
        <v>654216.63693063695</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3522084.73</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10397891.839999998</v>
      </c>
      <c r="L26" s="6"/>
      <c r="V26" s="9"/>
    </row>
    <row r="27" spans="1:22">
      <c r="A27" s="1" t="s">
        <v>47</v>
      </c>
      <c r="B27" s="6">
        <v>0</v>
      </c>
      <c r="C27" s="1">
        <v>0</v>
      </c>
      <c r="D27" s="1">
        <v>0</v>
      </c>
      <c r="E27" s="1">
        <v>0</v>
      </c>
      <c r="F27" s="1">
        <v>0</v>
      </c>
      <c r="G27" s="9">
        <f>SUM(MA_FINANCIAL)</f>
        <v>0</v>
      </c>
      <c r="I27" s="13" t="s">
        <v>48</v>
      </c>
      <c r="J27" s="16">
        <f>SUM(ALL_BLOCKS)</f>
        <v>10397891.84</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57996.017075917378</v>
      </c>
      <c r="E30" s="1">
        <v>0</v>
      </c>
      <c r="F30" s="1">
        <v>0</v>
      </c>
      <c r="G30" s="9">
        <f>SUM(MS_FINANCIAL)</f>
        <v>57996.017075917378</v>
      </c>
      <c r="L30" s="6"/>
      <c r="V30" s="9"/>
    </row>
    <row r="31" spans="1:22">
      <c r="A31" s="1" t="s">
        <v>52</v>
      </c>
      <c r="B31" s="6">
        <v>0</v>
      </c>
      <c r="C31" s="1">
        <v>0</v>
      </c>
      <c r="D31" s="1">
        <v>209856.08800398803</v>
      </c>
      <c r="E31" s="1">
        <v>0</v>
      </c>
      <c r="F31" s="1">
        <v>0</v>
      </c>
      <c r="G31" s="9">
        <f>SUM(MO_FINANCIAL)</f>
        <v>209856.08800398803</v>
      </c>
      <c r="L31" s="6"/>
      <c r="V31" s="9"/>
    </row>
    <row r="32" spans="1:22">
      <c r="A32" s="1" t="s">
        <v>53</v>
      </c>
      <c r="B32" s="6">
        <v>0</v>
      </c>
      <c r="C32" s="1">
        <v>0</v>
      </c>
      <c r="D32" s="1">
        <v>193978.75165535181</v>
      </c>
      <c r="E32" s="1">
        <v>0</v>
      </c>
      <c r="F32" s="1">
        <v>0</v>
      </c>
      <c r="G32" s="9">
        <f>SUM(MT_FINANCIAL)</f>
        <v>193978.75165535181</v>
      </c>
      <c r="L32" s="6">
        <v>0</v>
      </c>
      <c r="M32" s="1">
        <v>0</v>
      </c>
      <c r="O32" s="1">
        <v>0</v>
      </c>
      <c r="P32" s="1">
        <v>0</v>
      </c>
      <c r="R32" s="1">
        <v>315000</v>
      </c>
      <c r="S32" s="1">
        <v>0</v>
      </c>
      <c r="U32" s="1">
        <v>0</v>
      </c>
      <c r="V32" s="9">
        <v>0</v>
      </c>
    </row>
    <row r="33" spans="1:22">
      <c r="A33" s="1" t="s">
        <v>54</v>
      </c>
      <c r="B33" s="6">
        <v>0</v>
      </c>
      <c r="C33" s="1">
        <v>0</v>
      </c>
      <c r="D33" s="1">
        <v>233381.29380040528</v>
      </c>
      <c r="E33" s="1">
        <v>0</v>
      </c>
      <c r="F33" s="1">
        <v>0</v>
      </c>
      <c r="G33" s="9">
        <f>SUM(NE_FINANCIAL)</f>
        <v>233381.29380040528</v>
      </c>
      <c r="L33" s="6"/>
      <c r="V33" s="9"/>
    </row>
    <row r="34" spans="1:22">
      <c r="A34" s="1" t="s">
        <v>55</v>
      </c>
      <c r="B34" s="6">
        <v>0</v>
      </c>
      <c r="C34" s="1">
        <v>0</v>
      </c>
      <c r="D34" s="1">
        <v>80866.740390233303</v>
      </c>
      <c r="E34" s="1">
        <v>0</v>
      </c>
      <c r="F34" s="1">
        <v>0</v>
      </c>
      <c r="G34" s="9">
        <f>SUM(NV_FINANCIAL)</f>
        <v>80866.740390233303</v>
      </c>
      <c r="L34" s="6">
        <v>0</v>
      </c>
      <c r="M34" s="1">
        <v>0</v>
      </c>
      <c r="O34" s="1">
        <v>0</v>
      </c>
      <c r="P34" s="1">
        <v>0</v>
      </c>
      <c r="R34" s="1">
        <v>100000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1294.1615134726671</v>
      </c>
      <c r="E37" s="1">
        <v>0</v>
      </c>
      <c r="F37" s="1">
        <v>0</v>
      </c>
      <c r="G37" s="9">
        <f>SUM(NM_FINANCIAL)</f>
        <v>1294.1615134726671</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13034.122079405886</v>
      </c>
      <c r="E40" s="1">
        <v>0</v>
      </c>
      <c r="F40" s="1">
        <v>0</v>
      </c>
      <c r="G40" s="9">
        <f>SUM(ND_FINANCIAL)</f>
        <v>13034.122079405886</v>
      </c>
      <c r="L40" s="6">
        <v>0</v>
      </c>
      <c r="M40" s="1">
        <v>0</v>
      </c>
      <c r="O40" s="1">
        <v>5000</v>
      </c>
      <c r="P40" s="1">
        <v>0</v>
      </c>
      <c r="R40" s="1">
        <v>14400</v>
      </c>
      <c r="S40" s="1">
        <v>0</v>
      </c>
      <c r="U40" s="1">
        <v>0</v>
      </c>
      <c r="V40" s="9">
        <v>0</v>
      </c>
    </row>
    <row r="41" spans="1:22">
      <c r="A41" s="1" t="s">
        <v>62</v>
      </c>
      <c r="B41" s="6">
        <v>0</v>
      </c>
      <c r="C41" s="1">
        <v>0</v>
      </c>
      <c r="D41" s="1">
        <v>5530.5652873698336</v>
      </c>
      <c r="E41" s="1">
        <v>0</v>
      </c>
      <c r="F41" s="1">
        <v>0</v>
      </c>
      <c r="G41" s="9">
        <f>SUM(OH_FINANCIAL)</f>
        <v>5530.5652873698336</v>
      </c>
      <c r="L41" s="6"/>
      <c r="V41" s="9"/>
    </row>
    <row r="42" spans="1:22">
      <c r="A42" s="1" t="s">
        <v>63</v>
      </c>
      <c r="B42" s="6">
        <v>0</v>
      </c>
      <c r="C42" s="1">
        <v>0</v>
      </c>
      <c r="D42" s="1">
        <v>21333.662700766145</v>
      </c>
      <c r="E42" s="1">
        <v>0</v>
      </c>
      <c r="F42" s="1">
        <v>0</v>
      </c>
      <c r="G42" s="9">
        <f>SUM(OK_FINANCIAL)</f>
        <v>21333.662700766145</v>
      </c>
      <c r="L42" s="6">
        <v>6000</v>
      </c>
      <c r="M42" s="1">
        <v>0</v>
      </c>
      <c r="O42" s="1">
        <v>0</v>
      </c>
      <c r="P42" s="1">
        <v>0</v>
      </c>
      <c r="R42" s="1">
        <v>114000</v>
      </c>
      <c r="S42" s="1">
        <v>0</v>
      </c>
      <c r="U42" s="1">
        <v>0</v>
      </c>
      <c r="V42" s="9">
        <v>0</v>
      </c>
    </row>
    <row r="43" spans="1:22">
      <c r="A43" s="1" t="s">
        <v>64</v>
      </c>
      <c r="B43" s="6">
        <v>0</v>
      </c>
      <c r="C43" s="1">
        <v>0</v>
      </c>
      <c r="D43" s="1">
        <v>396541.02101182332</v>
      </c>
      <c r="E43" s="1">
        <v>0</v>
      </c>
      <c r="F43" s="1">
        <v>0</v>
      </c>
      <c r="G43" s="9">
        <f>SUM(OR_FINANCIAL)</f>
        <v>396541.02101182332</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7773.6119689516781</v>
      </c>
      <c r="E48" s="1">
        <v>0</v>
      </c>
      <c r="F48" s="1">
        <v>0</v>
      </c>
      <c r="G48" s="9">
        <f>SUM(SD_FINANCIAL)</f>
        <v>7773.6119689516781</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299202.70400169643</v>
      </c>
      <c r="E50" s="1">
        <v>0</v>
      </c>
      <c r="F50" s="1">
        <v>0</v>
      </c>
      <c r="G50" s="9">
        <f>SUM(TX_FINANCIAL)</f>
        <v>299202.70400169643</v>
      </c>
      <c r="L50" s="6">
        <v>9502</v>
      </c>
      <c r="M50" s="1">
        <v>718.197</v>
      </c>
      <c r="O50" s="1">
        <v>0</v>
      </c>
      <c r="P50" s="1">
        <v>0</v>
      </c>
      <c r="R50" s="1">
        <v>465584</v>
      </c>
      <c r="S50" s="1">
        <v>35191.652999999998</v>
      </c>
      <c r="U50" s="1">
        <v>0</v>
      </c>
      <c r="V50" s="9">
        <v>0</v>
      </c>
    </row>
    <row r="51" spans="1:22">
      <c r="A51" s="1" t="s">
        <v>72</v>
      </c>
      <c r="B51" s="6">
        <v>0</v>
      </c>
      <c r="C51" s="1">
        <v>0</v>
      </c>
      <c r="D51" s="1">
        <v>0.87559052179130958</v>
      </c>
      <c r="E51" s="1">
        <v>0</v>
      </c>
      <c r="F51" s="1">
        <v>0</v>
      </c>
      <c r="G51" s="9">
        <f>SUM(UT_FINANCIAL)</f>
        <v>0.87559052179130958</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7263457.1707551815</v>
      </c>
      <c r="E54" s="1">
        <v>0</v>
      </c>
      <c r="F54" s="1">
        <v>0</v>
      </c>
      <c r="G54" s="9">
        <f>SUM(WA_FINANCIAL)</f>
        <v>7263457.1707551815</v>
      </c>
      <c r="L54" s="6">
        <v>0</v>
      </c>
      <c r="M54" s="1">
        <v>0</v>
      </c>
      <c r="O54" s="1">
        <v>0</v>
      </c>
      <c r="P54" s="1">
        <v>0</v>
      </c>
      <c r="R54" s="1">
        <v>5225000</v>
      </c>
      <c r="S54" s="1">
        <v>0</v>
      </c>
      <c r="U54" s="1">
        <v>0</v>
      </c>
      <c r="V54" s="9">
        <v>0</v>
      </c>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28150.406740119681</v>
      </c>
      <c r="E57" s="1">
        <v>0</v>
      </c>
      <c r="F57" s="1">
        <v>0</v>
      </c>
      <c r="G57" s="9">
        <f>SUM(WY_FINANCIAL)</f>
        <v>28150.406740119681</v>
      </c>
      <c r="L57" s="6">
        <v>0</v>
      </c>
      <c r="M57" s="1">
        <v>0</v>
      </c>
      <c r="O57" s="1">
        <v>0</v>
      </c>
      <c r="P57" s="1">
        <v>0</v>
      </c>
      <c r="R57" s="1">
        <v>50000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10397891.84</v>
      </c>
      <c r="E60" s="1">
        <f>SUM(UNALLOCATED)</f>
        <v>0</v>
      </c>
      <c r="F60" s="1">
        <f>SUM(LTC)</f>
        <v>0</v>
      </c>
      <c r="G60" s="9">
        <f>SUM(ALL_BLOCKS)</f>
        <v>10397891.84</v>
      </c>
      <c r="L60" s="6">
        <f>SUM(LIFE_CALLED)</f>
        <v>122316</v>
      </c>
      <c r="M60" s="1">
        <f>SUM(LIFE_REFUNDED)</f>
        <v>718.197</v>
      </c>
      <c r="O60" s="1">
        <f>SUM(ALLOC_CALLED)</f>
        <v>5000</v>
      </c>
      <c r="P60" s="1">
        <f>SUM(ALLOC_REFUNDED)</f>
        <v>0</v>
      </c>
      <c r="R60" s="1">
        <f>SUM(HEALTH_CALLED)</f>
        <v>7662381</v>
      </c>
      <c r="S60" s="1">
        <f>SUM(HEALTH_REFUNDED)</f>
        <v>851691.65300000005</v>
      </c>
      <c r="U60" s="1">
        <f>SUM(UNALLOC_CALLED)</f>
        <v>0</v>
      </c>
      <c r="V60" s="9">
        <f>SUM(UNALLOC_REFUNDED)</f>
        <v>0</v>
      </c>
    </row>
    <row r="61" spans="1:22" ht="5.0999999999999996" customHeight="1">
      <c r="B61" s="6"/>
      <c r="G61" s="9"/>
      <c r="L61" s="6"/>
      <c r="V61" s="9"/>
    </row>
    <row r="62" spans="1:22">
      <c r="B62" s="6"/>
      <c r="G62" s="9"/>
      <c r="L62" s="113" t="s">
        <v>80</v>
      </c>
      <c r="M62" s="114"/>
      <c r="N62" s="114"/>
      <c r="O62" s="114"/>
      <c r="P62" s="114"/>
      <c r="Q62" s="114"/>
      <c r="R62" s="114"/>
      <c r="S62" s="114"/>
      <c r="T62" s="114"/>
      <c r="U62" s="114"/>
      <c r="V62" s="115"/>
    </row>
    <row r="63" spans="1:22">
      <c r="B63" s="6"/>
      <c r="G63" s="9"/>
      <c r="L63" s="116"/>
      <c r="M63" s="114"/>
      <c r="N63" s="114"/>
      <c r="O63" s="114"/>
      <c r="P63" s="114"/>
      <c r="Q63" s="114"/>
      <c r="R63" s="114"/>
      <c r="S63" s="114"/>
      <c r="T63" s="114"/>
      <c r="U63" s="114"/>
      <c r="V63" s="115"/>
    </row>
    <row r="64" spans="1:22">
      <c r="B64" s="8"/>
      <c r="C64" s="5"/>
      <c r="D64" s="5"/>
      <c r="E64" s="5"/>
      <c r="F64" s="5"/>
      <c r="G64" s="11"/>
      <c r="L64" s="117"/>
      <c r="M64" s="118"/>
      <c r="N64" s="118"/>
      <c r="O64" s="118"/>
      <c r="P64" s="118"/>
      <c r="Q64" s="118"/>
      <c r="R64" s="118"/>
      <c r="S64" s="118"/>
      <c r="T64" s="118"/>
      <c r="U64" s="118"/>
      <c r="V64" s="119"/>
    </row>
  </sheetData>
  <mergeCells count="8">
    <mergeCell ref="L62:V64"/>
    <mergeCell ref="A1:G1"/>
    <mergeCell ref="B3:G3"/>
    <mergeCell ref="L3:V3"/>
    <mergeCell ref="L4:M4"/>
    <mergeCell ref="O4:P4"/>
    <mergeCell ref="R4:S4"/>
    <mergeCell ref="U4:V4"/>
  </mergeCells>
  <pageMargins left="0" right="0"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1f2a6f5-faa7-4b34-97df-5db05bd8e340">
      <Terms xmlns="http://schemas.microsoft.com/office/infopath/2007/PartnerControls"/>
    </lcf76f155ced4ddcb4097134ff3c332f>
    <TaxCatchAll xmlns="b67778c5-455f-4c56-bb7b-08121c0e2e2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3D771F4A956BD44A24C48D3F81E02BE" ma:contentTypeVersion="14" ma:contentTypeDescription="Create a new document." ma:contentTypeScope="" ma:versionID="a6ca2a0ea65fe9916535e7dd0d40479c">
  <xsd:schema xmlns:xsd="http://www.w3.org/2001/XMLSchema" xmlns:xs="http://www.w3.org/2001/XMLSchema" xmlns:p="http://schemas.microsoft.com/office/2006/metadata/properties" xmlns:ns2="21f2a6f5-faa7-4b34-97df-5db05bd8e340" xmlns:ns3="b67778c5-455f-4c56-bb7b-08121c0e2e25" targetNamespace="http://schemas.microsoft.com/office/2006/metadata/properties" ma:root="true" ma:fieldsID="ecf255a6e062755966bb83be2efb83cb" ns2:_="" ns3:_="">
    <xsd:import namespace="21f2a6f5-faa7-4b34-97df-5db05bd8e340"/>
    <xsd:import namespace="b67778c5-455f-4c56-bb7b-08121c0e2e2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f2a6f5-faa7-4b34-97df-5db05bd8e3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7f727472-1d1b-468c-a2e0-260083959c79"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67778c5-455f-4c56-bb7b-08121c0e2e2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fe6c0eb9-b8bb-4da9-81e1-0821469cb5e4}" ma:internalName="TaxCatchAll" ma:showField="CatchAllData" ma:web="b67778c5-455f-4c56-bb7b-08121c0e2e2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E1D7CC-1A3A-4297-9B6D-D91098AD121D}">
  <ds:schemaRefs>
    <ds:schemaRef ds:uri="http://schemas.microsoft.com/office/2006/metadata/properties"/>
    <ds:schemaRef ds:uri="http://schemas.microsoft.com/office/infopath/2007/PartnerControls"/>
    <ds:schemaRef ds:uri="21f2a6f5-faa7-4b34-97df-5db05bd8e340"/>
    <ds:schemaRef ds:uri="b67778c5-455f-4c56-bb7b-08121c0e2e25"/>
  </ds:schemaRefs>
</ds:datastoreItem>
</file>

<file path=customXml/itemProps2.xml><?xml version="1.0" encoding="utf-8"?>
<ds:datastoreItem xmlns:ds="http://schemas.openxmlformats.org/officeDocument/2006/customXml" ds:itemID="{80E15545-EDA3-4588-A41D-284DC2E089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f2a6f5-faa7-4b34-97df-5db05bd8e340"/>
    <ds:schemaRef ds:uri="b67778c5-455f-4c56-bb7b-08121c0e2e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F5D678A-3256-4E0E-99A0-94EFF35EE7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108</vt:i4>
      </vt:variant>
      <vt:variant>
        <vt:lpstr>Named Ranges</vt:lpstr>
      </vt:variant>
      <vt:variant>
        <vt:i4>7193</vt:i4>
      </vt:variant>
    </vt:vector>
  </HeadingPairs>
  <TitlesOfParts>
    <vt:vector size="7301" baseType="lpstr">
      <vt:lpstr>Alabama Life</vt:lpstr>
      <vt:lpstr>American Chambers</vt:lpstr>
      <vt:lpstr>American Community</vt:lpstr>
      <vt:lpstr>American Educators</vt:lpstr>
      <vt:lpstr>American Integrity</vt:lpstr>
      <vt:lpstr>Amer Life Asr</vt:lpstr>
      <vt:lpstr>American Medical</vt:lpstr>
      <vt:lpstr>American Network</vt:lpstr>
      <vt:lpstr>Amer Std Life Acc</vt:lpstr>
      <vt:lpstr>AmerWstrn</vt:lpstr>
      <vt:lpstr>AMS Life</vt:lpstr>
      <vt:lpstr>Andrew Jackson</vt:lpstr>
      <vt:lpstr>Bankers Commercial</vt:lpstr>
      <vt:lpstr>Bankers Life</vt:lpstr>
      <vt:lpstr>Benicorp</vt:lpstr>
      <vt:lpstr>Booker T Washington</vt:lpstr>
      <vt:lpstr>Centennial</vt:lpstr>
      <vt:lpstr>Coastal States</vt:lpstr>
      <vt:lpstr>CO Bankers</vt:lpstr>
      <vt:lpstr>Colorado Health</vt:lpstr>
      <vt:lpstr>Compass (dbs Meritus)</vt:lpstr>
      <vt:lpstr>Confed Life &amp; Annty (CLIAC)</vt:lpstr>
      <vt:lpstr>Confed Life (CLIC)</vt:lpstr>
      <vt:lpstr>Consolidated National</vt:lpstr>
      <vt:lpstr>Consumers Choice</vt:lpstr>
      <vt:lpstr>Consumers Mutual</vt:lpstr>
      <vt:lpstr>Consumers United</vt:lpstr>
      <vt:lpstr>CoOportunity</vt:lpstr>
      <vt:lpstr>Coordinated Hlth</vt:lpstr>
      <vt:lpstr>Corporate Life</vt:lpstr>
      <vt:lpstr>Diamond Benefits</vt:lpstr>
      <vt:lpstr>EBL Life</vt:lpstr>
      <vt:lpstr>Executive Life</vt:lpstr>
      <vt:lpstr>ELNY</vt:lpstr>
      <vt:lpstr>Family Guaranty</vt:lpstr>
      <vt:lpstr>Farmers &amp; Ranchers</vt:lpstr>
      <vt:lpstr>Fidelity Bankers</vt:lpstr>
      <vt:lpstr>Fidelity Mutual</vt:lpstr>
      <vt:lpstr>First Capital</vt:lpstr>
      <vt:lpstr>First Natl</vt:lpstr>
      <vt:lpstr>First Natl (Thrnr)</vt:lpstr>
      <vt:lpstr>Franklin American</vt:lpstr>
      <vt:lpstr>Franklin Protective</vt:lpstr>
      <vt:lpstr>Freelancers CO-OP</vt:lpstr>
      <vt:lpstr>Freestone</vt:lpstr>
      <vt:lpstr>George Washington</vt:lpstr>
      <vt:lpstr>Golden State</vt:lpstr>
      <vt:lpstr>Guarantee Security</vt:lpstr>
      <vt:lpstr>HealthyCT</vt:lpstr>
      <vt:lpstr>Imerica</vt:lpstr>
      <vt:lpstr>Inter-American</vt:lpstr>
      <vt:lpstr>International Fin</vt:lpstr>
      <vt:lpstr>Investment Life of America</vt:lpstr>
      <vt:lpstr>Investors Equity</vt:lpstr>
      <vt:lpstr>Kentucky Central</vt:lpstr>
      <vt:lpstr>Land of Lincoln</vt:lpstr>
      <vt:lpstr>Legion</vt:lpstr>
      <vt:lpstr>Life Health America</vt:lpstr>
      <vt:lpstr>Lincoln Memorial</vt:lpstr>
      <vt:lpstr>London Pac</vt:lpstr>
      <vt:lpstr>Lumbermens</vt:lpstr>
      <vt:lpstr>Medical Savings</vt:lpstr>
      <vt:lpstr>Memorial Service</vt:lpstr>
      <vt:lpstr>Midcontinent</vt:lpstr>
      <vt:lpstr>Midwest Life</vt:lpstr>
      <vt:lpstr>Monarch Life</vt:lpstr>
      <vt:lpstr>Mutual Benefit</vt:lpstr>
      <vt:lpstr>Mutual Security</vt:lpstr>
      <vt:lpstr>National Affiliated</vt:lpstr>
      <vt:lpstr>Natl American</vt:lpstr>
      <vt:lpstr>National Heritage</vt:lpstr>
      <vt:lpstr>National States</vt:lpstr>
      <vt:lpstr>New Jersey Life</vt:lpstr>
      <vt:lpstr>North Carolina Mutual</vt:lpstr>
      <vt:lpstr>NNIC</vt:lpstr>
      <vt:lpstr>Old Colony Life</vt:lpstr>
      <vt:lpstr>Old Faithful</vt:lpstr>
      <vt:lpstr>Pacific Standard</vt:lpstr>
      <vt:lpstr>Pavonia Life</vt:lpstr>
      <vt:lpstr>Pen  Treaty</vt:lpstr>
      <vt:lpstr>Red Rock</vt:lpstr>
      <vt:lpstr>Reliance</vt:lpstr>
      <vt:lpstr>SeeChange</vt:lpstr>
      <vt:lpstr>Senior American</vt:lpstr>
      <vt:lpstr>Settlers</vt:lpstr>
      <vt:lpstr>Shenandoah</vt:lpstr>
      <vt:lpstr>Southland National Life</vt:lpstr>
      <vt:lpstr>Standard Life IN</vt:lpstr>
      <vt:lpstr>States General</vt:lpstr>
      <vt:lpstr>Statesman</vt:lpstr>
      <vt:lpstr>Summit National</vt:lpstr>
      <vt:lpstr>Supreme</vt:lpstr>
      <vt:lpstr>Time</vt:lpstr>
      <vt:lpstr>Underwriters</vt:lpstr>
      <vt:lpstr>Unison</vt:lpstr>
      <vt:lpstr>United Republic</vt:lpstr>
      <vt:lpstr>Universal Health Care</vt:lpstr>
      <vt:lpstr>Universal Life</vt:lpstr>
      <vt:lpstr>Universe</vt:lpstr>
      <vt:lpstr>Villanova</vt:lpstr>
      <vt:lpstr>Summary</vt:lpstr>
      <vt:lpstr>Pre-Liquidation Summary</vt:lpstr>
      <vt:lpstr>Open Summary</vt:lpstr>
      <vt:lpstr>Closed Summary</vt:lpstr>
      <vt:lpstr>Estate Closed Summary</vt:lpstr>
      <vt:lpstr>Released from Oversight Summary</vt:lpstr>
      <vt:lpstr>Total Summary</vt:lpstr>
      <vt:lpstr>Assessable Premiums</vt:lpstr>
      <vt:lpstr>'Alabama Life'!ADD_FINANCIAL</vt:lpstr>
      <vt:lpstr>'Amer Life Asr'!ADD_FINANCIAL</vt:lpstr>
      <vt:lpstr>'Amer Std Life Acc'!ADD_FINANCIAL</vt:lpstr>
      <vt:lpstr>'American Chambers'!ADD_FINANCIAL</vt:lpstr>
      <vt:lpstr>'American Community'!ADD_FINANCIAL</vt:lpstr>
      <vt:lpstr>'American Educators'!ADD_FINANCIAL</vt:lpstr>
      <vt:lpstr>'American Integrity'!ADD_FINANCIAL</vt:lpstr>
      <vt:lpstr>'American Medical'!ADD_FINANCIAL</vt:lpstr>
      <vt:lpstr>'American Network'!ADD_FINANCIAL</vt:lpstr>
      <vt:lpstr>AmerWstrn!ADD_FINANCIAL</vt:lpstr>
      <vt:lpstr>'AMS Life'!ADD_FINANCIAL</vt:lpstr>
      <vt:lpstr>'Andrew Jackson'!ADD_FINANCIAL</vt:lpstr>
      <vt:lpstr>'Bankers Commercial'!ADD_FINANCIAL</vt:lpstr>
      <vt:lpstr>'Bankers Life'!ADD_FINANCIAL</vt:lpstr>
      <vt:lpstr>Benicorp!ADD_FINANCIAL</vt:lpstr>
      <vt:lpstr>'Booker T Washington'!ADD_FINANCIAL</vt:lpstr>
      <vt:lpstr>Centennial!ADD_FINANCIAL</vt:lpstr>
      <vt:lpstr>'CO Bankers'!ADD_FINANCIAL</vt:lpstr>
      <vt:lpstr>'Coastal States'!ADD_FINANCIAL</vt:lpstr>
      <vt:lpstr>'Colorado Health'!ADD_FINANCIAL</vt:lpstr>
      <vt:lpstr>'Compass (dbs Meritus)'!ADD_FINANCIAL</vt:lpstr>
      <vt:lpstr>'Confed Life &amp; Annty (CLIAC)'!ADD_FINANCIAL</vt:lpstr>
      <vt:lpstr>'Confed Life (CLIC)'!ADD_FINANCIAL</vt:lpstr>
      <vt:lpstr>'Consolidated National'!ADD_FINANCIAL</vt:lpstr>
      <vt:lpstr>'Consumers Choice'!ADD_FINANCIAL</vt:lpstr>
      <vt:lpstr>'Consumers Mutual'!ADD_FINANCIAL</vt:lpstr>
      <vt:lpstr>'Consumers United'!ADD_FINANCIAL</vt:lpstr>
      <vt:lpstr>CoOportunity!ADD_FINANCIAL</vt:lpstr>
      <vt:lpstr>'Coordinated Hlth'!ADD_FINANCIAL</vt:lpstr>
      <vt:lpstr>'Corporate Life'!ADD_FINANCIAL</vt:lpstr>
      <vt:lpstr>'Diamond Benefits'!ADD_FINANCIAL</vt:lpstr>
      <vt:lpstr>'EBL Life'!ADD_FINANCIAL</vt:lpstr>
      <vt:lpstr>ELNY!ADD_FINANCIAL</vt:lpstr>
      <vt:lpstr>'Executive Life'!ADD_FINANCIAL</vt:lpstr>
      <vt:lpstr>'Family Guaranty'!ADD_FINANCIAL</vt:lpstr>
      <vt:lpstr>'Farmers &amp; Ranchers'!ADD_FINANCIAL</vt:lpstr>
      <vt:lpstr>'Fidelity Bankers'!ADD_FINANCIAL</vt:lpstr>
      <vt:lpstr>'Fidelity Mutual'!ADD_FINANCIAL</vt:lpstr>
      <vt:lpstr>'First Capital'!ADD_FINANCIAL</vt:lpstr>
      <vt:lpstr>'First Natl'!ADD_FINANCIAL</vt:lpstr>
      <vt:lpstr>'First Natl (Thrnr)'!ADD_FINANCIAL</vt:lpstr>
      <vt:lpstr>'Franklin American'!ADD_FINANCIAL</vt:lpstr>
      <vt:lpstr>'Franklin Protective'!ADD_FINANCIAL</vt:lpstr>
      <vt:lpstr>'Freelancers CO-OP'!ADD_FINANCIAL</vt:lpstr>
      <vt:lpstr>Freestone!ADD_FINANCIAL</vt:lpstr>
      <vt:lpstr>'George Washington'!ADD_FINANCIAL</vt:lpstr>
      <vt:lpstr>'Golden State'!ADD_FINANCIAL</vt:lpstr>
      <vt:lpstr>'Guarantee Security'!ADD_FINANCIAL</vt:lpstr>
      <vt:lpstr>HealthyCT!ADD_FINANCIAL</vt:lpstr>
      <vt:lpstr>Imerica!ADD_FINANCIAL</vt:lpstr>
      <vt:lpstr>'Inter-American'!ADD_FINANCIAL</vt:lpstr>
      <vt:lpstr>'International Fin'!ADD_FINANCIAL</vt:lpstr>
      <vt:lpstr>'Investment Life of America'!ADD_FINANCIAL</vt:lpstr>
      <vt:lpstr>'Investors Equity'!ADD_FINANCIAL</vt:lpstr>
      <vt:lpstr>'Kentucky Central'!ADD_FINANCIAL</vt:lpstr>
      <vt:lpstr>'Land of Lincoln'!ADD_FINANCIAL</vt:lpstr>
      <vt:lpstr>Legion!ADD_FINANCIAL</vt:lpstr>
      <vt:lpstr>'Life Health America'!ADD_FINANCIAL</vt:lpstr>
      <vt:lpstr>'Lincoln Memorial'!ADD_FINANCIAL</vt:lpstr>
      <vt:lpstr>'London Pac'!ADD_FINANCIAL</vt:lpstr>
      <vt:lpstr>Lumbermens!ADD_FINANCIAL</vt:lpstr>
      <vt:lpstr>'Medical Savings'!ADD_FINANCIAL</vt:lpstr>
      <vt:lpstr>'Memorial Service'!ADD_FINANCIAL</vt:lpstr>
      <vt:lpstr>Midcontinent!ADD_FINANCIAL</vt:lpstr>
      <vt:lpstr>'Midwest Life'!ADD_FINANCIAL</vt:lpstr>
      <vt:lpstr>'Monarch Life'!ADD_FINANCIAL</vt:lpstr>
      <vt:lpstr>'Mutual Benefit'!ADD_FINANCIAL</vt:lpstr>
      <vt:lpstr>'Mutual Security'!ADD_FINANCIAL</vt:lpstr>
      <vt:lpstr>'National Affiliated'!ADD_FINANCIAL</vt:lpstr>
      <vt:lpstr>'National Heritage'!ADD_FINANCIAL</vt:lpstr>
      <vt:lpstr>'National States'!ADD_FINANCIAL</vt:lpstr>
      <vt:lpstr>'Natl American'!ADD_FINANCIAL</vt:lpstr>
      <vt:lpstr>'New Jersey Life'!ADD_FINANCIAL</vt:lpstr>
      <vt:lpstr>NNIC!ADD_FINANCIAL</vt:lpstr>
      <vt:lpstr>'North Carolina Mutual'!ADD_FINANCIAL</vt:lpstr>
      <vt:lpstr>'Old Colony Life'!ADD_FINANCIAL</vt:lpstr>
      <vt:lpstr>'Old Faithful'!ADD_FINANCIAL</vt:lpstr>
      <vt:lpstr>'Pacific Standard'!ADD_FINANCIAL</vt:lpstr>
      <vt:lpstr>'Pavonia Life'!ADD_FINANCIAL</vt:lpstr>
      <vt:lpstr>'Pen  Treaty'!ADD_FINANCIAL</vt:lpstr>
      <vt:lpstr>'Red Rock'!ADD_FINANCIAL</vt:lpstr>
      <vt:lpstr>Reliance!ADD_FINANCIAL</vt:lpstr>
      <vt:lpstr>SeeChange!ADD_FINANCIAL</vt:lpstr>
      <vt:lpstr>'Senior American'!ADD_FINANCIAL</vt:lpstr>
      <vt:lpstr>Settlers!ADD_FINANCIAL</vt:lpstr>
      <vt:lpstr>Shenandoah!ADD_FINANCIAL</vt:lpstr>
      <vt:lpstr>'Southland National Life'!ADD_FINANCIAL</vt:lpstr>
      <vt:lpstr>'Standard Life IN'!ADD_FINANCIAL</vt:lpstr>
      <vt:lpstr>'States General'!ADD_FINANCIAL</vt:lpstr>
      <vt:lpstr>Statesman!ADD_FINANCIAL</vt:lpstr>
      <vt:lpstr>'Summit National'!ADD_FINANCIAL</vt:lpstr>
      <vt:lpstr>Supreme!ADD_FINANCIAL</vt:lpstr>
      <vt:lpstr>Time!ADD_FINANCIAL</vt:lpstr>
      <vt:lpstr>Underwriters!ADD_FINANCIAL</vt:lpstr>
      <vt:lpstr>Unison!ADD_FINANCIAL</vt:lpstr>
      <vt:lpstr>'United Republic'!ADD_FINANCIAL</vt:lpstr>
      <vt:lpstr>'Universal Health Care'!ADD_FINANCIAL</vt:lpstr>
      <vt:lpstr>'Universal Life'!ADD_FINANCIAL</vt:lpstr>
      <vt:lpstr>Universe!ADD_FINANCIAL</vt:lpstr>
      <vt:lpstr>Villanova!ADD_FINANCIAL</vt:lpstr>
      <vt:lpstr>'Alabama Life'!AK_FINANCIAL</vt:lpstr>
      <vt:lpstr>'Amer Life Asr'!AK_FINANCIAL</vt:lpstr>
      <vt:lpstr>'Amer Std Life Acc'!AK_FINANCIAL</vt:lpstr>
      <vt:lpstr>'American Chambers'!AK_FINANCIAL</vt:lpstr>
      <vt:lpstr>'American Community'!AK_FINANCIAL</vt:lpstr>
      <vt:lpstr>'American Educators'!AK_FINANCIAL</vt:lpstr>
      <vt:lpstr>'American Integrity'!AK_FINANCIAL</vt:lpstr>
      <vt:lpstr>'American Medical'!AK_FINANCIAL</vt:lpstr>
      <vt:lpstr>'American Network'!AK_FINANCIAL</vt:lpstr>
      <vt:lpstr>AmerWstrn!AK_FINANCIAL</vt:lpstr>
      <vt:lpstr>'AMS Life'!AK_FINANCIAL</vt:lpstr>
      <vt:lpstr>'Andrew Jackson'!AK_FINANCIAL</vt:lpstr>
      <vt:lpstr>'Bankers Commercial'!AK_FINANCIAL</vt:lpstr>
      <vt:lpstr>'Bankers Life'!AK_FINANCIAL</vt:lpstr>
      <vt:lpstr>Benicorp!AK_FINANCIAL</vt:lpstr>
      <vt:lpstr>'Booker T Washington'!AK_FINANCIAL</vt:lpstr>
      <vt:lpstr>Centennial!AK_FINANCIAL</vt:lpstr>
      <vt:lpstr>'CO Bankers'!AK_FINANCIAL</vt:lpstr>
      <vt:lpstr>'Coastal States'!AK_FINANCIAL</vt:lpstr>
      <vt:lpstr>'Colorado Health'!AK_FINANCIAL</vt:lpstr>
      <vt:lpstr>'Compass (dbs Meritus)'!AK_FINANCIAL</vt:lpstr>
      <vt:lpstr>'Confed Life &amp; Annty (CLIAC)'!AK_FINANCIAL</vt:lpstr>
      <vt:lpstr>'Confed Life (CLIC)'!AK_FINANCIAL</vt:lpstr>
      <vt:lpstr>'Consolidated National'!AK_FINANCIAL</vt:lpstr>
      <vt:lpstr>'Consumers Choice'!AK_FINANCIAL</vt:lpstr>
      <vt:lpstr>'Consumers Mutual'!AK_FINANCIAL</vt:lpstr>
      <vt:lpstr>'Consumers United'!AK_FINANCIAL</vt:lpstr>
      <vt:lpstr>CoOportunity!AK_FINANCIAL</vt:lpstr>
      <vt:lpstr>'Coordinated Hlth'!AK_FINANCIAL</vt:lpstr>
      <vt:lpstr>'Corporate Life'!AK_FINANCIAL</vt:lpstr>
      <vt:lpstr>'Diamond Benefits'!AK_FINANCIAL</vt:lpstr>
      <vt:lpstr>'EBL Life'!AK_FINANCIAL</vt:lpstr>
      <vt:lpstr>ELNY!AK_FINANCIAL</vt:lpstr>
      <vt:lpstr>'Executive Life'!AK_FINANCIAL</vt:lpstr>
      <vt:lpstr>'Family Guaranty'!AK_FINANCIAL</vt:lpstr>
      <vt:lpstr>'Farmers &amp; Ranchers'!AK_FINANCIAL</vt:lpstr>
      <vt:lpstr>'Fidelity Bankers'!AK_FINANCIAL</vt:lpstr>
      <vt:lpstr>'Fidelity Mutual'!AK_FINANCIAL</vt:lpstr>
      <vt:lpstr>'First Capital'!AK_FINANCIAL</vt:lpstr>
      <vt:lpstr>'First Natl'!AK_FINANCIAL</vt:lpstr>
      <vt:lpstr>'First Natl (Thrnr)'!AK_FINANCIAL</vt:lpstr>
      <vt:lpstr>'Franklin American'!AK_FINANCIAL</vt:lpstr>
      <vt:lpstr>'Franklin Protective'!AK_FINANCIAL</vt:lpstr>
      <vt:lpstr>'Freelancers CO-OP'!AK_FINANCIAL</vt:lpstr>
      <vt:lpstr>Freestone!AK_FINANCIAL</vt:lpstr>
      <vt:lpstr>'George Washington'!AK_FINANCIAL</vt:lpstr>
      <vt:lpstr>'Golden State'!AK_FINANCIAL</vt:lpstr>
      <vt:lpstr>'Guarantee Security'!AK_FINANCIAL</vt:lpstr>
      <vt:lpstr>HealthyCT!AK_FINANCIAL</vt:lpstr>
      <vt:lpstr>Imerica!AK_FINANCIAL</vt:lpstr>
      <vt:lpstr>'Inter-American'!AK_FINANCIAL</vt:lpstr>
      <vt:lpstr>'International Fin'!AK_FINANCIAL</vt:lpstr>
      <vt:lpstr>'Investment Life of America'!AK_FINANCIAL</vt:lpstr>
      <vt:lpstr>'Investors Equity'!AK_FINANCIAL</vt:lpstr>
      <vt:lpstr>'Kentucky Central'!AK_FINANCIAL</vt:lpstr>
      <vt:lpstr>'Land of Lincoln'!AK_FINANCIAL</vt:lpstr>
      <vt:lpstr>Legion!AK_FINANCIAL</vt:lpstr>
      <vt:lpstr>'Life Health America'!AK_FINANCIAL</vt:lpstr>
      <vt:lpstr>'Lincoln Memorial'!AK_FINANCIAL</vt:lpstr>
      <vt:lpstr>'London Pac'!AK_FINANCIAL</vt:lpstr>
      <vt:lpstr>Lumbermens!AK_FINANCIAL</vt:lpstr>
      <vt:lpstr>'Medical Savings'!AK_FINANCIAL</vt:lpstr>
      <vt:lpstr>'Memorial Service'!AK_FINANCIAL</vt:lpstr>
      <vt:lpstr>Midcontinent!AK_FINANCIAL</vt:lpstr>
      <vt:lpstr>'Midwest Life'!AK_FINANCIAL</vt:lpstr>
      <vt:lpstr>'Monarch Life'!AK_FINANCIAL</vt:lpstr>
      <vt:lpstr>'Mutual Benefit'!AK_FINANCIAL</vt:lpstr>
      <vt:lpstr>'Mutual Security'!AK_FINANCIAL</vt:lpstr>
      <vt:lpstr>'National Affiliated'!AK_FINANCIAL</vt:lpstr>
      <vt:lpstr>'National Heritage'!AK_FINANCIAL</vt:lpstr>
      <vt:lpstr>'National States'!AK_FINANCIAL</vt:lpstr>
      <vt:lpstr>'Natl American'!AK_FINANCIAL</vt:lpstr>
      <vt:lpstr>'New Jersey Life'!AK_FINANCIAL</vt:lpstr>
      <vt:lpstr>NNIC!AK_FINANCIAL</vt:lpstr>
      <vt:lpstr>'North Carolina Mutual'!AK_FINANCIAL</vt:lpstr>
      <vt:lpstr>'Old Colony Life'!AK_FINANCIAL</vt:lpstr>
      <vt:lpstr>'Old Faithful'!AK_FINANCIAL</vt:lpstr>
      <vt:lpstr>'Pacific Standard'!AK_FINANCIAL</vt:lpstr>
      <vt:lpstr>'Pavonia Life'!AK_FINANCIAL</vt:lpstr>
      <vt:lpstr>'Pen  Treaty'!AK_FINANCIAL</vt:lpstr>
      <vt:lpstr>'Red Rock'!AK_FINANCIAL</vt:lpstr>
      <vt:lpstr>Reliance!AK_FINANCIAL</vt:lpstr>
      <vt:lpstr>SeeChange!AK_FINANCIAL</vt:lpstr>
      <vt:lpstr>'Senior American'!AK_FINANCIAL</vt:lpstr>
      <vt:lpstr>Settlers!AK_FINANCIAL</vt:lpstr>
      <vt:lpstr>Shenandoah!AK_FINANCIAL</vt:lpstr>
      <vt:lpstr>'Southland National Life'!AK_FINANCIAL</vt:lpstr>
      <vt:lpstr>'Standard Life IN'!AK_FINANCIAL</vt:lpstr>
      <vt:lpstr>'States General'!AK_FINANCIAL</vt:lpstr>
      <vt:lpstr>Statesman!AK_FINANCIAL</vt:lpstr>
      <vt:lpstr>'Summit National'!AK_FINANCIAL</vt:lpstr>
      <vt:lpstr>Supreme!AK_FINANCIAL</vt:lpstr>
      <vt:lpstr>Time!AK_FINANCIAL</vt:lpstr>
      <vt:lpstr>'Total Summary'!AK_FINANCIAL</vt:lpstr>
      <vt:lpstr>Underwriters!AK_FINANCIAL</vt:lpstr>
      <vt:lpstr>Unison!AK_FINANCIAL</vt:lpstr>
      <vt:lpstr>'United Republic'!AK_FINANCIAL</vt:lpstr>
      <vt:lpstr>'Universal Health Care'!AK_FINANCIAL</vt:lpstr>
      <vt:lpstr>'Universal Life'!AK_FINANCIAL</vt:lpstr>
      <vt:lpstr>Universe!AK_FINANCIAL</vt:lpstr>
      <vt:lpstr>Villanova!AK_FINANCIAL</vt:lpstr>
      <vt:lpstr>'Alabama Life'!AL_FINANCIAL</vt:lpstr>
      <vt:lpstr>'Amer Life Asr'!AL_FINANCIAL</vt:lpstr>
      <vt:lpstr>'Amer Std Life Acc'!AL_FINANCIAL</vt:lpstr>
      <vt:lpstr>'American Chambers'!AL_FINANCIAL</vt:lpstr>
      <vt:lpstr>'American Community'!AL_FINANCIAL</vt:lpstr>
      <vt:lpstr>'American Educators'!AL_FINANCIAL</vt:lpstr>
      <vt:lpstr>'American Integrity'!AL_FINANCIAL</vt:lpstr>
      <vt:lpstr>'American Medical'!AL_FINANCIAL</vt:lpstr>
      <vt:lpstr>'American Network'!AL_FINANCIAL</vt:lpstr>
      <vt:lpstr>AmerWstrn!AL_FINANCIAL</vt:lpstr>
      <vt:lpstr>'AMS Life'!AL_FINANCIAL</vt:lpstr>
      <vt:lpstr>'Andrew Jackson'!AL_FINANCIAL</vt:lpstr>
      <vt:lpstr>'Bankers Commercial'!AL_FINANCIAL</vt:lpstr>
      <vt:lpstr>'Bankers Life'!AL_FINANCIAL</vt:lpstr>
      <vt:lpstr>Benicorp!AL_FINANCIAL</vt:lpstr>
      <vt:lpstr>'Booker T Washington'!AL_FINANCIAL</vt:lpstr>
      <vt:lpstr>Centennial!AL_FINANCIAL</vt:lpstr>
      <vt:lpstr>'CO Bankers'!AL_FINANCIAL</vt:lpstr>
      <vt:lpstr>'Coastal States'!AL_FINANCIAL</vt:lpstr>
      <vt:lpstr>'Colorado Health'!AL_FINANCIAL</vt:lpstr>
      <vt:lpstr>'Compass (dbs Meritus)'!AL_FINANCIAL</vt:lpstr>
      <vt:lpstr>'Confed Life &amp; Annty (CLIAC)'!AL_FINANCIAL</vt:lpstr>
      <vt:lpstr>'Confed Life (CLIC)'!AL_FINANCIAL</vt:lpstr>
      <vt:lpstr>'Consolidated National'!AL_FINANCIAL</vt:lpstr>
      <vt:lpstr>'Consumers Choice'!AL_FINANCIAL</vt:lpstr>
      <vt:lpstr>'Consumers Mutual'!AL_FINANCIAL</vt:lpstr>
      <vt:lpstr>'Consumers United'!AL_FINANCIAL</vt:lpstr>
      <vt:lpstr>CoOportunity!AL_FINANCIAL</vt:lpstr>
      <vt:lpstr>'Coordinated Hlth'!AL_FINANCIAL</vt:lpstr>
      <vt:lpstr>'Corporate Life'!AL_FINANCIAL</vt:lpstr>
      <vt:lpstr>'Diamond Benefits'!AL_FINANCIAL</vt:lpstr>
      <vt:lpstr>'EBL Life'!AL_FINANCIAL</vt:lpstr>
      <vt:lpstr>ELNY!AL_FINANCIAL</vt:lpstr>
      <vt:lpstr>'Executive Life'!AL_FINANCIAL</vt:lpstr>
      <vt:lpstr>'Family Guaranty'!AL_FINANCIAL</vt:lpstr>
      <vt:lpstr>'Farmers &amp; Ranchers'!AL_FINANCIAL</vt:lpstr>
      <vt:lpstr>'Fidelity Bankers'!AL_FINANCIAL</vt:lpstr>
      <vt:lpstr>'Fidelity Mutual'!AL_FINANCIAL</vt:lpstr>
      <vt:lpstr>'First Capital'!AL_FINANCIAL</vt:lpstr>
      <vt:lpstr>'First Natl'!AL_FINANCIAL</vt:lpstr>
      <vt:lpstr>'First Natl (Thrnr)'!AL_FINANCIAL</vt:lpstr>
      <vt:lpstr>'Franklin American'!AL_FINANCIAL</vt:lpstr>
      <vt:lpstr>'Franklin Protective'!AL_FINANCIAL</vt:lpstr>
      <vt:lpstr>'Freelancers CO-OP'!AL_FINANCIAL</vt:lpstr>
      <vt:lpstr>Freestone!AL_FINANCIAL</vt:lpstr>
      <vt:lpstr>'George Washington'!AL_FINANCIAL</vt:lpstr>
      <vt:lpstr>'Golden State'!AL_FINANCIAL</vt:lpstr>
      <vt:lpstr>'Guarantee Security'!AL_FINANCIAL</vt:lpstr>
      <vt:lpstr>HealthyCT!AL_FINANCIAL</vt:lpstr>
      <vt:lpstr>Imerica!AL_FINANCIAL</vt:lpstr>
      <vt:lpstr>'Inter-American'!AL_FINANCIAL</vt:lpstr>
      <vt:lpstr>'International Fin'!AL_FINANCIAL</vt:lpstr>
      <vt:lpstr>'Investment Life of America'!AL_FINANCIAL</vt:lpstr>
      <vt:lpstr>'Investors Equity'!AL_FINANCIAL</vt:lpstr>
      <vt:lpstr>'Kentucky Central'!AL_FINANCIAL</vt:lpstr>
      <vt:lpstr>'Land of Lincoln'!AL_FINANCIAL</vt:lpstr>
      <vt:lpstr>Legion!AL_FINANCIAL</vt:lpstr>
      <vt:lpstr>'Life Health America'!AL_FINANCIAL</vt:lpstr>
      <vt:lpstr>'Lincoln Memorial'!AL_FINANCIAL</vt:lpstr>
      <vt:lpstr>'London Pac'!AL_FINANCIAL</vt:lpstr>
      <vt:lpstr>Lumbermens!AL_FINANCIAL</vt:lpstr>
      <vt:lpstr>'Medical Savings'!AL_FINANCIAL</vt:lpstr>
      <vt:lpstr>'Memorial Service'!AL_FINANCIAL</vt:lpstr>
      <vt:lpstr>Midcontinent!AL_FINANCIAL</vt:lpstr>
      <vt:lpstr>'Midwest Life'!AL_FINANCIAL</vt:lpstr>
      <vt:lpstr>'Monarch Life'!AL_FINANCIAL</vt:lpstr>
      <vt:lpstr>'Mutual Benefit'!AL_FINANCIAL</vt:lpstr>
      <vt:lpstr>'Mutual Security'!AL_FINANCIAL</vt:lpstr>
      <vt:lpstr>'National Affiliated'!AL_FINANCIAL</vt:lpstr>
      <vt:lpstr>'National Heritage'!AL_FINANCIAL</vt:lpstr>
      <vt:lpstr>'National States'!AL_FINANCIAL</vt:lpstr>
      <vt:lpstr>'Natl American'!AL_FINANCIAL</vt:lpstr>
      <vt:lpstr>'New Jersey Life'!AL_FINANCIAL</vt:lpstr>
      <vt:lpstr>NNIC!AL_FINANCIAL</vt:lpstr>
      <vt:lpstr>'North Carolina Mutual'!AL_FINANCIAL</vt:lpstr>
      <vt:lpstr>'Old Colony Life'!AL_FINANCIAL</vt:lpstr>
      <vt:lpstr>'Old Faithful'!AL_FINANCIAL</vt:lpstr>
      <vt:lpstr>'Pacific Standard'!AL_FINANCIAL</vt:lpstr>
      <vt:lpstr>'Pavonia Life'!AL_FINANCIAL</vt:lpstr>
      <vt:lpstr>'Pen  Treaty'!AL_FINANCIAL</vt:lpstr>
      <vt:lpstr>'Red Rock'!AL_FINANCIAL</vt:lpstr>
      <vt:lpstr>Reliance!AL_FINANCIAL</vt:lpstr>
      <vt:lpstr>SeeChange!AL_FINANCIAL</vt:lpstr>
      <vt:lpstr>'Senior American'!AL_FINANCIAL</vt:lpstr>
      <vt:lpstr>Settlers!AL_FINANCIAL</vt:lpstr>
      <vt:lpstr>Shenandoah!AL_FINANCIAL</vt:lpstr>
      <vt:lpstr>'Southland National Life'!AL_FINANCIAL</vt:lpstr>
      <vt:lpstr>'Standard Life IN'!AL_FINANCIAL</vt:lpstr>
      <vt:lpstr>'States General'!AL_FINANCIAL</vt:lpstr>
      <vt:lpstr>Statesman!AL_FINANCIAL</vt:lpstr>
      <vt:lpstr>'Summit National'!AL_FINANCIAL</vt:lpstr>
      <vt:lpstr>Supreme!AL_FINANCIAL</vt:lpstr>
      <vt:lpstr>Time!AL_FINANCIAL</vt:lpstr>
      <vt:lpstr>'Total Summary'!AL_FINANCIAL</vt:lpstr>
      <vt:lpstr>Underwriters!AL_FINANCIAL</vt:lpstr>
      <vt:lpstr>Unison!AL_FINANCIAL</vt:lpstr>
      <vt:lpstr>'United Republic'!AL_FINANCIAL</vt:lpstr>
      <vt:lpstr>'Universal Health Care'!AL_FINANCIAL</vt:lpstr>
      <vt:lpstr>'Universal Life'!AL_FINANCIAL</vt:lpstr>
      <vt:lpstr>Universe!AL_FINANCIAL</vt:lpstr>
      <vt:lpstr>Villanova!AL_FINANCIAL</vt:lpstr>
      <vt:lpstr>'Alabama Life'!ALL_BLOCKS</vt:lpstr>
      <vt:lpstr>'Amer Life Asr'!ALL_BLOCKS</vt:lpstr>
      <vt:lpstr>'Amer Std Life Acc'!ALL_BLOCKS</vt:lpstr>
      <vt:lpstr>'American Chambers'!ALL_BLOCKS</vt:lpstr>
      <vt:lpstr>'American Community'!ALL_BLOCKS</vt:lpstr>
      <vt:lpstr>'American Educators'!ALL_BLOCKS</vt:lpstr>
      <vt:lpstr>'American Integrity'!ALL_BLOCKS</vt:lpstr>
      <vt:lpstr>'American Medical'!ALL_BLOCKS</vt:lpstr>
      <vt:lpstr>'American Network'!ALL_BLOCKS</vt:lpstr>
      <vt:lpstr>AmerWstrn!ALL_BLOCKS</vt:lpstr>
      <vt:lpstr>'AMS Life'!ALL_BLOCKS</vt:lpstr>
      <vt:lpstr>'Andrew Jackson'!ALL_BLOCKS</vt:lpstr>
      <vt:lpstr>'Bankers Commercial'!ALL_BLOCKS</vt:lpstr>
      <vt:lpstr>'Bankers Life'!ALL_BLOCKS</vt:lpstr>
      <vt:lpstr>Benicorp!ALL_BLOCKS</vt:lpstr>
      <vt:lpstr>'Booker T Washington'!ALL_BLOCKS</vt:lpstr>
      <vt:lpstr>Centennial!ALL_BLOCKS</vt:lpstr>
      <vt:lpstr>'CO Bankers'!ALL_BLOCKS</vt:lpstr>
      <vt:lpstr>'Coastal States'!ALL_BLOCKS</vt:lpstr>
      <vt:lpstr>'Colorado Health'!ALL_BLOCKS</vt:lpstr>
      <vt:lpstr>'Compass (dbs Meritus)'!ALL_BLOCKS</vt:lpstr>
      <vt:lpstr>'Confed Life &amp; Annty (CLIAC)'!ALL_BLOCKS</vt:lpstr>
      <vt:lpstr>'Confed Life (CLIC)'!ALL_BLOCKS</vt:lpstr>
      <vt:lpstr>'Consolidated National'!ALL_BLOCKS</vt:lpstr>
      <vt:lpstr>'Consumers Choice'!ALL_BLOCKS</vt:lpstr>
      <vt:lpstr>'Consumers Mutual'!ALL_BLOCKS</vt:lpstr>
      <vt:lpstr>'Consumers United'!ALL_BLOCKS</vt:lpstr>
      <vt:lpstr>CoOportunity!ALL_BLOCKS</vt:lpstr>
      <vt:lpstr>'Coordinated Hlth'!ALL_BLOCKS</vt:lpstr>
      <vt:lpstr>'Corporate Life'!ALL_BLOCKS</vt:lpstr>
      <vt:lpstr>'Diamond Benefits'!ALL_BLOCKS</vt:lpstr>
      <vt:lpstr>'EBL Life'!ALL_BLOCKS</vt:lpstr>
      <vt:lpstr>ELNY!ALL_BLOCKS</vt:lpstr>
      <vt:lpstr>'Executive Life'!ALL_BLOCKS</vt:lpstr>
      <vt:lpstr>'Family Guaranty'!ALL_BLOCKS</vt:lpstr>
      <vt:lpstr>'Farmers &amp; Ranchers'!ALL_BLOCKS</vt:lpstr>
      <vt:lpstr>'Fidelity Bankers'!ALL_BLOCKS</vt:lpstr>
      <vt:lpstr>'Fidelity Mutual'!ALL_BLOCKS</vt:lpstr>
      <vt:lpstr>'First Capital'!ALL_BLOCKS</vt:lpstr>
      <vt:lpstr>'First Natl'!ALL_BLOCKS</vt:lpstr>
      <vt:lpstr>'First Natl (Thrnr)'!ALL_BLOCKS</vt:lpstr>
      <vt:lpstr>'Franklin American'!ALL_BLOCKS</vt:lpstr>
      <vt:lpstr>'Franklin Protective'!ALL_BLOCKS</vt:lpstr>
      <vt:lpstr>'Freelancers CO-OP'!ALL_BLOCKS</vt:lpstr>
      <vt:lpstr>Freestone!ALL_BLOCKS</vt:lpstr>
      <vt:lpstr>'George Washington'!ALL_BLOCKS</vt:lpstr>
      <vt:lpstr>'Golden State'!ALL_BLOCKS</vt:lpstr>
      <vt:lpstr>'Guarantee Security'!ALL_BLOCKS</vt:lpstr>
      <vt:lpstr>HealthyCT!ALL_BLOCKS</vt:lpstr>
      <vt:lpstr>Imerica!ALL_BLOCKS</vt:lpstr>
      <vt:lpstr>'Inter-American'!ALL_BLOCKS</vt:lpstr>
      <vt:lpstr>'International Fin'!ALL_BLOCKS</vt:lpstr>
      <vt:lpstr>'Investment Life of America'!ALL_BLOCKS</vt:lpstr>
      <vt:lpstr>'Investors Equity'!ALL_BLOCKS</vt:lpstr>
      <vt:lpstr>'Kentucky Central'!ALL_BLOCKS</vt:lpstr>
      <vt:lpstr>'Land of Lincoln'!ALL_BLOCKS</vt:lpstr>
      <vt:lpstr>Legion!ALL_BLOCKS</vt:lpstr>
      <vt:lpstr>'Life Health America'!ALL_BLOCKS</vt:lpstr>
      <vt:lpstr>'Lincoln Memorial'!ALL_BLOCKS</vt:lpstr>
      <vt:lpstr>'London Pac'!ALL_BLOCKS</vt:lpstr>
      <vt:lpstr>Lumbermens!ALL_BLOCKS</vt:lpstr>
      <vt:lpstr>'Medical Savings'!ALL_BLOCKS</vt:lpstr>
      <vt:lpstr>'Memorial Service'!ALL_BLOCKS</vt:lpstr>
      <vt:lpstr>Midcontinent!ALL_BLOCKS</vt:lpstr>
      <vt:lpstr>'Midwest Life'!ALL_BLOCKS</vt:lpstr>
      <vt:lpstr>'Monarch Life'!ALL_BLOCKS</vt:lpstr>
      <vt:lpstr>'Mutual Benefit'!ALL_BLOCKS</vt:lpstr>
      <vt:lpstr>'Mutual Security'!ALL_BLOCKS</vt:lpstr>
      <vt:lpstr>'National Affiliated'!ALL_BLOCKS</vt:lpstr>
      <vt:lpstr>'National Heritage'!ALL_BLOCKS</vt:lpstr>
      <vt:lpstr>'National States'!ALL_BLOCKS</vt:lpstr>
      <vt:lpstr>'Natl American'!ALL_BLOCKS</vt:lpstr>
      <vt:lpstr>'New Jersey Life'!ALL_BLOCKS</vt:lpstr>
      <vt:lpstr>NNIC!ALL_BLOCKS</vt:lpstr>
      <vt:lpstr>'North Carolina Mutual'!ALL_BLOCKS</vt:lpstr>
      <vt:lpstr>'Old Colony Life'!ALL_BLOCKS</vt:lpstr>
      <vt:lpstr>'Old Faithful'!ALL_BLOCKS</vt:lpstr>
      <vt:lpstr>'Pacific Standard'!ALL_BLOCKS</vt:lpstr>
      <vt:lpstr>'Pavonia Life'!ALL_BLOCKS</vt:lpstr>
      <vt:lpstr>'Pen  Treaty'!ALL_BLOCKS</vt:lpstr>
      <vt:lpstr>'Red Rock'!ALL_BLOCKS</vt:lpstr>
      <vt:lpstr>Reliance!ALL_BLOCKS</vt:lpstr>
      <vt:lpstr>SeeChange!ALL_BLOCKS</vt:lpstr>
      <vt:lpstr>'Senior American'!ALL_BLOCKS</vt:lpstr>
      <vt:lpstr>Settlers!ALL_BLOCKS</vt:lpstr>
      <vt:lpstr>Shenandoah!ALL_BLOCKS</vt:lpstr>
      <vt:lpstr>'Southland National Life'!ALL_BLOCKS</vt:lpstr>
      <vt:lpstr>'Standard Life IN'!ALL_BLOCKS</vt:lpstr>
      <vt:lpstr>'States General'!ALL_BLOCKS</vt:lpstr>
      <vt:lpstr>Statesman!ALL_BLOCKS</vt:lpstr>
      <vt:lpstr>'Summit National'!ALL_BLOCKS</vt:lpstr>
      <vt:lpstr>Supreme!ALL_BLOCKS</vt:lpstr>
      <vt:lpstr>Time!ALL_BLOCKS</vt:lpstr>
      <vt:lpstr>'Total Summary'!ALL_BLOCKS</vt:lpstr>
      <vt:lpstr>Underwriters!ALL_BLOCKS</vt:lpstr>
      <vt:lpstr>Unison!ALL_BLOCKS</vt:lpstr>
      <vt:lpstr>'United Republic'!ALL_BLOCKS</vt:lpstr>
      <vt:lpstr>'Universal Health Care'!ALL_BLOCKS</vt:lpstr>
      <vt:lpstr>'Universal Life'!ALL_BLOCKS</vt:lpstr>
      <vt:lpstr>Universe!ALL_BLOCKS</vt:lpstr>
      <vt:lpstr>Villanova!ALL_BLOCKS</vt:lpstr>
      <vt:lpstr>'Alabama Life'!ALLOC_CALLED</vt:lpstr>
      <vt:lpstr>'Amer Life Asr'!ALLOC_CALLED</vt:lpstr>
      <vt:lpstr>'Amer Std Life Acc'!ALLOC_CALLED</vt:lpstr>
      <vt:lpstr>'American Chambers'!ALLOC_CALLED</vt:lpstr>
      <vt:lpstr>'American Community'!ALLOC_CALLED</vt:lpstr>
      <vt:lpstr>'American Educators'!ALLOC_CALLED</vt:lpstr>
      <vt:lpstr>'American Integrity'!ALLOC_CALLED</vt:lpstr>
      <vt:lpstr>'American Medical'!ALLOC_CALLED</vt:lpstr>
      <vt:lpstr>'American Network'!ALLOC_CALLED</vt:lpstr>
      <vt:lpstr>AmerWstrn!ALLOC_CALLED</vt:lpstr>
      <vt:lpstr>'AMS Life'!ALLOC_CALLED</vt:lpstr>
      <vt:lpstr>'Andrew Jackson'!ALLOC_CALLED</vt:lpstr>
      <vt:lpstr>'Bankers Commercial'!ALLOC_CALLED</vt:lpstr>
      <vt:lpstr>'Bankers Life'!ALLOC_CALLED</vt:lpstr>
      <vt:lpstr>Benicorp!ALLOC_CALLED</vt:lpstr>
      <vt:lpstr>'Booker T Washington'!ALLOC_CALLED</vt:lpstr>
      <vt:lpstr>Centennial!ALLOC_CALLED</vt:lpstr>
      <vt:lpstr>'CO Bankers'!ALLOC_CALLED</vt:lpstr>
      <vt:lpstr>'Coastal States'!ALLOC_CALLED</vt:lpstr>
      <vt:lpstr>'Colorado Health'!ALLOC_CALLED</vt:lpstr>
      <vt:lpstr>'Compass (dbs Meritus)'!ALLOC_CALLED</vt:lpstr>
      <vt:lpstr>'Confed Life &amp; Annty (CLIAC)'!ALLOC_CALLED</vt:lpstr>
      <vt:lpstr>'Confed Life (CLIC)'!ALLOC_CALLED</vt:lpstr>
      <vt:lpstr>'Consolidated National'!ALLOC_CALLED</vt:lpstr>
      <vt:lpstr>'Consumers Choice'!ALLOC_CALLED</vt:lpstr>
      <vt:lpstr>'Consumers Mutual'!ALLOC_CALLED</vt:lpstr>
      <vt:lpstr>'Consumers United'!ALLOC_CALLED</vt:lpstr>
      <vt:lpstr>CoOportunity!ALLOC_CALLED</vt:lpstr>
      <vt:lpstr>'Coordinated Hlth'!ALLOC_CALLED</vt:lpstr>
      <vt:lpstr>'Corporate Life'!ALLOC_CALLED</vt:lpstr>
      <vt:lpstr>'Diamond Benefits'!ALLOC_CALLED</vt:lpstr>
      <vt:lpstr>'EBL Life'!ALLOC_CALLED</vt:lpstr>
      <vt:lpstr>ELNY!ALLOC_CALLED</vt:lpstr>
      <vt:lpstr>'Executive Life'!ALLOC_CALLED</vt:lpstr>
      <vt:lpstr>'Family Guaranty'!ALLOC_CALLED</vt:lpstr>
      <vt:lpstr>'Farmers &amp; Ranchers'!ALLOC_CALLED</vt:lpstr>
      <vt:lpstr>'Fidelity Bankers'!ALLOC_CALLED</vt:lpstr>
      <vt:lpstr>'Fidelity Mutual'!ALLOC_CALLED</vt:lpstr>
      <vt:lpstr>'First Capital'!ALLOC_CALLED</vt:lpstr>
      <vt:lpstr>'First Natl'!ALLOC_CALLED</vt:lpstr>
      <vt:lpstr>'First Natl (Thrnr)'!ALLOC_CALLED</vt:lpstr>
      <vt:lpstr>'Franklin American'!ALLOC_CALLED</vt:lpstr>
      <vt:lpstr>'Franklin Protective'!ALLOC_CALLED</vt:lpstr>
      <vt:lpstr>'Freelancers CO-OP'!ALLOC_CALLED</vt:lpstr>
      <vt:lpstr>Freestone!ALLOC_CALLED</vt:lpstr>
      <vt:lpstr>'George Washington'!ALLOC_CALLED</vt:lpstr>
      <vt:lpstr>'Golden State'!ALLOC_CALLED</vt:lpstr>
      <vt:lpstr>'Guarantee Security'!ALLOC_CALLED</vt:lpstr>
      <vt:lpstr>HealthyCT!ALLOC_CALLED</vt:lpstr>
      <vt:lpstr>Imerica!ALLOC_CALLED</vt:lpstr>
      <vt:lpstr>'Inter-American'!ALLOC_CALLED</vt:lpstr>
      <vt:lpstr>'International Fin'!ALLOC_CALLED</vt:lpstr>
      <vt:lpstr>'Investment Life of America'!ALLOC_CALLED</vt:lpstr>
      <vt:lpstr>'Investors Equity'!ALLOC_CALLED</vt:lpstr>
      <vt:lpstr>'Kentucky Central'!ALLOC_CALLED</vt:lpstr>
      <vt:lpstr>'Land of Lincoln'!ALLOC_CALLED</vt:lpstr>
      <vt:lpstr>Legion!ALLOC_CALLED</vt:lpstr>
      <vt:lpstr>'Life Health America'!ALLOC_CALLED</vt:lpstr>
      <vt:lpstr>'Lincoln Memorial'!ALLOC_CALLED</vt:lpstr>
      <vt:lpstr>'London Pac'!ALLOC_CALLED</vt:lpstr>
      <vt:lpstr>Lumbermens!ALLOC_CALLED</vt:lpstr>
      <vt:lpstr>'Medical Savings'!ALLOC_CALLED</vt:lpstr>
      <vt:lpstr>'Memorial Service'!ALLOC_CALLED</vt:lpstr>
      <vt:lpstr>Midcontinent!ALLOC_CALLED</vt:lpstr>
      <vt:lpstr>'Midwest Life'!ALLOC_CALLED</vt:lpstr>
      <vt:lpstr>'Monarch Life'!ALLOC_CALLED</vt:lpstr>
      <vt:lpstr>'Mutual Benefit'!ALLOC_CALLED</vt:lpstr>
      <vt:lpstr>'Mutual Security'!ALLOC_CALLED</vt:lpstr>
      <vt:lpstr>'National Affiliated'!ALLOC_CALLED</vt:lpstr>
      <vt:lpstr>'National Heritage'!ALLOC_CALLED</vt:lpstr>
      <vt:lpstr>'National States'!ALLOC_CALLED</vt:lpstr>
      <vt:lpstr>'Natl American'!ALLOC_CALLED</vt:lpstr>
      <vt:lpstr>'New Jersey Life'!ALLOC_CALLED</vt:lpstr>
      <vt:lpstr>NNIC!ALLOC_CALLED</vt:lpstr>
      <vt:lpstr>'North Carolina Mutual'!ALLOC_CALLED</vt:lpstr>
      <vt:lpstr>'Old Colony Life'!ALLOC_CALLED</vt:lpstr>
      <vt:lpstr>'Old Faithful'!ALLOC_CALLED</vt:lpstr>
      <vt:lpstr>'Pacific Standard'!ALLOC_CALLED</vt:lpstr>
      <vt:lpstr>'Pavonia Life'!ALLOC_CALLED</vt:lpstr>
      <vt:lpstr>'Pen  Treaty'!ALLOC_CALLED</vt:lpstr>
      <vt:lpstr>'Red Rock'!ALLOC_CALLED</vt:lpstr>
      <vt:lpstr>Reliance!ALLOC_CALLED</vt:lpstr>
      <vt:lpstr>SeeChange!ALLOC_CALLED</vt:lpstr>
      <vt:lpstr>'Senior American'!ALLOC_CALLED</vt:lpstr>
      <vt:lpstr>Settlers!ALLOC_CALLED</vt:lpstr>
      <vt:lpstr>Shenandoah!ALLOC_CALLED</vt:lpstr>
      <vt:lpstr>'Southland National Life'!ALLOC_CALLED</vt:lpstr>
      <vt:lpstr>'Standard Life IN'!ALLOC_CALLED</vt:lpstr>
      <vt:lpstr>'States General'!ALLOC_CALLED</vt:lpstr>
      <vt:lpstr>Statesman!ALLOC_CALLED</vt:lpstr>
      <vt:lpstr>'Summit National'!ALLOC_CALLED</vt:lpstr>
      <vt:lpstr>Supreme!ALLOC_CALLED</vt:lpstr>
      <vt:lpstr>Time!ALLOC_CALLED</vt:lpstr>
      <vt:lpstr>'Total Summary'!ALLOC_CALLED</vt:lpstr>
      <vt:lpstr>Underwriters!ALLOC_CALLED</vt:lpstr>
      <vt:lpstr>Unison!ALLOC_CALLED</vt:lpstr>
      <vt:lpstr>'United Republic'!ALLOC_CALLED</vt:lpstr>
      <vt:lpstr>'Universal Health Care'!ALLOC_CALLED</vt:lpstr>
      <vt:lpstr>'Universal Life'!ALLOC_CALLED</vt:lpstr>
      <vt:lpstr>Universe!ALLOC_CALLED</vt:lpstr>
      <vt:lpstr>Villanova!ALLOC_CALLED</vt:lpstr>
      <vt:lpstr>'Alabama Life'!ALLOC_REFUNDED</vt:lpstr>
      <vt:lpstr>'Amer Life Asr'!ALLOC_REFUNDED</vt:lpstr>
      <vt:lpstr>'Amer Std Life Acc'!ALLOC_REFUNDED</vt:lpstr>
      <vt:lpstr>'American Chambers'!ALLOC_REFUNDED</vt:lpstr>
      <vt:lpstr>'American Community'!ALLOC_REFUNDED</vt:lpstr>
      <vt:lpstr>'American Educators'!ALLOC_REFUNDED</vt:lpstr>
      <vt:lpstr>'American Integrity'!ALLOC_REFUNDED</vt:lpstr>
      <vt:lpstr>'American Medical'!ALLOC_REFUNDED</vt:lpstr>
      <vt:lpstr>'American Network'!ALLOC_REFUNDED</vt:lpstr>
      <vt:lpstr>AmerWstrn!ALLOC_REFUNDED</vt:lpstr>
      <vt:lpstr>'AMS Life'!ALLOC_REFUNDED</vt:lpstr>
      <vt:lpstr>'Andrew Jackson'!ALLOC_REFUNDED</vt:lpstr>
      <vt:lpstr>'Bankers Commercial'!ALLOC_REFUNDED</vt:lpstr>
      <vt:lpstr>'Bankers Life'!ALLOC_REFUNDED</vt:lpstr>
      <vt:lpstr>Benicorp!ALLOC_REFUNDED</vt:lpstr>
      <vt:lpstr>'Booker T Washington'!ALLOC_REFUNDED</vt:lpstr>
      <vt:lpstr>Centennial!ALLOC_REFUNDED</vt:lpstr>
      <vt:lpstr>'CO Bankers'!ALLOC_REFUNDED</vt:lpstr>
      <vt:lpstr>'Coastal States'!ALLOC_REFUNDED</vt:lpstr>
      <vt:lpstr>'Colorado Health'!ALLOC_REFUNDED</vt:lpstr>
      <vt:lpstr>'Compass (dbs Meritus)'!ALLOC_REFUNDED</vt:lpstr>
      <vt:lpstr>'Confed Life &amp; Annty (CLIAC)'!ALLOC_REFUNDED</vt:lpstr>
      <vt:lpstr>'Confed Life (CLIC)'!ALLOC_REFUNDED</vt:lpstr>
      <vt:lpstr>'Consolidated National'!ALLOC_REFUNDED</vt:lpstr>
      <vt:lpstr>'Consumers Choice'!ALLOC_REFUNDED</vt:lpstr>
      <vt:lpstr>'Consumers Mutual'!ALLOC_REFUNDED</vt:lpstr>
      <vt:lpstr>'Consumers United'!ALLOC_REFUNDED</vt:lpstr>
      <vt:lpstr>CoOportunity!ALLOC_REFUNDED</vt:lpstr>
      <vt:lpstr>'Coordinated Hlth'!ALLOC_REFUNDED</vt:lpstr>
      <vt:lpstr>'Corporate Life'!ALLOC_REFUNDED</vt:lpstr>
      <vt:lpstr>'Diamond Benefits'!ALLOC_REFUNDED</vt:lpstr>
      <vt:lpstr>'EBL Life'!ALLOC_REFUNDED</vt:lpstr>
      <vt:lpstr>ELNY!ALLOC_REFUNDED</vt:lpstr>
      <vt:lpstr>'Executive Life'!ALLOC_REFUNDED</vt:lpstr>
      <vt:lpstr>'Family Guaranty'!ALLOC_REFUNDED</vt:lpstr>
      <vt:lpstr>'Farmers &amp; Ranchers'!ALLOC_REFUNDED</vt:lpstr>
      <vt:lpstr>'Fidelity Bankers'!ALLOC_REFUNDED</vt:lpstr>
      <vt:lpstr>'Fidelity Mutual'!ALLOC_REFUNDED</vt:lpstr>
      <vt:lpstr>'First Capital'!ALLOC_REFUNDED</vt:lpstr>
      <vt:lpstr>'First Natl'!ALLOC_REFUNDED</vt:lpstr>
      <vt:lpstr>'First Natl (Thrnr)'!ALLOC_REFUNDED</vt:lpstr>
      <vt:lpstr>'Franklin American'!ALLOC_REFUNDED</vt:lpstr>
      <vt:lpstr>'Franklin Protective'!ALLOC_REFUNDED</vt:lpstr>
      <vt:lpstr>'Freelancers CO-OP'!ALLOC_REFUNDED</vt:lpstr>
      <vt:lpstr>Freestone!ALLOC_REFUNDED</vt:lpstr>
      <vt:lpstr>'George Washington'!ALLOC_REFUNDED</vt:lpstr>
      <vt:lpstr>'Golden State'!ALLOC_REFUNDED</vt:lpstr>
      <vt:lpstr>'Guarantee Security'!ALLOC_REFUNDED</vt:lpstr>
      <vt:lpstr>HealthyCT!ALLOC_REFUNDED</vt:lpstr>
      <vt:lpstr>Imerica!ALLOC_REFUNDED</vt:lpstr>
      <vt:lpstr>'Inter-American'!ALLOC_REFUNDED</vt:lpstr>
      <vt:lpstr>'International Fin'!ALLOC_REFUNDED</vt:lpstr>
      <vt:lpstr>'Investment Life of America'!ALLOC_REFUNDED</vt:lpstr>
      <vt:lpstr>'Investors Equity'!ALLOC_REFUNDED</vt:lpstr>
      <vt:lpstr>'Kentucky Central'!ALLOC_REFUNDED</vt:lpstr>
      <vt:lpstr>'Land of Lincoln'!ALLOC_REFUNDED</vt:lpstr>
      <vt:lpstr>Legion!ALLOC_REFUNDED</vt:lpstr>
      <vt:lpstr>'Life Health America'!ALLOC_REFUNDED</vt:lpstr>
      <vt:lpstr>'Lincoln Memorial'!ALLOC_REFUNDED</vt:lpstr>
      <vt:lpstr>'London Pac'!ALLOC_REFUNDED</vt:lpstr>
      <vt:lpstr>Lumbermens!ALLOC_REFUNDED</vt:lpstr>
      <vt:lpstr>'Medical Savings'!ALLOC_REFUNDED</vt:lpstr>
      <vt:lpstr>'Memorial Service'!ALLOC_REFUNDED</vt:lpstr>
      <vt:lpstr>Midcontinent!ALLOC_REFUNDED</vt:lpstr>
      <vt:lpstr>'Midwest Life'!ALLOC_REFUNDED</vt:lpstr>
      <vt:lpstr>'Monarch Life'!ALLOC_REFUNDED</vt:lpstr>
      <vt:lpstr>'Mutual Benefit'!ALLOC_REFUNDED</vt:lpstr>
      <vt:lpstr>'Mutual Security'!ALLOC_REFUNDED</vt:lpstr>
      <vt:lpstr>'National Affiliated'!ALLOC_REFUNDED</vt:lpstr>
      <vt:lpstr>'National Heritage'!ALLOC_REFUNDED</vt:lpstr>
      <vt:lpstr>'National States'!ALLOC_REFUNDED</vt:lpstr>
      <vt:lpstr>'Natl American'!ALLOC_REFUNDED</vt:lpstr>
      <vt:lpstr>'New Jersey Life'!ALLOC_REFUNDED</vt:lpstr>
      <vt:lpstr>NNIC!ALLOC_REFUNDED</vt:lpstr>
      <vt:lpstr>'North Carolina Mutual'!ALLOC_REFUNDED</vt:lpstr>
      <vt:lpstr>'Old Colony Life'!ALLOC_REFUNDED</vt:lpstr>
      <vt:lpstr>'Old Faithful'!ALLOC_REFUNDED</vt:lpstr>
      <vt:lpstr>'Pacific Standard'!ALLOC_REFUNDED</vt:lpstr>
      <vt:lpstr>'Pavonia Life'!ALLOC_REFUNDED</vt:lpstr>
      <vt:lpstr>'Pen  Treaty'!ALLOC_REFUNDED</vt:lpstr>
      <vt:lpstr>'Red Rock'!ALLOC_REFUNDED</vt:lpstr>
      <vt:lpstr>Reliance!ALLOC_REFUNDED</vt:lpstr>
      <vt:lpstr>SeeChange!ALLOC_REFUNDED</vt:lpstr>
      <vt:lpstr>'Senior American'!ALLOC_REFUNDED</vt:lpstr>
      <vt:lpstr>Settlers!ALLOC_REFUNDED</vt:lpstr>
      <vt:lpstr>Shenandoah!ALLOC_REFUNDED</vt:lpstr>
      <vt:lpstr>'Southland National Life'!ALLOC_REFUNDED</vt:lpstr>
      <vt:lpstr>'Standard Life IN'!ALLOC_REFUNDED</vt:lpstr>
      <vt:lpstr>'States General'!ALLOC_REFUNDED</vt:lpstr>
      <vt:lpstr>Statesman!ALLOC_REFUNDED</vt:lpstr>
      <vt:lpstr>'Summit National'!ALLOC_REFUNDED</vt:lpstr>
      <vt:lpstr>Supreme!ALLOC_REFUNDED</vt:lpstr>
      <vt:lpstr>Time!ALLOC_REFUNDED</vt:lpstr>
      <vt:lpstr>'Total Summary'!ALLOC_REFUNDED</vt:lpstr>
      <vt:lpstr>Underwriters!ALLOC_REFUNDED</vt:lpstr>
      <vt:lpstr>Unison!ALLOC_REFUNDED</vt:lpstr>
      <vt:lpstr>'United Republic'!ALLOC_REFUNDED</vt:lpstr>
      <vt:lpstr>'Universal Health Care'!ALLOC_REFUNDED</vt:lpstr>
      <vt:lpstr>'Universal Life'!ALLOC_REFUNDED</vt:lpstr>
      <vt:lpstr>Universe!ALLOC_REFUNDED</vt:lpstr>
      <vt:lpstr>Villanova!ALLOC_REFUNDED</vt:lpstr>
      <vt:lpstr>'Alabama Life'!ALLOCATED</vt:lpstr>
      <vt:lpstr>'Amer Life Asr'!ALLOCATED</vt:lpstr>
      <vt:lpstr>'Amer Std Life Acc'!ALLOCATED</vt:lpstr>
      <vt:lpstr>'American Chambers'!ALLOCATED</vt:lpstr>
      <vt:lpstr>'American Community'!ALLOCATED</vt:lpstr>
      <vt:lpstr>'American Educators'!ALLOCATED</vt:lpstr>
      <vt:lpstr>'American Integrity'!ALLOCATED</vt:lpstr>
      <vt:lpstr>'American Medical'!ALLOCATED</vt:lpstr>
      <vt:lpstr>'American Network'!ALLOCATED</vt:lpstr>
      <vt:lpstr>AmerWstrn!ALLOCATED</vt:lpstr>
      <vt:lpstr>'AMS Life'!ALLOCATED</vt:lpstr>
      <vt:lpstr>'Andrew Jackson'!ALLOCATED</vt:lpstr>
      <vt:lpstr>'Bankers Commercial'!ALLOCATED</vt:lpstr>
      <vt:lpstr>'Bankers Life'!ALLOCATED</vt:lpstr>
      <vt:lpstr>Benicorp!ALLOCATED</vt:lpstr>
      <vt:lpstr>'Booker T Washington'!ALLOCATED</vt:lpstr>
      <vt:lpstr>Centennial!ALLOCATED</vt:lpstr>
      <vt:lpstr>'Closed Summary'!ALLOCATED</vt:lpstr>
      <vt:lpstr>'CO Bankers'!ALLOCATED</vt:lpstr>
      <vt:lpstr>'Coastal States'!ALLOCATED</vt:lpstr>
      <vt:lpstr>'Colorado Health'!ALLOCATED</vt:lpstr>
      <vt:lpstr>'Compass (dbs Meritus)'!ALLOCATED</vt:lpstr>
      <vt:lpstr>'Confed Life &amp; Annty (CLIAC)'!ALLOCATED</vt:lpstr>
      <vt:lpstr>'Confed Life (CLIC)'!ALLOCATED</vt:lpstr>
      <vt:lpstr>'Consolidated National'!ALLOCATED</vt:lpstr>
      <vt:lpstr>'Consumers Choice'!ALLOCATED</vt:lpstr>
      <vt:lpstr>'Consumers Mutual'!ALLOCATED</vt:lpstr>
      <vt:lpstr>'Consumers United'!ALLOCATED</vt:lpstr>
      <vt:lpstr>CoOportunity!ALLOCATED</vt:lpstr>
      <vt:lpstr>'Coordinated Hlth'!ALLOCATED</vt:lpstr>
      <vt:lpstr>'Corporate Life'!ALLOCATED</vt:lpstr>
      <vt:lpstr>'Diamond Benefits'!ALLOCATED</vt:lpstr>
      <vt:lpstr>'EBL Life'!ALLOCATED</vt:lpstr>
      <vt:lpstr>ELNY!ALLOCATED</vt:lpstr>
      <vt:lpstr>'Estate Closed Summary'!ALLOCATED</vt:lpstr>
      <vt:lpstr>'Executive Life'!ALLOCATED</vt:lpstr>
      <vt:lpstr>'Family Guaranty'!ALLOCATED</vt:lpstr>
      <vt:lpstr>'Farmers &amp; Ranchers'!ALLOCATED</vt:lpstr>
      <vt:lpstr>'Fidelity Bankers'!ALLOCATED</vt:lpstr>
      <vt:lpstr>'Fidelity Mutual'!ALLOCATED</vt:lpstr>
      <vt:lpstr>'First Capital'!ALLOCATED</vt:lpstr>
      <vt:lpstr>'First Natl'!ALLOCATED</vt:lpstr>
      <vt:lpstr>'First Natl (Thrnr)'!ALLOCATED</vt:lpstr>
      <vt:lpstr>'Franklin American'!ALLOCATED</vt:lpstr>
      <vt:lpstr>'Franklin Protective'!ALLOCATED</vt:lpstr>
      <vt:lpstr>'Freelancers CO-OP'!ALLOCATED</vt:lpstr>
      <vt:lpstr>Freestone!ALLOCATED</vt:lpstr>
      <vt:lpstr>'George Washington'!ALLOCATED</vt:lpstr>
      <vt:lpstr>'Golden State'!ALLOCATED</vt:lpstr>
      <vt:lpstr>'Guarantee Security'!ALLOCATED</vt:lpstr>
      <vt:lpstr>HealthyCT!ALLOCATED</vt:lpstr>
      <vt:lpstr>Imerica!ALLOCATED</vt:lpstr>
      <vt:lpstr>'Inter-American'!ALLOCATED</vt:lpstr>
      <vt:lpstr>'International Fin'!ALLOCATED</vt:lpstr>
      <vt:lpstr>'Investment Life of America'!ALLOCATED</vt:lpstr>
      <vt:lpstr>'Investors Equity'!ALLOCATED</vt:lpstr>
      <vt:lpstr>'Kentucky Central'!ALLOCATED</vt:lpstr>
      <vt:lpstr>'Land of Lincoln'!ALLOCATED</vt:lpstr>
      <vt:lpstr>Legion!ALLOCATED</vt:lpstr>
      <vt:lpstr>'Life Health America'!ALLOCATED</vt:lpstr>
      <vt:lpstr>'Lincoln Memorial'!ALLOCATED</vt:lpstr>
      <vt:lpstr>'London Pac'!ALLOCATED</vt:lpstr>
      <vt:lpstr>Lumbermens!ALLOCATED</vt:lpstr>
      <vt:lpstr>'Medical Savings'!ALLOCATED</vt:lpstr>
      <vt:lpstr>'Memorial Service'!ALLOCATED</vt:lpstr>
      <vt:lpstr>Midcontinent!ALLOCATED</vt:lpstr>
      <vt:lpstr>'Midwest Life'!ALLOCATED</vt:lpstr>
      <vt:lpstr>'Monarch Life'!ALLOCATED</vt:lpstr>
      <vt:lpstr>'Mutual Benefit'!ALLOCATED</vt:lpstr>
      <vt:lpstr>'Mutual Security'!ALLOCATED</vt:lpstr>
      <vt:lpstr>'National Affiliated'!ALLOCATED</vt:lpstr>
      <vt:lpstr>'National Heritage'!ALLOCATED</vt:lpstr>
      <vt:lpstr>'National States'!ALLOCATED</vt:lpstr>
      <vt:lpstr>'Natl American'!ALLOCATED</vt:lpstr>
      <vt:lpstr>'New Jersey Life'!ALLOCATED</vt:lpstr>
      <vt:lpstr>NNIC!ALLOCATED</vt:lpstr>
      <vt:lpstr>'North Carolina Mutual'!ALLOCATED</vt:lpstr>
      <vt:lpstr>'Old Colony Life'!ALLOCATED</vt:lpstr>
      <vt:lpstr>'Old Faithful'!ALLOCATED</vt:lpstr>
      <vt:lpstr>'Open Summary'!ALLOCATED</vt:lpstr>
      <vt:lpstr>'Pacific Standard'!ALLOCATED</vt:lpstr>
      <vt:lpstr>'Pavonia Life'!ALLOCATED</vt:lpstr>
      <vt:lpstr>'Pen  Treaty'!ALLOCATED</vt:lpstr>
      <vt:lpstr>'Pre-Liquidation Summary'!ALLOCATED</vt:lpstr>
      <vt:lpstr>'Red Rock'!ALLOCATED</vt:lpstr>
      <vt:lpstr>'Released from Oversight Summary'!ALLOCATED</vt:lpstr>
      <vt:lpstr>Reliance!ALLOCATED</vt:lpstr>
      <vt:lpstr>SeeChange!ALLOCATED</vt:lpstr>
      <vt:lpstr>'Senior American'!ALLOCATED</vt:lpstr>
      <vt:lpstr>Settlers!ALLOCATED</vt:lpstr>
      <vt:lpstr>Shenandoah!ALLOCATED</vt:lpstr>
      <vt:lpstr>'Southland National Life'!ALLOCATED</vt:lpstr>
      <vt:lpstr>'Standard Life IN'!ALLOCATED</vt:lpstr>
      <vt:lpstr>'States General'!ALLOCATED</vt:lpstr>
      <vt:lpstr>Statesman!ALLOCATED</vt:lpstr>
      <vt:lpstr>'Summit National'!ALLOCATED</vt:lpstr>
      <vt:lpstr>Supreme!ALLOCATED</vt:lpstr>
      <vt:lpstr>Time!ALLOCATED</vt:lpstr>
      <vt:lpstr>'Total Summary'!ALLOCATED</vt:lpstr>
      <vt:lpstr>Underwriters!ALLOCATED</vt:lpstr>
      <vt:lpstr>Unison!ALLOCATED</vt:lpstr>
      <vt:lpstr>'United Republic'!ALLOCATED</vt:lpstr>
      <vt:lpstr>'Universal Health Care'!ALLOCATED</vt:lpstr>
      <vt:lpstr>'Universal Life'!ALLOCATED</vt:lpstr>
      <vt:lpstr>Universe!ALLOCATED</vt:lpstr>
      <vt:lpstr>Villanova!ALLOCATED</vt:lpstr>
      <vt:lpstr>'Alabama Life'!AR_FINANCIAL</vt:lpstr>
      <vt:lpstr>'Amer Life Asr'!AR_FINANCIAL</vt:lpstr>
      <vt:lpstr>'Amer Std Life Acc'!AR_FINANCIAL</vt:lpstr>
      <vt:lpstr>'American Chambers'!AR_FINANCIAL</vt:lpstr>
      <vt:lpstr>'American Community'!AR_FINANCIAL</vt:lpstr>
      <vt:lpstr>'American Educators'!AR_FINANCIAL</vt:lpstr>
      <vt:lpstr>'American Integrity'!AR_FINANCIAL</vt:lpstr>
      <vt:lpstr>'American Medical'!AR_FINANCIAL</vt:lpstr>
      <vt:lpstr>'American Network'!AR_FINANCIAL</vt:lpstr>
      <vt:lpstr>AmerWstrn!AR_FINANCIAL</vt:lpstr>
      <vt:lpstr>'AMS Life'!AR_FINANCIAL</vt:lpstr>
      <vt:lpstr>'Andrew Jackson'!AR_FINANCIAL</vt:lpstr>
      <vt:lpstr>'Bankers Commercial'!AR_FINANCIAL</vt:lpstr>
      <vt:lpstr>'Bankers Life'!AR_FINANCIAL</vt:lpstr>
      <vt:lpstr>Benicorp!AR_FINANCIAL</vt:lpstr>
      <vt:lpstr>'Booker T Washington'!AR_FINANCIAL</vt:lpstr>
      <vt:lpstr>Centennial!AR_FINANCIAL</vt:lpstr>
      <vt:lpstr>'CO Bankers'!AR_FINANCIAL</vt:lpstr>
      <vt:lpstr>'Coastal States'!AR_FINANCIAL</vt:lpstr>
      <vt:lpstr>'Colorado Health'!AR_FINANCIAL</vt:lpstr>
      <vt:lpstr>'Compass (dbs Meritus)'!AR_FINANCIAL</vt:lpstr>
      <vt:lpstr>'Confed Life &amp; Annty (CLIAC)'!AR_FINANCIAL</vt:lpstr>
      <vt:lpstr>'Confed Life (CLIC)'!AR_FINANCIAL</vt:lpstr>
      <vt:lpstr>'Consolidated National'!AR_FINANCIAL</vt:lpstr>
      <vt:lpstr>'Consumers Choice'!AR_FINANCIAL</vt:lpstr>
      <vt:lpstr>'Consumers Mutual'!AR_FINANCIAL</vt:lpstr>
      <vt:lpstr>'Consumers United'!AR_FINANCIAL</vt:lpstr>
      <vt:lpstr>CoOportunity!AR_FINANCIAL</vt:lpstr>
      <vt:lpstr>'Coordinated Hlth'!AR_FINANCIAL</vt:lpstr>
      <vt:lpstr>'Corporate Life'!AR_FINANCIAL</vt:lpstr>
      <vt:lpstr>'Diamond Benefits'!AR_FINANCIAL</vt:lpstr>
      <vt:lpstr>'EBL Life'!AR_FINANCIAL</vt:lpstr>
      <vt:lpstr>ELNY!AR_FINANCIAL</vt:lpstr>
      <vt:lpstr>'Executive Life'!AR_FINANCIAL</vt:lpstr>
      <vt:lpstr>'Family Guaranty'!AR_FINANCIAL</vt:lpstr>
      <vt:lpstr>'Farmers &amp; Ranchers'!AR_FINANCIAL</vt:lpstr>
      <vt:lpstr>'Fidelity Bankers'!AR_FINANCIAL</vt:lpstr>
      <vt:lpstr>'Fidelity Mutual'!AR_FINANCIAL</vt:lpstr>
      <vt:lpstr>'First Capital'!AR_FINANCIAL</vt:lpstr>
      <vt:lpstr>'First Natl'!AR_FINANCIAL</vt:lpstr>
      <vt:lpstr>'First Natl (Thrnr)'!AR_FINANCIAL</vt:lpstr>
      <vt:lpstr>'Franklin American'!AR_FINANCIAL</vt:lpstr>
      <vt:lpstr>'Franklin Protective'!AR_FINANCIAL</vt:lpstr>
      <vt:lpstr>'Freelancers CO-OP'!AR_FINANCIAL</vt:lpstr>
      <vt:lpstr>Freestone!AR_FINANCIAL</vt:lpstr>
      <vt:lpstr>'George Washington'!AR_FINANCIAL</vt:lpstr>
      <vt:lpstr>'Golden State'!AR_FINANCIAL</vt:lpstr>
      <vt:lpstr>'Guarantee Security'!AR_FINANCIAL</vt:lpstr>
      <vt:lpstr>HealthyCT!AR_FINANCIAL</vt:lpstr>
      <vt:lpstr>Imerica!AR_FINANCIAL</vt:lpstr>
      <vt:lpstr>'Inter-American'!AR_FINANCIAL</vt:lpstr>
      <vt:lpstr>'International Fin'!AR_FINANCIAL</vt:lpstr>
      <vt:lpstr>'Investment Life of America'!AR_FINANCIAL</vt:lpstr>
      <vt:lpstr>'Investors Equity'!AR_FINANCIAL</vt:lpstr>
      <vt:lpstr>'Kentucky Central'!AR_FINANCIAL</vt:lpstr>
      <vt:lpstr>'Land of Lincoln'!AR_FINANCIAL</vt:lpstr>
      <vt:lpstr>Legion!AR_FINANCIAL</vt:lpstr>
      <vt:lpstr>'Life Health America'!AR_FINANCIAL</vt:lpstr>
      <vt:lpstr>'Lincoln Memorial'!AR_FINANCIAL</vt:lpstr>
      <vt:lpstr>'London Pac'!AR_FINANCIAL</vt:lpstr>
      <vt:lpstr>Lumbermens!AR_FINANCIAL</vt:lpstr>
      <vt:lpstr>'Medical Savings'!AR_FINANCIAL</vt:lpstr>
      <vt:lpstr>'Memorial Service'!AR_FINANCIAL</vt:lpstr>
      <vt:lpstr>Midcontinent!AR_FINANCIAL</vt:lpstr>
      <vt:lpstr>'Midwest Life'!AR_FINANCIAL</vt:lpstr>
      <vt:lpstr>'Monarch Life'!AR_FINANCIAL</vt:lpstr>
      <vt:lpstr>'Mutual Benefit'!AR_FINANCIAL</vt:lpstr>
      <vt:lpstr>'Mutual Security'!AR_FINANCIAL</vt:lpstr>
      <vt:lpstr>'National Affiliated'!AR_FINANCIAL</vt:lpstr>
      <vt:lpstr>'National Heritage'!AR_FINANCIAL</vt:lpstr>
      <vt:lpstr>'National States'!AR_FINANCIAL</vt:lpstr>
      <vt:lpstr>'Natl American'!AR_FINANCIAL</vt:lpstr>
      <vt:lpstr>'New Jersey Life'!AR_FINANCIAL</vt:lpstr>
      <vt:lpstr>NNIC!AR_FINANCIAL</vt:lpstr>
      <vt:lpstr>'North Carolina Mutual'!AR_FINANCIAL</vt:lpstr>
      <vt:lpstr>'Old Colony Life'!AR_FINANCIAL</vt:lpstr>
      <vt:lpstr>'Old Faithful'!AR_FINANCIAL</vt:lpstr>
      <vt:lpstr>'Pacific Standard'!AR_FINANCIAL</vt:lpstr>
      <vt:lpstr>'Pavonia Life'!AR_FINANCIAL</vt:lpstr>
      <vt:lpstr>'Pen  Treaty'!AR_FINANCIAL</vt:lpstr>
      <vt:lpstr>'Red Rock'!AR_FINANCIAL</vt:lpstr>
      <vt:lpstr>Reliance!AR_FINANCIAL</vt:lpstr>
      <vt:lpstr>SeeChange!AR_FINANCIAL</vt:lpstr>
      <vt:lpstr>'Senior American'!AR_FINANCIAL</vt:lpstr>
      <vt:lpstr>Settlers!AR_FINANCIAL</vt:lpstr>
      <vt:lpstr>Shenandoah!AR_FINANCIAL</vt:lpstr>
      <vt:lpstr>'Southland National Life'!AR_FINANCIAL</vt:lpstr>
      <vt:lpstr>'Standard Life IN'!AR_FINANCIAL</vt:lpstr>
      <vt:lpstr>'States General'!AR_FINANCIAL</vt:lpstr>
      <vt:lpstr>Statesman!AR_FINANCIAL</vt:lpstr>
      <vt:lpstr>'Summit National'!AR_FINANCIAL</vt:lpstr>
      <vt:lpstr>Supreme!AR_FINANCIAL</vt:lpstr>
      <vt:lpstr>Time!AR_FINANCIAL</vt:lpstr>
      <vt:lpstr>'Total Summary'!AR_FINANCIAL</vt:lpstr>
      <vt:lpstr>Underwriters!AR_FINANCIAL</vt:lpstr>
      <vt:lpstr>Unison!AR_FINANCIAL</vt:lpstr>
      <vt:lpstr>'United Republic'!AR_FINANCIAL</vt:lpstr>
      <vt:lpstr>'Universal Health Care'!AR_FINANCIAL</vt:lpstr>
      <vt:lpstr>'Universal Life'!AR_FINANCIAL</vt:lpstr>
      <vt:lpstr>Universe!AR_FINANCIAL</vt:lpstr>
      <vt:lpstr>Villanova!AR_FINANCIAL</vt:lpstr>
      <vt:lpstr>'Alabama Life'!AZ_FINANCIAL</vt:lpstr>
      <vt:lpstr>'Amer Life Asr'!AZ_FINANCIAL</vt:lpstr>
      <vt:lpstr>'Amer Std Life Acc'!AZ_FINANCIAL</vt:lpstr>
      <vt:lpstr>'American Chambers'!AZ_FINANCIAL</vt:lpstr>
      <vt:lpstr>'American Community'!AZ_FINANCIAL</vt:lpstr>
      <vt:lpstr>'American Educators'!AZ_FINANCIAL</vt:lpstr>
      <vt:lpstr>'American Integrity'!AZ_FINANCIAL</vt:lpstr>
      <vt:lpstr>'American Medical'!AZ_FINANCIAL</vt:lpstr>
      <vt:lpstr>'American Network'!AZ_FINANCIAL</vt:lpstr>
      <vt:lpstr>AmerWstrn!AZ_FINANCIAL</vt:lpstr>
      <vt:lpstr>'AMS Life'!AZ_FINANCIAL</vt:lpstr>
      <vt:lpstr>'Andrew Jackson'!AZ_FINANCIAL</vt:lpstr>
      <vt:lpstr>'Bankers Commercial'!AZ_FINANCIAL</vt:lpstr>
      <vt:lpstr>'Bankers Life'!AZ_FINANCIAL</vt:lpstr>
      <vt:lpstr>Benicorp!AZ_FINANCIAL</vt:lpstr>
      <vt:lpstr>'Booker T Washington'!AZ_FINANCIAL</vt:lpstr>
      <vt:lpstr>Centennial!AZ_FINANCIAL</vt:lpstr>
      <vt:lpstr>'CO Bankers'!AZ_FINANCIAL</vt:lpstr>
      <vt:lpstr>'Coastal States'!AZ_FINANCIAL</vt:lpstr>
      <vt:lpstr>'Colorado Health'!AZ_FINANCIAL</vt:lpstr>
      <vt:lpstr>'Compass (dbs Meritus)'!AZ_FINANCIAL</vt:lpstr>
      <vt:lpstr>'Confed Life &amp; Annty (CLIAC)'!AZ_FINANCIAL</vt:lpstr>
      <vt:lpstr>'Confed Life (CLIC)'!AZ_FINANCIAL</vt:lpstr>
      <vt:lpstr>'Consolidated National'!AZ_FINANCIAL</vt:lpstr>
      <vt:lpstr>'Consumers Choice'!AZ_FINANCIAL</vt:lpstr>
      <vt:lpstr>'Consumers Mutual'!AZ_FINANCIAL</vt:lpstr>
      <vt:lpstr>'Consumers United'!AZ_FINANCIAL</vt:lpstr>
      <vt:lpstr>CoOportunity!AZ_FINANCIAL</vt:lpstr>
      <vt:lpstr>'Coordinated Hlth'!AZ_FINANCIAL</vt:lpstr>
      <vt:lpstr>'Corporate Life'!AZ_FINANCIAL</vt:lpstr>
      <vt:lpstr>'Diamond Benefits'!AZ_FINANCIAL</vt:lpstr>
      <vt:lpstr>'EBL Life'!AZ_FINANCIAL</vt:lpstr>
      <vt:lpstr>ELNY!AZ_FINANCIAL</vt:lpstr>
      <vt:lpstr>'Executive Life'!AZ_FINANCIAL</vt:lpstr>
      <vt:lpstr>'Family Guaranty'!AZ_FINANCIAL</vt:lpstr>
      <vt:lpstr>'Farmers &amp; Ranchers'!AZ_FINANCIAL</vt:lpstr>
      <vt:lpstr>'Fidelity Bankers'!AZ_FINANCIAL</vt:lpstr>
      <vt:lpstr>'Fidelity Mutual'!AZ_FINANCIAL</vt:lpstr>
      <vt:lpstr>'First Capital'!AZ_FINANCIAL</vt:lpstr>
      <vt:lpstr>'First Natl'!AZ_FINANCIAL</vt:lpstr>
      <vt:lpstr>'First Natl (Thrnr)'!AZ_FINANCIAL</vt:lpstr>
      <vt:lpstr>'Franklin American'!AZ_FINANCIAL</vt:lpstr>
      <vt:lpstr>'Franklin Protective'!AZ_FINANCIAL</vt:lpstr>
      <vt:lpstr>'Freelancers CO-OP'!AZ_FINANCIAL</vt:lpstr>
      <vt:lpstr>Freestone!AZ_FINANCIAL</vt:lpstr>
      <vt:lpstr>'George Washington'!AZ_FINANCIAL</vt:lpstr>
      <vt:lpstr>'Golden State'!AZ_FINANCIAL</vt:lpstr>
      <vt:lpstr>'Guarantee Security'!AZ_FINANCIAL</vt:lpstr>
      <vt:lpstr>HealthyCT!AZ_FINANCIAL</vt:lpstr>
      <vt:lpstr>Imerica!AZ_FINANCIAL</vt:lpstr>
      <vt:lpstr>'Inter-American'!AZ_FINANCIAL</vt:lpstr>
      <vt:lpstr>'International Fin'!AZ_FINANCIAL</vt:lpstr>
      <vt:lpstr>'Investment Life of America'!AZ_FINANCIAL</vt:lpstr>
      <vt:lpstr>'Investors Equity'!AZ_FINANCIAL</vt:lpstr>
      <vt:lpstr>'Kentucky Central'!AZ_FINANCIAL</vt:lpstr>
      <vt:lpstr>'Land of Lincoln'!AZ_FINANCIAL</vt:lpstr>
      <vt:lpstr>Legion!AZ_FINANCIAL</vt:lpstr>
      <vt:lpstr>'Life Health America'!AZ_FINANCIAL</vt:lpstr>
      <vt:lpstr>'Lincoln Memorial'!AZ_FINANCIAL</vt:lpstr>
      <vt:lpstr>'London Pac'!AZ_FINANCIAL</vt:lpstr>
      <vt:lpstr>Lumbermens!AZ_FINANCIAL</vt:lpstr>
      <vt:lpstr>'Medical Savings'!AZ_FINANCIAL</vt:lpstr>
      <vt:lpstr>'Memorial Service'!AZ_FINANCIAL</vt:lpstr>
      <vt:lpstr>Midcontinent!AZ_FINANCIAL</vt:lpstr>
      <vt:lpstr>'Midwest Life'!AZ_FINANCIAL</vt:lpstr>
      <vt:lpstr>'Monarch Life'!AZ_FINANCIAL</vt:lpstr>
      <vt:lpstr>'Mutual Benefit'!AZ_FINANCIAL</vt:lpstr>
      <vt:lpstr>'Mutual Security'!AZ_FINANCIAL</vt:lpstr>
      <vt:lpstr>'National Affiliated'!AZ_FINANCIAL</vt:lpstr>
      <vt:lpstr>'National Heritage'!AZ_FINANCIAL</vt:lpstr>
      <vt:lpstr>'National States'!AZ_FINANCIAL</vt:lpstr>
      <vt:lpstr>'Natl American'!AZ_FINANCIAL</vt:lpstr>
      <vt:lpstr>'New Jersey Life'!AZ_FINANCIAL</vt:lpstr>
      <vt:lpstr>NNIC!AZ_FINANCIAL</vt:lpstr>
      <vt:lpstr>'North Carolina Mutual'!AZ_FINANCIAL</vt:lpstr>
      <vt:lpstr>'Old Colony Life'!AZ_FINANCIAL</vt:lpstr>
      <vt:lpstr>'Old Faithful'!AZ_FINANCIAL</vt:lpstr>
      <vt:lpstr>'Pacific Standard'!AZ_FINANCIAL</vt:lpstr>
      <vt:lpstr>'Pavonia Life'!AZ_FINANCIAL</vt:lpstr>
      <vt:lpstr>'Pen  Treaty'!AZ_FINANCIAL</vt:lpstr>
      <vt:lpstr>'Red Rock'!AZ_FINANCIAL</vt:lpstr>
      <vt:lpstr>Reliance!AZ_FINANCIAL</vt:lpstr>
      <vt:lpstr>SeeChange!AZ_FINANCIAL</vt:lpstr>
      <vt:lpstr>'Senior American'!AZ_FINANCIAL</vt:lpstr>
      <vt:lpstr>Settlers!AZ_FINANCIAL</vt:lpstr>
      <vt:lpstr>Shenandoah!AZ_FINANCIAL</vt:lpstr>
      <vt:lpstr>'Southland National Life'!AZ_FINANCIAL</vt:lpstr>
      <vt:lpstr>'Standard Life IN'!AZ_FINANCIAL</vt:lpstr>
      <vt:lpstr>'States General'!AZ_FINANCIAL</vt:lpstr>
      <vt:lpstr>Statesman!AZ_FINANCIAL</vt:lpstr>
      <vt:lpstr>'Summit National'!AZ_FINANCIAL</vt:lpstr>
      <vt:lpstr>Supreme!AZ_FINANCIAL</vt:lpstr>
      <vt:lpstr>Time!AZ_FINANCIAL</vt:lpstr>
      <vt:lpstr>'Total Summary'!AZ_FINANCIAL</vt:lpstr>
      <vt:lpstr>Underwriters!AZ_FINANCIAL</vt:lpstr>
      <vt:lpstr>Unison!AZ_FINANCIAL</vt:lpstr>
      <vt:lpstr>'United Republic'!AZ_FINANCIAL</vt:lpstr>
      <vt:lpstr>'Universal Health Care'!AZ_FINANCIAL</vt:lpstr>
      <vt:lpstr>'Universal Life'!AZ_FINANCIAL</vt:lpstr>
      <vt:lpstr>Universe!AZ_FINANCIAL</vt:lpstr>
      <vt:lpstr>Villanova!AZ_FINANCIAL</vt:lpstr>
      <vt:lpstr>'Alabama Life'!CA_FINANCIAL</vt:lpstr>
      <vt:lpstr>'Amer Life Asr'!CA_FINANCIAL</vt:lpstr>
      <vt:lpstr>'Amer Std Life Acc'!CA_FINANCIAL</vt:lpstr>
      <vt:lpstr>'American Chambers'!CA_FINANCIAL</vt:lpstr>
      <vt:lpstr>'American Community'!CA_FINANCIAL</vt:lpstr>
      <vt:lpstr>'American Educators'!CA_FINANCIAL</vt:lpstr>
      <vt:lpstr>'American Integrity'!CA_FINANCIAL</vt:lpstr>
      <vt:lpstr>'American Medical'!CA_FINANCIAL</vt:lpstr>
      <vt:lpstr>'American Network'!CA_FINANCIAL</vt:lpstr>
      <vt:lpstr>AmerWstrn!CA_FINANCIAL</vt:lpstr>
      <vt:lpstr>'AMS Life'!CA_FINANCIAL</vt:lpstr>
      <vt:lpstr>'Andrew Jackson'!CA_FINANCIAL</vt:lpstr>
      <vt:lpstr>'Bankers Commercial'!CA_FINANCIAL</vt:lpstr>
      <vt:lpstr>'Bankers Life'!CA_FINANCIAL</vt:lpstr>
      <vt:lpstr>Benicorp!CA_FINANCIAL</vt:lpstr>
      <vt:lpstr>'Booker T Washington'!CA_FINANCIAL</vt:lpstr>
      <vt:lpstr>Centennial!CA_FINANCIAL</vt:lpstr>
      <vt:lpstr>'CO Bankers'!CA_FINANCIAL</vt:lpstr>
      <vt:lpstr>'Coastal States'!CA_FINANCIAL</vt:lpstr>
      <vt:lpstr>'Colorado Health'!CA_FINANCIAL</vt:lpstr>
      <vt:lpstr>'Compass (dbs Meritus)'!CA_FINANCIAL</vt:lpstr>
      <vt:lpstr>'Confed Life &amp; Annty (CLIAC)'!CA_FINANCIAL</vt:lpstr>
      <vt:lpstr>'Confed Life (CLIC)'!CA_FINANCIAL</vt:lpstr>
      <vt:lpstr>'Consolidated National'!CA_FINANCIAL</vt:lpstr>
      <vt:lpstr>'Consumers Choice'!CA_FINANCIAL</vt:lpstr>
      <vt:lpstr>'Consumers Mutual'!CA_FINANCIAL</vt:lpstr>
      <vt:lpstr>'Consumers United'!CA_FINANCIAL</vt:lpstr>
      <vt:lpstr>CoOportunity!CA_FINANCIAL</vt:lpstr>
      <vt:lpstr>'Coordinated Hlth'!CA_FINANCIAL</vt:lpstr>
      <vt:lpstr>'Corporate Life'!CA_FINANCIAL</vt:lpstr>
      <vt:lpstr>'Diamond Benefits'!CA_FINANCIAL</vt:lpstr>
      <vt:lpstr>'EBL Life'!CA_FINANCIAL</vt:lpstr>
      <vt:lpstr>ELNY!CA_FINANCIAL</vt:lpstr>
      <vt:lpstr>'Executive Life'!CA_FINANCIAL</vt:lpstr>
      <vt:lpstr>'Family Guaranty'!CA_FINANCIAL</vt:lpstr>
      <vt:lpstr>'Farmers &amp; Ranchers'!CA_FINANCIAL</vt:lpstr>
      <vt:lpstr>'Fidelity Bankers'!CA_FINANCIAL</vt:lpstr>
      <vt:lpstr>'Fidelity Mutual'!CA_FINANCIAL</vt:lpstr>
      <vt:lpstr>'First Capital'!CA_FINANCIAL</vt:lpstr>
      <vt:lpstr>'First Natl'!CA_FINANCIAL</vt:lpstr>
      <vt:lpstr>'First Natl (Thrnr)'!CA_FINANCIAL</vt:lpstr>
      <vt:lpstr>'Franklin American'!CA_FINANCIAL</vt:lpstr>
      <vt:lpstr>'Franklin Protective'!CA_FINANCIAL</vt:lpstr>
      <vt:lpstr>'Freelancers CO-OP'!CA_FINANCIAL</vt:lpstr>
      <vt:lpstr>Freestone!CA_FINANCIAL</vt:lpstr>
      <vt:lpstr>'George Washington'!CA_FINANCIAL</vt:lpstr>
      <vt:lpstr>'Golden State'!CA_FINANCIAL</vt:lpstr>
      <vt:lpstr>'Guarantee Security'!CA_FINANCIAL</vt:lpstr>
      <vt:lpstr>HealthyCT!CA_FINANCIAL</vt:lpstr>
      <vt:lpstr>Imerica!CA_FINANCIAL</vt:lpstr>
      <vt:lpstr>'Inter-American'!CA_FINANCIAL</vt:lpstr>
      <vt:lpstr>'International Fin'!CA_FINANCIAL</vt:lpstr>
      <vt:lpstr>'Investment Life of America'!CA_FINANCIAL</vt:lpstr>
      <vt:lpstr>'Investors Equity'!CA_FINANCIAL</vt:lpstr>
      <vt:lpstr>'Kentucky Central'!CA_FINANCIAL</vt:lpstr>
      <vt:lpstr>'Land of Lincoln'!CA_FINANCIAL</vt:lpstr>
      <vt:lpstr>Legion!CA_FINANCIAL</vt:lpstr>
      <vt:lpstr>'Life Health America'!CA_FINANCIAL</vt:lpstr>
      <vt:lpstr>'Lincoln Memorial'!CA_FINANCIAL</vt:lpstr>
      <vt:lpstr>'London Pac'!CA_FINANCIAL</vt:lpstr>
      <vt:lpstr>Lumbermens!CA_FINANCIAL</vt:lpstr>
      <vt:lpstr>'Medical Savings'!CA_FINANCIAL</vt:lpstr>
      <vt:lpstr>'Memorial Service'!CA_FINANCIAL</vt:lpstr>
      <vt:lpstr>Midcontinent!CA_FINANCIAL</vt:lpstr>
      <vt:lpstr>'Midwest Life'!CA_FINANCIAL</vt:lpstr>
      <vt:lpstr>'Monarch Life'!CA_FINANCIAL</vt:lpstr>
      <vt:lpstr>'Mutual Benefit'!CA_FINANCIAL</vt:lpstr>
      <vt:lpstr>'Mutual Security'!CA_FINANCIAL</vt:lpstr>
      <vt:lpstr>'National Affiliated'!CA_FINANCIAL</vt:lpstr>
      <vt:lpstr>'National Heritage'!CA_FINANCIAL</vt:lpstr>
      <vt:lpstr>'National States'!CA_FINANCIAL</vt:lpstr>
      <vt:lpstr>'Natl American'!CA_FINANCIAL</vt:lpstr>
      <vt:lpstr>'New Jersey Life'!CA_FINANCIAL</vt:lpstr>
      <vt:lpstr>NNIC!CA_FINANCIAL</vt:lpstr>
      <vt:lpstr>'North Carolina Mutual'!CA_FINANCIAL</vt:lpstr>
      <vt:lpstr>'Old Colony Life'!CA_FINANCIAL</vt:lpstr>
      <vt:lpstr>'Old Faithful'!CA_FINANCIAL</vt:lpstr>
      <vt:lpstr>'Pacific Standard'!CA_FINANCIAL</vt:lpstr>
      <vt:lpstr>'Pavonia Life'!CA_FINANCIAL</vt:lpstr>
      <vt:lpstr>'Pen  Treaty'!CA_FINANCIAL</vt:lpstr>
      <vt:lpstr>'Red Rock'!CA_FINANCIAL</vt:lpstr>
      <vt:lpstr>Reliance!CA_FINANCIAL</vt:lpstr>
      <vt:lpstr>SeeChange!CA_FINANCIAL</vt:lpstr>
      <vt:lpstr>'Senior American'!CA_FINANCIAL</vt:lpstr>
      <vt:lpstr>Settlers!CA_FINANCIAL</vt:lpstr>
      <vt:lpstr>Shenandoah!CA_FINANCIAL</vt:lpstr>
      <vt:lpstr>'Southland National Life'!CA_FINANCIAL</vt:lpstr>
      <vt:lpstr>'Standard Life IN'!CA_FINANCIAL</vt:lpstr>
      <vt:lpstr>'States General'!CA_FINANCIAL</vt:lpstr>
      <vt:lpstr>Statesman!CA_FINANCIAL</vt:lpstr>
      <vt:lpstr>'Summit National'!CA_FINANCIAL</vt:lpstr>
      <vt:lpstr>Supreme!CA_FINANCIAL</vt:lpstr>
      <vt:lpstr>Time!CA_FINANCIAL</vt:lpstr>
      <vt:lpstr>'Total Summary'!CA_FINANCIAL</vt:lpstr>
      <vt:lpstr>Underwriters!CA_FINANCIAL</vt:lpstr>
      <vt:lpstr>Unison!CA_FINANCIAL</vt:lpstr>
      <vt:lpstr>'United Republic'!CA_FINANCIAL</vt:lpstr>
      <vt:lpstr>'Universal Health Care'!CA_FINANCIAL</vt:lpstr>
      <vt:lpstr>'Universal Life'!CA_FINANCIAL</vt:lpstr>
      <vt:lpstr>Universe!CA_FINANCIAL</vt:lpstr>
      <vt:lpstr>Villanova!CA_FINANCIAL</vt:lpstr>
      <vt:lpstr>Summary!CL_ALLOC_CALLED</vt:lpstr>
      <vt:lpstr>Summary!CL_ALLOC_REFUNDED</vt:lpstr>
      <vt:lpstr>Summary!CL_ALLOCATED</vt:lpstr>
      <vt:lpstr>Summary!CL_CHANGE</vt:lpstr>
      <vt:lpstr>Summary!CL_HEALTH</vt:lpstr>
      <vt:lpstr>Summary!CL_HEALTH_CALLED</vt:lpstr>
      <vt:lpstr>Summary!CL_HEALTH_REFUNDED</vt:lpstr>
      <vt:lpstr>Summary!CL_LIFE</vt:lpstr>
      <vt:lpstr>Summary!CL_LIFE_CALLED</vt:lpstr>
      <vt:lpstr>Summary!CL_LIFE_REFUNDED</vt:lpstr>
      <vt:lpstr>Summary!CL_LTC</vt:lpstr>
      <vt:lpstr>Summary!CL_TOTAL</vt:lpstr>
      <vt:lpstr>Summary!CL_TOTAL_PREV</vt:lpstr>
      <vt:lpstr>Summary!CL_UNALLOC_CALLED</vt:lpstr>
      <vt:lpstr>Summary!CL_UNALLOC_REFUNDED</vt:lpstr>
      <vt:lpstr>Summary!CL_UNALLOCATED</vt:lpstr>
      <vt:lpstr>'Alabama Life'!CO_FINANCIAL</vt:lpstr>
      <vt:lpstr>'Amer Life Asr'!CO_FINANCIAL</vt:lpstr>
      <vt:lpstr>'Amer Std Life Acc'!CO_FINANCIAL</vt:lpstr>
      <vt:lpstr>'American Chambers'!CO_FINANCIAL</vt:lpstr>
      <vt:lpstr>'American Community'!CO_FINANCIAL</vt:lpstr>
      <vt:lpstr>'American Educators'!CO_FINANCIAL</vt:lpstr>
      <vt:lpstr>'American Integrity'!CO_FINANCIAL</vt:lpstr>
      <vt:lpstr>'American Medical'!CO_FINANCIAL</vt:lpstr>
      <vt:lpstr>'American Network'!CO_FINANCIAL</vt:lpstr>
      <vt:lpstr>AmerWstrn!CO_FINANCIAL</vt:lpstr>
      <vt:lpstr>'AMS Life'!CO_FINANCIAL</vt:lpstr>
      <vt:lpstr>'Andrew Jackson'!CO_FINANCIAL</vt:lpstr>
      <vt:lpstr>'Bankers Commercial'!CO_FINANCIAL</vt:lpstr>
      <vt:lpstr>'Bankers Life'!CO_FINANCIAL</vt:lpstr>
      <vt:lpstr>Benicorp!CO_FINANCIAL</vt:lpstr>
      <vt:lpstr>'Booker T Washington'!CO_FINANCIAL</vt:lpstr>
      <vt:lpstr>Centennial!CO_FINANCIAL</vt:lpstr>
      <vt:lpstr>'CO Bankers'!CO_FINANCIAL</vt:lpstr>
      <vt:lpstr>'Coastal States'!CO_FINANCIAL</vt:lpstr>
      <vt:lpstr>'Colorado Health'!CO_FINANCIAL</vt:lpstr>
      <vt:lpstr>'Compass (dbs Meritus)'!CO_FINANCIAL</vt:lpstr>
      <vt:lpstr>'Confed Life &amp; Annty (CLIAC)'!CO_FINANCIAL</vt:lpstr>
      <vt:lpstr>'Confed Life (CLIC)'!CO_FINANCIAL</vt:lpstr>
      <vt:lpstr>'Consolidated National'!CO_FINANCIAL</vt:lpstr>
      <vt:lpstr>'Consumers Choice'!CO_FINANCIAL</vt:lpstr>
      <vt:lpstr>'Consumers Mutual'!CO_FINANCIAL</vt:lpstr>
      <vt:lpstr>'Consumers United'!CO_FINANCIAL</vt:lpstr>
      <vt:lpstr>CoOportunity!CO_FINANCIAL</vt:lpstr>
      <vt:lpstr>'Coordinated Hlth'!CO_FINANCIAL</vt:lpstr>
      <vt:lpstr>'Corporate Life'!CO_FINANCIAL</vt:lpstr>
      <vt:lpstr>'Diamond Benefits'!CO_FINANCIAL</vt:lpstr>
      <vt:lpstr>'EBL Life'!CO_FINANCIAL</vt:lpstr>
      <vt:lpstr>ELNY!CO_FINANCIAL</vt:lpstr>
      <vt:lpstr>'Executive Life'!CO_FINANCIAL</vt:lpstr>
      <vt:lpstr>'Family Guaranty'!CO_FINANCIAL</vt:lpstr>
      <vt:lpstr>'Farmers &amp; Ranchers'!CO_FINANCIAL</vt:lpstr>
      <vt:lpstr>'Fidelity Bankers'!CO_FINANCIAL</vt:lpstr>
      <vt:lpstr>'Fidelity Mutual'!CO_FINANCIAL</vt:lpstr>
      <vt:lpstr>'First Capital'!CO_FINANCIAL</vt:lpstr>
      <vt:lpstr>'First Natl'!CO_FINANCIAL</vt:lpstr>
      <vt:lpstr>'First Natl (Thrnr)'!CO_FINANCIAL</vt:lpstr>
      <vt:lpstr>'Franklin American'!CO_FINANCIAL</vt:lpstr>
      <vt:lpstr>'Franklin Protective'!CO_FINANCIAL</vt:lpstr>
      <vt:lpstr>'Freelancers CO-OP'!CO_FINANCIAL</vt:lpstr>
      <vt:lpstr>Freestone!CO_FINANCIAL</vt:lpstr>
      <vt:lpstr>'George Washington'!CO_FINANCIAL</vt:lpstr>
      <vt:lpstr>'Golden State'!CO_FINANCIAL</vt:lpstr>
      <vt:lpstr>'Guarantee Security'!CO_FINANCIAL</vt:lpstr>
      <vt:lpstr>HealthyCT!CO_FINANCIAL</vt:lpstr>
      <vt:lpstr>Imerica!CO_FINANCIAL</vt:lpstr>
      <vt:lpstr>'Inter-American'!CO_FINANCIAL</vt:lpstr>
      <vt:lpstr>'International Fin'!CO_FINANCIAL</vt:lpstr>
      <vt:lpstr>'Investment Life of America'!CO_FINANCIAL</vt:lpstr>
      <vt:lpstr>'Investors Equity'!CO_FINANCIAL</vt:lpstr>
      <vt:lpstr>'Kentucky Central'!CO_FINANCIAL</vt:lpstr>
      <vt:lpstr>'Land of Lincoln'!CO_FINANCIAL</vt:lpstr>
      <vt:lpstr>Legion!CO_FINANCIAL</vt:lpstr>
      <vt:lpstr>'Life Health America'!CO_FINANCIAL</vt:lpstr>
      <vt:lpstr>'Lincoln Memorial'!CO_FINANCIAL</vt:lpstr>
      <vt:lpstr>'London Pac'!CO_FINANCIAL</vt:lpstr>
      <vt:lpstr>Lumbermens!CO_FINANCIAL</vt:lpstr>
      <vt:lpstr>'Medical Savings'!CO_FINANCIAL</vt:lpstr>
      <vt:lpstr>'Memorial Service'!CO_FINANCIAL</vt:lpstr>
      <vt:lpstr>Midcontinent!CO_FINANCIAL</vt:lpstr>
      <vt:lpstr>'Midwest Life'!CO_FINANCIAL</vt:lpstr>
      <vt:lpstr>'Monarch Life'!CO_FINANCIAL</vt:lpstr>
      <vt:lpstr>'Mutual Benefit'!CO_FINANCIAL</vt:lpstr>
      <vt:lpstr>'Mutual Security'!CO_FINANCIAL</vt:lpstr>
      <vt:lpstr>'National Affiliated'!CO_FINANCIAL</vt:lpstr>
      <vt:lpstr>'National Heritage'!CO_FINANCIAL</vt:lpstr>
      <vt:lpstr>'National States'!CO_FINANCIAL</vt:lpstr>
      <vt:lpstr>'Natl American'!CO_FINANCIAL</vt:lpstr>
      <vt:lpstr>'New Jersey Life'!CO_FINANCIAL</vt:lpstr>
      <vt:lpstr>NNIC!CO_FINANCIAL</vt:lpstr>
      <vt:lpstr>'North Carolina Mutual'!CO_FINANCIAL</vt:lpstr>
      <vt:lpstr>'Old Colony Life'!CO_FINANCIAL</vt:lpstr>
      <vt:lpstr>'Old Faithful'!CO_FINANCIAL</vt:lpstr>
      <vt:lpstr>'Pacific Standard'!CO_FINANCIAL</vt:lpstr>
      <vt:lpstr>'Pavonia Life'!CO_FINANCIAL</vt:lpstr>
      <vt:lpstr>'Pen  Treaty'!CO_FINANCIAL</vt:lpstr>
      <vt:lpstr>'Red Rock'!CO_FINANCIAL</vt:lpstr>
      <vt:lpstr>Reliance!CO_FINANCIAL</vt:lpstr>
      <vt:lpstr>SeeChange!CO_FINANCIAL</vt:lpstr>
      <vt:lpstr>'Senior American'!CO_FINANCIAL</vt:lpstr>
      <vt:lpstr>Settlers!CO_FINANCIAL</vt:lpstr>
      <vt:lpstr>Shenandoah!CO_FINANCIAL</vt:lpstr>
      <vt:lpstr>'Southland National Life'!CO_FINANCIAL</vt:lpstr>
      <vt:lpstr>'Standard Life IN'!CO_FINANCIAL</vt:lpstr>
      <vt:lpstr>'States General'!CO_FINANCIAL</vt:lpstr>
      <vt:lpstr>Statesman!CO_FINANCIAL</vt:lpstr>
      <vt:lpstr>'Summit National'!CO_FINANCIAL</vt:lpstr>
      <vt:lpstr>Supreme!CO_FINANCIAL</vt:lpstr>
      <vt:lpstr>Time!CO_FINANCIAL</vt:lpstr>
      <vt:lpstr>'Total Summary'!CO_FINANCIAL</vt:lpstr>
      <vt:lpstr>Underwriters!CO_FINANCIAL</vt:lpstr>
      <vt:lpstr>Unison!CO_FINANCIAL</vt:lpstr>
      <vt:lpstr>'United Republic'!CO_FINANCIAL</vt:lpstr>
      <vt:lpstr>'Universal Health Care'!CO_FINANCIAL</vt:lpstr>
      <vt:lpstr>'Universal Life'!CO_FINANCIAL</vt:lpstr>
      <vt:lpstr>Universe!CO_FINANCIAL</vt:lpstr>
      <vt:lpstr>Villanova!CO_FINANCIAL</vt:lpstr>
      <vt:lpstr>'Alabama Life'!CT_FINANCIAL</vt:lpstr>
      <vt:lpstr>'Amer Life Asr'!CT_FINANCIAL</vt:lpstr>
      <vt:lpstr>'Amer Std Life Acc'!CT_FINANCIAL</vt:lpstr>
      <vt:lpstr>'American Chambers'!CT_FINANCIAL</vt:lpstr>
      <vt:lpstr>'American Community'!CT_FINANCIAL</vt:lpstr>
      <vt:lpstr>'American Educators'!CT_FINANCIAL</vt:lpstr>
      <vt:lpstr>'American Integrity'!CT_FINANCIAL</vt:lpstr>
      <vt:lpstr>'American Medical'!CT_FINANCIAL</vt:lpstr>
      <vt:lpstr>'American Network'!CT_FINANCIAL</vt:lpstr>
      <vt:lpstr>AmerWstrn!CT_FINANCIAL</vt:lpstr>
      <vt:lpstr>'AMS Life'!CT_FINANCIAL</vt:lpstr>
      <vt:lpstr>'Andrew Jackson'!CT_FINANCIAL</vt:lpstr>
      <vt:lpstr>'Bankers Commercial'!CT_FINANCIAL</vt:lpstr>
      <vt:lpstr>'Bankers Life'!CT_FINANCIAL</vt:lpstr>
      <vt:lpstr>Benicorp!CT_FINANCIAL</vt:lpstr>
      <vt:lpstr>'Booker T Washington'!CT_FINANCIAL</vt:lpstr>
      <vt:lpstr>Centennial!CT_FINANCIAL</vt:lpstr>
      <vt:lpstr>'CO Bankers'!CT_FINANCIAL</vt:lpstr>
      <vt:lpstr>'Coastal States'!CT_FINANCIAL</vt:lpstr>
      <vt:lpstr>'Colorado Health'!CT_FINANCIAL</vt:lpstr>
      <vt:lpstr>'Compass (dbs Meritus)'!CT_FINANCIAL</vt:lpstr>
      <vt:lpstr>'Confed Life &amp; Annty (CLIAC)'!CT_FINANCIAL</vt:lpstr>
      <vt:lpstr>'Confed Life (CLIC)'!CT_FINANCIAL</vt:lpstr>
      <vt:lpstr>'Consolidated National'!CT_FINANCIAL</vt:lpstr>
      <vt:lpstr>'Consumers Choice'!CT_FINANCIAL</vt:lpstr>
      <vt:lpstr>'Consumers Mutual'!CT_FINANCIAL</vt:lpstr>
      <vt:lpstr>'Consumers United'!CT_FINANCIAL</vt:lpstr>
      <vt:lpstr>CoOportunity!CT_FINANCIAL</vt:lpstr>
      <vt:lpstr>'Coordinated Hlth'!CT_FINANCIAL</vt:lpstr>
      <vt:lpstr>'Corporate Life'!CT_FINANCIAL</vt:lpstr>
      <vt:lpstr>'Diamond Benefits'!CT_FINANCIAL</vt:lpstr>
      <vt:lpstr>'EBL Life'!CT_FINANCIAL</vt:lpstr>
      <vt:lpstr>ELNY!CT_FINANCIAL</vt:lpstr>
      <vt:lpstr>'Executive Life'!CT_FINANCIAL</vt:lpstr>
      <vt:lpstr>'Family Guaranty'!CT_FINANCIAL</vt:lpstr>
      <vt:lpstr>'Farmers &amp; Ranchers'!CT_FINANCIAL</vt:lpstr>
      <vt:lpstr>'Fidelity Bankers'!CT_FINANCIAL</vt:lpstr>
      <vt:lpstr>'Fidelity Mutual'!CT_FINANCIAL</vt:lpstr>
      <vt:lpstr>'First Capital'!CT_FINANCIAL</vt:lpstr>
      <vt:lpstr>'First Natl'!CT_FINANCIAL</vt:lpstr>
      <vt:lpstr>'First Natl (Thrnr)'!CT_FINANCIAL</vt:lpstr>
      <vt:lpstr>'Franklin American'!CT_FINANCIAL</vt:lpstr>
      <vt:lpstr>'Franklin Protective'!CT_FINANCIAL</vt:lpstr>
      <vt:lpstr>'Freelancers CO-OP'!CT_FINANCIAL</vt:lpstr>
      <vt:lpstr>Freestone!CT_FINANCIAL</vt:lpstr>
      <vt:lpstr>'George Washington'!CT_FINANCIAL</vt:lpstr>
      <vt:lpstr>'Golden State'!CT_FINANCIAL</vt:lpstr>
      <vt:lpstr>'Guarantee Security'!CT_FINANCIAL</vt:lpstr>
      <vt:lpstr>HealthyCT!CT_FINANCIAL</vt:lpstr>
      <vt:lpstr>Imerica!CT_FINANCIAL</vt:lpstr>
      <vt:lpstr>'Inter-American'!CT_FINANCIAL</vt:lpstr>
      <vt:lpstr>'International Fin'!CT_FINANCIAL</vt:lpstr>
      <vt:lpstr>'Investment Life of America'!CT_FINANCIAL</vt:lpstr>
      <vt:lpstr>'Investors Equity'!CT_FINANCIAL</vt:lpstr>
      <vt:lpstr>'Kentucky Central'!CT_FINANCIAL</vt:lpstr>
      <vt:lpstr>'Land of Lincoln'!CT_FINANCIAL</vt:lpstr>
      <vt:lpstr>Legion!CT_FINANCIAL</vt:lpstr>
      <vt:lpstr>'Life Health America'!CT_FINANCIAL</vt:lpstr>
      <vt:lpstr>'Lincoln Memorial'!CT_FINANCIAL</vt:lpstr>
      <vt:lpstr>'London Pac'!CT_FINANCIAL</vt:lpstr>
      <vt:lpstr>Lumbermens!CT_FINANCIAL</vt:lpstr>
      <vt:lpstr>'Medical Savings'!CT_FINANCIAL</vt:lpstr>
      <vt:lpstr>'Memorial Service'!CT_FINANCIAL</vt:lpstr>
      <vt:lpstr>Midcontinent!CT_FINANCIAL</vt:lpstr>
      <vt:lpstr>'Midwest Life'!CT_FINANCIAL</vt:lpstr>
      <vt:lpstr>'Monarch Life'!CT_FINANCIAL</vt:lpstr>
      <vt:lpstr>'Mutual Benefit'!CT_FINANCIAL</vt:lpstr>
      <vt:lpstr>'Mutual Security'!CT_FINANCIAL</vt:lpstr>
      <vt:lpstr>'National Affiliated'!CT_FINANCIAL</vt:lpstr>
      <vt:lpstr>'National Heritage'!CT_FINANCIAL</vt:lpstr>
      <vt:lpstr>'National States'!CT_FINANCIAL</vt:lpstr>
      <vt:lpstr>'Natl American'!CT_FINANCIAL</vt:lpstr>
      <vt:lpstr>'New Jersey Life'!CT_FINANCIAL</vt:lpstr>
      <vt:lpstr>NNIC!CT_FINANCIAL</vt:lpstr>
      <vt:lpstr>'North Carolina Mutual'!CT_FINANCIAL</vt:lpstr>
      <vt:lpstr>'Old Colony Life'!CT_FINANCIAL</vt:lpstr>
      <vt:lpstr>'Old Faithful'!CT_FINANCIAL</vt:lpstr>
      <vt:lpstr>'Pacific Standard'!CT_FINANCIAL</vt:lpstr>
      <vt:lpstr>'Pavonia Life'!CT_FINANCIAL</vt:lpstr>
      <vt:lpstr>'Pen  Treaty'!CT_FINANCIAL</vt:lpstr>
      <vt:lpstr>'Red Rock'!CT_FINANCIAL</vt:lpstr>
      <vt:lpstr>Reliance!CT_FINANCIAL</vt:lpstr>
      <vt:lpstr>SeeChange!CT_FINANCIAL</vt:lpstr>
      <vt:lpstr>'Senior American'!CT_FINANCIAL</vt:lpstr>
      <vt:lpstr>Settlers!CT_FINANCIAL</vt:lpstr>
      <vt:lpstr>Shenandoah!CT_FINANCIAL</vt:lpstr>
      <vt:lpstr>'Southland National Life'!CT_FINANCIAL</vt:lpstr>
      <vt:lpstr>'Standard Life IN'!CT_FINANCIAL</vt:lpstr>
      <vt:lpstr>'States General'!CT_FINANCIAL</vt:lpstr>
      <vt:lpstr>Statesman!CT_FINANCIAL</vt:lpstr>
      <vt:lpstr>'Summit National'!CT_FINANCIAL</vt:lpstr>
      <vt:lpstr>Supreme!CT_FINANCIAL</vt:lpstr>
      <vt:lpstr>Time!CT_FINANCIAL</vt:lpstr>
      <vt:lpstr>'Total Summary'!CT_FINANCIAL</vt:lpstr>
      <vt:lpstr>Underwriters!CT_FINANCIAL</vt:lpstr>
      <vt:lpstr>Unison!CT_FINANCIAL</vt:lpstr>
      <vt:lpstr>'United Republic'!CT_FINANCIAL</vt:lpstr>
      <vt:lpstr>'Universal Health Care'!CT_FINANCIAL</vt:lpstr>
      <vt:lpstr>'Universal Life'!CT_FINANCIAL</vt:lpstr>
      <vt:lpstr>Universe!CT_FINANCIAL</vt:lpstr>
      <vt:lpstr>Villanova!CT_FINANCIAL</vt:lpstr>
      <vt:lpstr>'Alabama Life'!DC_FINANCIAL</vt:lpstr>
      <vt:lpstr>'Amer Life Asr'!DC_FINANCIAL</vt:lpstr>
      <vt:lpstr>'Amer Std Life Acc'!DC_FINANCIAL</vt:lpstr>
      <vt:lpstr>'American Chambers'!DC_FINANCIAL</vt:lpstr>
      <vt:lpstr>'American Community'!DC_FINANCIAL</vt:lpstr>
      <vt:lpstr>'American Educators'!DC_FINANCIAL</vt:lpstr>
      <vt:lpstr>'American Integrity'!DC_FINANCIAL</vt:lpstr>
      <vt:lpstr>'American Medical'!DC_FINANCIAL</vt:lpstr>
      <vt:lpstr>'American Network'!DC_FINANCIAL</vt:lpstr>
      <vt:lpstr>AmerWstrn!DC_FINANCIAL</vt:lpstr>
      <vt:lpstr>'AMS Life'!DC_FINANCIAL</vt:lpstr>
      <vt:lpstr>'Andrew Jackson'!DC_FINANCIAL</vt:lpstr>
      <vt:lpstr>'Bankers Commercial'!DC_FINANCIAL</vt:lpstr>
      <vt:lpstr>'Bankers Life'!DC_FINANCIAL</vt:lpstr>
      <vt:lpstr>Benicorp!DC_FINANCIAL</vt:lpstr>
      <vt:lpstr>'Booker T Washington'!DC_FINANCIAL</vt:lpstr>
      <vt:lpstr>Centennial!DC_FINANCIAL</vt:lpstr>
      <vt:lpstr>'CO Bankers'!DC_FINANCIAL</vt:lpstr>
      <vt:lpstr>'Coastal States'!DC_FINANCIAL</vt:lpstr>
      <vt:lpstr>'Colorado Health'!DC_FINANCIAL</vt:lpstr>
      <vt:lpstr>'Compass (dbs Meritus)'!DC_FINANCIAL</vt:lpstr>
      <vt:lpstr>'Confed Life &amp; Annty (CLIAC)'!DC_FINANCIAL</vt:lpstr>
      <vt:lpstr>'Confed Life (CLIC)'!DC_FINANCIAL</vt:lpstr>
      <vt:lpstr>'Consolidated National'!DC_FINANCIAL</vt:lpstr>
      <vt:lpstr>'Consumers Choice'!DC_FINANCIAL</vt:lpstr>
      <vt:lpstr>'Consumers Mutual'!DC_FINANCIAL</vt:lpstr>
      <vt:lpstr>'Consumers United'!DC_FINANCIAL</vt:lpstr>
      <vt:lpstr>CoOportunity!DC_FINANCIAL</vt:lpstr>
      <vt:lpstr>'Coordinated Hlth'!DC_FINANCIAL</vt:lpstr>
      <vt:lpstr>'Corporate Life'!DC_FINANCIAL</vt:lpstr>
      <vt:lpstr>'Diamond Benefits'!DC_FINANCIAL</vt:lpstr>
      <vt:lpstr>'EBL Life'!DC_FINANCIAL</vt:lpstr>
      <vt:lpstr>ELNY!DC_FINANCIAL</vt:lpstr>
      <vt:lpstr>'Executive Life'!DC_FINANCIAL</vt:lpstr>
      <vt:lpstr>'Family Guaranty'!DC_FINANCIAL</vt:lpstr>
      <vt:lpstr>'Farmers &amp; Ranchers'!DC_FINANCIAL</vt:lpstr>
      <vt:lpstr>'Fidelity Bankers'!DC_FINANCIAL</vt:lpstr>
      <vt:lpstr>'Fidelity Mutual'!DC_FINANCIAL</vt:lpstr>
      <vt:lpstr>'First Capital'!DC_FINANCIAL</vt:lpstr>
      <vt:lpstr>'First Natl'!DC_FINANCIAL</vt:lpstr>
      <vt:lpstr>'First Natl (Thrnr)'!DC_FINANCIAL</vt:lpstr>
      <vt:lpstr>'Franklin American'!DC_FINANCIAL</vt:lpstr>
      <vt:lpstr>'Franklin Protective'!DC_FINANCIAL</vt:lpstr>
      <vt:lpstr>'Freelancers CO-OP'!DC_FINANCIAL</vt:lpstr>
      <vt:lpstr>Freestone!DC_FINANCIAL</vt:lpstr>
      <vt:lpstr>'George Washington'!DC_FINANCIAL</vt:lpstr>
      <vt:lpstr>'Golden State'!DC_FINANCIAL</vt:lpstr>
      <vt:lpstr>'Guarantee Security'!DC_FINANCIAL</vt:lpstr>
      <vt:lpstr>HealthyCT!DC_FINANCIAL</vt:lpstr>
      <vt:lpstr>Imerica!DC_FINANCIAL</vt:lpstr>
      <vt:lpstr>'Inter-American'!DC_FINANCIAL</vt:lpstr>
      <vt:lpstr>'International Fin'!DC_FINANCIAL</vt:lpstr>
      <vt:lpstr>'Investment Life of America'!DC_FINANCIAL</vt:lpstr>
      <vt:lpstr>'Investors Equity'!DC_FINANCIAL</vt:lpstr>
      <vt:lpstr>'Kentucky Central'!DC_FINANCIAL</vt:lpstr>
      <vt:lpstr>'Land of Lincoln'!DC_FINANCIAL</vt:lpstr>
      <vt:lpstr>Legion!DC_FINANCIAL</vt:lpstr>
      <vt:lpstr>'Life Health America'!DC_FINANCIAL</vt:lpstr>
      <vt:lpstr>'Lincoln Memorial'!DC_FINANCIAL</vt:lpstr>
      <vt:lpstr>'London Pac'!DC_FINANCIAL</vt:lpstr>
      <vt:lpstr>Lumbermens!DC_FINANCIAL</vt:lpstr>
      <vt:lpstr>'Medical Savings'!DC_FINANCIAL</vt:lpstr>
      <vt:lpstr>'Memorial Service'!DC_FINANCIAL</vt:lpstr>
      <vt:lpstr>Midcontinent!DC_FINANCIAL</vt:lpstr>
      <vt:lpstr>'Midwest Life'!DC_FINANCIAL</vt:lpstr>
      <vt:lpstr>'Monarch Life'!DC_FINANCIAL</vt:lpstr>
      <vt:lpstr>'Mutual Benefit'!DC_FINANCIAL</vt:lpstr>
      <vt:lpstr>'Mutual Security'!DC_FINANCIAL</vt:lpstr>
      <vt:lpstr>'National Affiliated'!DC_FINANCIAL</vt:lpstr>
      <vt:lpstr>'National Heritage'!DC_FINANCIAL</vt:lpstr>
      <vt:lpstr>'National States'!DC_FINANCIAL</vt:lpstr>
      <vt:lpstr>'Natl American'!DC_FINANCIAL</vt:lpstr>
      <vt:lpstr>'New Jersey Life'!DC_FINANCIAL</vt:lpstr>
      <vt:lpstr>NNIC!DC_FINANCIAL</vt:lpstr>
      <vt:lpstr>'North Carolina Mutual'!DC_FINANCIAL</vt:lpstr>
      <vt:lpstr>'Old Colony Life'!DC_FINANCIAL</vt:lpstr>
      <vt:lpstr>'Old Faithful'!DC_FINANCIAL</vt:lpstr>
      <vt:lpstr>'Pacific Standard'!DC_FINANCIAL</vt:lpstr>
      <vt:lpstr>'Pavonia Life'!DC_FINANCIAL</vt:lpstr>
      <vt:lpstr>'Pen  Treaty'!DC_FINANCIAL</vt:lpstr>
      <vt:lpstr>'Red Rock'!DC_FINANCIAL</vt:lpstr>
      <vt:lpstr>Reliance!DC_FINANCIAL</vt:lpstr>
      <vt:lpstr>SeeChange!DC_FINANCIAL</vt:lpstr>
      <vt:lpstr>'Senior American'!DC_FINANCIAL</vt:lpstr>
      <vt:lpstr>Settlers!DC_FINANCIAL</vt:lpstr>
      <vt:lpstr>Shenandoah!DC_FINANCIAL</vt:lpstr>
      <vt:lpstr>'Southland National Life'!DC_FINANCIAL</vt:lpstr>
      <vt:lpstr>'Standard Life IN'!DC_FINANCIAL</vt:lpstr>
      <vt:lpstr>'States General'!DC_FINANCIAL</vt:lpstr>
      <vt:lpstr>Statesman!DC_FINANCIAL</vt:lpstr>
      <vt:lpstr>'Summit National'!DC_FINANCIAL</vt:lpstr>
      <vt:lpstr>Supreme!DC_FINANCIAL</vt:lpstr>
      <vt:lpstr>Time!DC_FINANCIAL</vt:lpstr>
      <vt:lpstr>'Total Summary'!DC_FINANCIAL</vt:lpstr>
      <vt:lpstr>Underwriters!DC_FINANCIAL</vt:lpstr>
      <vt:lpstr>Unison!DC_FINANCIAL</vt:lpstr>
      <vt:lpstr>'United Republic'!DC_FINANCIAL</vt:lpstr>
      <vt:lpstr>'Universal Health Care'!DC_FINANCIAL</vt:lpstr>
      <vt:lpstr>'Universal Life'!DC_FINANCIAL</vt:lpstr>
      <vt:lpstr>Universe!DC_FINANCIAL</vt:lpstr>
      <vt:lpstr>Villanova!DC_FINANCIAL</vt:lpstr>
      <vt:lpstr>'Alabama Life'!DE_FINANCIAL</vt:lpstr>
      <vt:lpstr>'Amer Life Asr'!DE_FINANCIAL</vt:lpstr>
      <vt:lpstr>'Amer Std Life Acc'!DE_FINANCIAL</vt:lpstr>
      <vt:lpstr>'American Chambers'!DE_FINANCIAL</vt:lpstr>
      <vt:lpstr>'American Community'!DE_FINANCIAL</vt:lpstr>
      <vt:lpstr>'American Educators'!DE_FINANCIAL</vt:lpstr>
      <vt:lpstr>'American Integrity'!DE_FINANCIAL</vt:lpstr>
      <vt:lpstr>'American Medical'!DE_FINANCIAL</vt:lpstr>
      <vt:lpstr>'American Network'!DE_FINANCIAL</vt:lpstr>
      <vt:lpstr>AmerWstrn!DE_FINANCIAL</vt:lpstr>
      <vt:lpstr>'AMS Life'!DE_FINANCIAL</vt:lpstr>
      <vt:lpstr>'Andrew Jackson'!DE_FINANCIAL</vt:lpstr>
      <vt:lpstr>'Bankers Commercial'!DE_FINANCIAL</vt:lpstr>
      <vt:lpstr>'Bankers Life'!DE_FINANCIAL</vt:lpstr>
      <vt:lpstr>Benicorp!DE_FINANCIAL</vt:lpstr>
      <vt:lpstr>'Booker T Washington'!DE_FINANCIAL</vt:lpstr>
      <vt:lpstr>Centennial!DE_FINANCIAL</vt:lpstr>
      <vt:lpstr>'CO Bankers'!DE_FINANCIAL</vt:lpstr>
      <vt:lpstr>'Coastal States'!DE_FINANCIAL</vt:lpstr>
      <vt:lpstr>'Colorado Health'!DE_FINANCIAL</vt:lpstr>
      <vt:lpstr>'Compass (dbs Meritus)'!DE_FINANCIAL</vt:lpstr>
      <vt:lpstr>'Confed Life &amp; Annty (CLIAC)'!DE_FINANCIAL</vt:lpstr>
      <vt:lpstr>'Confed Life (CLIC)'!DE_FINANCIAL</vt:lpstr>
      <vt:lpstr>'Consolidated National'!DE_FINANCIAL</vt:lpstr>
      <vt:lpstr>'Consumers Choice'!DE_FINANCIAL</vt:lpstr>
      <vt:lpstr>'Consumers Mutual'!DE_FINANCIAL</vt:lpstr>
      <vt:lpstr>'Consumers United'!DE_FINANCIAL</vt:lpstr>
      <vt:lpstr>CoOportunity!DE_FINANCIAL</vt:lpstr>
      <vt:lpstr>'Coordinated Hlth'!DE_FINANCIAL</vt:lpstr>
      <vt:lpstr>'Corporate Life'!DE_FINANCIAL</vt:lpstr>
      <vt:lpstr>'Diamond Benefits'!DE_FINANCIAL</vt:lpstr>
      <vt:lpstr>'EBL Life'!DE_FINANCIAL</vt:lpstr>
      <vt:lpstr>ELNY!DE_FINANCIAL</vt:lpstr>
      <vt:lpstr>'Executive Life'!DE_FINANCIAL</vt:lpstr>
      <vt:lpstr>'Family Guaranty'!DE_FINANCIAL</vt:lpstr>
      <vt:lpstr>'Farmers &amp; Ranchers'!DE_FINANCIAL</vt:lpstr>
      <vt:lpstr>'Fidelity Bankers'!DE_FINANCIAL</vt:lpstr>
      <vt:lpstr>'Fidelity Mutual'!DE_FINANCIAL</vt:lpstr>
      <vt:lpstr>'First Capital'!DE_FINANCIAL</vt:lpstr>
      <vt:lpstr>'First Natl'!DE_FINANCIAL</vt:lpstr>
      <vt:lpstr>'First Natl (Thrnr)'!DE_FINANCIAL</vt:lpstr>
      <vt:lpstr>'Franklin American'!DE_FINANCIAL</vt:lpstr>
      <vt:lpstr>'Franklin Protective'!DE_FINANCIAL</vt:lpstr>
      <vt:lpstr>'Freelancers CO-OP'!DE_FINANCIAL</vt:lpstr>
      <vt:lpstr>Freestone!DE_FINANCIAL</vt:lpstr>
      <vt:lpstr>'George Washington'!DE_FINANCIAL</vt:lpstr>
      <vt:lpstr>'Golden State'!DE_FINANCIAL</vt:lpstr>
      <vt:lpstr>'Guarantee Security'!DE_FINANCIAL</vt:lpstr>
      <vt:lpstr>HealthyCT!DE_FINANCIAL</vt:lpstr>
      <vt:lpstr>Imerica!DE_FINANCIAL</vt:lpstr>
      <vt:lpstr>'Inter-American'!DE_FINANCIAL</vt:lpstr>
      <vt:lpstr>'International Fin'!DE_FINANCIAL</vt:lpstr>
      <vt:lpstr>'Investment Life of America'!DE_FINANCIAL</vt:lpstr>
      <vt:lpstr>'Investors Equity'!DE_FINANCIAL</vt:lpstr>
      <vt:lpstr>'Kentucky Central'!DE_FINANCIAL</vt:lpstr>
      <vt:lpstr>'Land of Lincoln'!DE_FINANCIAL</vt:lpstr>
      <vt:lpstr>Legion!DE_FINANCIAL</vt:lpstr>
      <vt:lpstr>'Life Health America'!DE_FINANCIAL</vt:lpstr>
      <vt:lpstr>'Lincoln Memorial'!DE_FINANCIAL</vt:lpstr>
      <vt:lpstr>'London Pac'!DE_FINANCIAL</vt:lpstr>
      <vt:lpstr>Lumbermens!DE_FINANCIAL</vt:lpstr>
      <vt:lpstr>'Medical Savings'!DE_FINANCIAL</vt:lpstr>
      <vt:lpstr>'Memorial Service'!DE_FINANCIAL</vt:lpstr>
      <vt:lpstr>Midcontinent!DE_FINANCIAL</vt:lpstr>
      <vt:lpstr>'Midwest Life'!DE_FINANCIAL</vt:lpstr>
      <vt:lpstr>'Monarch Life'!DE_FINANCIAL</vt:lpstr>
      <vt:lpstr>'Mutual Benefit'!DE_FINANCIAL</vt:lpstr>
      <vt:lpstr>'Mutual Security'!DE_FINANCIAL</vt:lpstr>
      <vt:lpstr>'National Affiliated'!DE_FINANCIAL</vt:lpstr>
      <vt:lpstr>'National Heritage'!DE_FINANCIAL</vt:lpstr>
      <vt:lpstr>'National States'!DE_FINANCIAL</vt:lpstr>
      <vt:lpstr>'Natl American'!DE_FINANCIAL</vt:lpstr>
      <vt:lpstr>'New Jersey Life'!DE_FINANCIAL</vt:lpstr>
      <vt:lpstr>NNIC!DE_FINANCIAL</vt:lpstr>
      <vt:lpstr>'North Carolina Mutual'!DE_FINANCIAL</vt:lpstr>
      <vt:lpstr>'Old Colony Life'!DE_FINANCIAL</vt:lpstr>
      <vt:lpstr>'Old Faithful'!DE_FINANCIAL</vt:lpstr>
      <vt:lpstr>'Pacific Standard'!DE_FINANCIAL</vt:lpstr>
      <vt:lpstr>'Pavonia Life'!DE_FINANCIAL</vt:lpstr>
      <vt:lpstr>'Pen  Treaty'!DE_FINANCIAL</vt:lpstr>
      <vt:lpstr>'Red Rock'!DE_FINANCIAL</vt:lpstr>
      <vt:lpstr>Reliance!DE_FINANCIAL</vt:lpstr>
      <vt:lpstr>SeeChange!DE_FINANCIAL</vt:lpstr>
      <vt:lpstr>'Senior American'!DE_FINANCIAL</vt:lpstr>
      <vt:lpstr>Settlers!DE_FINANCIAL</vt:lpstr>
      <vt:lpstr>Shenandoah!DE_FINANCIAL</vt:lpstr>
      <vt:lpstr>'Southland National Life'!DE_FINANCIAL</vt:lpstr>
      <vt:lpstr>'Standard Life IN'!DE_FINANCIAL</vt:lpstr>
      <vt:lpstr>'States General'!DE_FINANCIAL</vt:lpstr>
      <vt:lpstr>Statesman!DE_FINANCIAL</vt:lpstr>
      <vt:lpstr>'Summit National'!DE_FINANCIAL</vt:lpstr>
      <vt:lpstr>Supreme!DE_FINANCIAL</vt:lpstr>
      <vt:lpstr>Time!DE_FINANCIAL</vt:lpstr>
      <vt:lpstr>'Total Summary'!DE_FINANCIAL</vt:lpstr>
      <vt:lpstr>Underwriters!DE_FINANCIAL</vt:lpstr>
      <vt:lpstr>Unison!DE_FINANCIAL</vt:lpstr>
      <vt:lpstr>'United Republic'!DE_FINANCIAL</vt:lpstr>
      <vt:lpstr>'Universal Health Care'!DE_FINANCIAL</vt:lpstr>
      <vt:lpstr>'Universal Life'!DE_FINANCIAL</vt:lpstr>
      <vt:lpstr>Universe!DE_FINANCIAL</vt:lpstr>
      <vt:lpstr>Villanova!DE_FINANCIAL</vt:lpstr>
      <vt:lpstr>Summary!EC_ALLOC_CALLED</vt:lpstr>
      <vt:lpstr>Summary!EC_ALLOC_REFUNDED</vt:lpstr>
      <vt:lpstr>Summary!EC_ALLOCATED</vt:lpstr>
      <vt:lpstr>Summary!EC_CHANGE</vt:lpstr>
      <vt:lpstr>Summary!EC_HEALTH</vt:lpstr>
      <vt:lpstr>Summary!EC_HEALTH_CALLED</vt:lpstr>
      <vt:lpstr>Summary!EC_HEALTH_REFUNDED</vt:lpstr>
      <vt:lpstr>Summary!EC_LIFE</vt:lpstr>
      <vt:lpstr>Summary!EC_LIFE_CALLED</vt:lpstr>
      <vt:lpstr>Summary!EC_LIFE_REFUNDED</vt:lpstr>
      <vt:lpstr>Summary!EC_LTC</vt:lpstr>
      <vt:lpstr>Summary!EC_TOTAL</vt:lpstr>
      <vt:lpstr>Summary!EC_TOTAL_PREV</vt:lpstr>
      <vt:lpstr>Summary!EC_UNALLOC_CALLED</vt:lpstr>
      <vt:lpstr>Summary!EC_UNALLOC_REFUNDED</vt:lpstr>
      <vt:lpstr>Summary!EC_UNALLOCATED</vt:lpstr>
      <vt:lpstr>'Alabama Life'!FL_FINANCIAL</vt:lpstr>
      <vt:lpstr>'Amer Life Asr'!FL_FINANCIAL</vt:lpstr>
      <vt:lpstr>'Amer Std Life Acc'!FL_FINANCIAL</vt:lpstr>
      <vt:lpstr>'American Chambers'!FL_FINANCIAL</vt:lpstr>
      <vt:lpstr>'American Community'!FL_FINANCIAL</vt:lpstr>
      <vt:lpstr>'American Educators'!FL_FINANCIAL</vt:lpstr>
      <vt:lpstr>'American Integrity'!FL_FINANCIAL</vt:lpstr>
      <vt:lpstr>'American Medical'!FL_FINANCIAL</vt:lpstr>
      <vt:lpstr>'American Network'!FL_FINANCIAL</vt:lpstr>
      <vt:lpstr>AmerWstrn!FL_FINANCIAL</vt:lpstr>
      <vt:lpstr>'AMS Life'!FL_FINANCIAL</vt:lpstr>
      <vt:lpstr>'Andrew Jackson'!FL_FINANCIAL</vt:lpstr>
      <vt:lpstr>'Bankers Commercial'!FL_FINANCIAL</vt:lpstr>
      <vt:lpstr>'Bankers Life'!FL_FINANCIAL</vt:lpstr>
      <vt:lpstr>Benicorp!FL_FINANCIAL</vt:lpstr>
      <vt:lpstr>'Booker T Washington'!FL_FINANCIAL</vt:lpstr>
      <vt:lpstr>Centennial!FL_FINANCIAL</vt:lpstr>
      <vt:lpstr>'CO Bankers'!FL_FINANCIAL</vt:lpstr>
      <vt:lpstr>'Coastal States'!FL_FINANCIAL</vt:lpstr>
      <vt:lpstr>'Colorado Health'!FL_FINANCIAL</vt:lpstr>
      <vt:lpstr>'Compass (dbs Meritus)'!FL_FINANCIAL</vt:lpstr>
      <vt:lpstr>'Confed Life &amp; Annty (CLIAC)'!FL_FINANCIAL</vt:lpstr>
      <vt:lpstr>'Confed Life (CLIC)'!FL_FINANCIAL</vt:lpstr>
      <vt:lpstr>'Consolidated National'!FL_FINANCIAL</vt:lpstr>
      <vt:lpstr>'Consumers Choice'!FL_FINANCIAL</vt:lpstr>
      <vt:lpstr>'Consumers Mutual'!FL_FINANCIAL</vt:lpstr>
      <vt:lpstr>'Consumers United'!FL_FINANCIAL</vt:lpstr>
      <vt:lpstr>CoOportunity!FL_FINANCIAL</vt:lpstr>
      <vt:lpstr>'Coordinated Hlth'!FL_FINANCIAL</vt:lpstr>
      <vt:lpstr>'Corporate Life'!FL_FINANCIAL</vt:lpstr>
      <vt:lpstr>'Diamond Benefits'!FL_FINANCIAL</vt:lpstr>
      <vt:lpstr>'EBL Life'!FL_FINANCIAL</vt:lpstr>
      <vt:lpstr>ELNY!FL_FINANCIAL</vt:lpstr>
      <vt:lpstr>'Executive Life'!FL_FINANCIAL</vt:lpstr>
      <vt:lpstr>'Family Guaranty'!FL_FINANCIAL</vt:lpstr>
      <vt:lpstr>'Farmers &amp; Ranchers'!FL_FINANCIAL</vt:lpstr>
      <vt:lpstr>'Fidelity Bankers'!FL_FINANCIAL</vt:lpstr>
      <vt:lpstr>'Fidelity Mutual'!FL_FINANCIAL</vt:lpstr>
      <vt:lpstr>'First Capital'!FL_FINANCIAL</vt:lpstr>
      <vt:lpstr>'First Natl'!FL_FINANCIAL</vt:lpstr>
      <vt:lpstr>'First Natl (Thrnr)'!FL_FINANCIAL</vt:lpstr>
      <vt:lpstr>'Franklin American'!FL_FINANCIAL</vt:lpstr>
      <vt:lpstr>'Franklin Protective'!FL_FINANCIAL</vt:lpstr>
      <vt:lpstr>'Freelancers CO-OP'!FL_FINANCIAL</vt:lpstr>
      <vt:lpstr>Freestone!FL_FINANCIAL</vt:lpstr>
      <vt:lpstr>'George Washington'!FL_FINANCIAL</vt:lpstr>
      <vt:lpstr>'Golden State'!FL_FINANCIAL</vt:lpstr>
      <vt:lpstr>'Guarantee Security'!FL_FINANCIAL</vt:lpstr>
      <vt:lpstr>HealthyCT!FL_FINANCIAL</vt:lpstr>
      <vt:lpstr>Imerica!FL_FINANCIAL</vt:lpstr>
      <vt:lpstr>'Inter-American'!FL_FINANCIAL</vt:lpstr>
      <vt:lpstr>'International Fin'!FL_FINANCIAL</vt:lpstr>
      <vt:lpstr>'Investment Life of America'!FL_FINANCIAL</vt:lpstr>
      <vt:lpstr>'Investors Equity'!FL_FINANCIAL</vt:lpstr>
      <vt:lpstr>'Kentucky Central'!FL_FINANCIAL</vt:lpstr>
      <vt:lpstr>'Land of Lincoln'!FL_FINANCIAL</vt:lpstr>
      <vt:lpstr>Legion!FL_FINANCIAL</vt:lpstr>
      <vt:lpstr>'Life Health America'!FL_FINANCIAL</vt:lpstr>
      <vt:lpstr>'Lincoln Memorial'!FL_FINANCIAL</vt:lpstr>
      <vt:lpstr>'London Pac'!FL_FINANCIAL</vt:lpstr>
      <vt:lpstr>Lumbermens!FL_FINANCIAL</vt:lpstr>
      <vt:lpstr>'Medical Savings'!FL_FINANCIAL</vt:lpstr>
      <vt:lpstr>'Memorial Service'!FL_FINANCIAL</vt:lpstr>
      <vt:lpstr>Midcontinent!FL_FINANCIAL</vt:lpstr>
      <vt:lpstr>'Midwest Life'!FL_FINANCIAL</vt:lpstr>
      <vt:lpstr>'Monarch Life'!FL_FINANCIAL</vt:lpstr>
      <vt:lpstr>'Mutual Benefit'!FL_FINANCIAL</vt:lpstr>
      <vt:lpstr>'Mutual Security'!FL_FINANCIAL</vt:lpstr>
      <vt:lpstr>'National Affiliated'!FL_FINANCIAL</vt:lpstr>
      <vt:lpstr>'National Heritage'!FL_FINANCIAL</vt:lpstr>
      <vt:lpstr>'National States'!FL_FINANCIAL</vt:lpstr>
      <vt:lpstr>'Natl American'!FL_FINANCIAL</vt:lpstr>
      <vt:lpstr>'New Jersey Life'!FL_FINANCIAL</vt:lpstr>
      <vt:lpstr>NNIC!FL_FINANCIAL</vt:lpstr>
      <vt:lpstr>'North Carolina Mutual'!FL_FINANCIAL</vt:lpstr>
      <vt:lpstr>'Old Colony Life'!FL_FINANCIAL</vt:lpstr>
      <vt:lpstr>'Old Faithful'!FL_FINANCIAL</vt:lpstr>
      <vt:lpstr>'Pacific Standard'!FL_FINANCIAL</vt:lpstr>
      <vt:lpstr>'Pavonia Life'!FL_FINANCIAL</vt:lpstr>
      <vt:lpstr>'Pen  Treaty'!FL_FINANCIAL</vt:lpstr>
      <vt:lpstr>'Red Rock'!FL_FINANCIAL</vt:lpstr>
      <vt:lpstr>Reliance!FL_FINANCIAL</vt:lpstr>
      <vt:lpstr>SeeChange!FL_FINANCIAL</vt:lpstr>
      <vt:lpstr>'Senior American'!FL_FINANCIAL</vt:lpstr>
      <vt:lpstr>Settlers!FL_FINANCIAL</vt:lpstr>
      <vt:lpstr>Shenandoah!FL_FINANCIAL</vt:lpstr>
      <vt:lpstr>'Southland National Life'!FL_FINANCIAL</vt:lpstr>
      <vt:lpstr>'Standard Life IN'!FL_FINANCIAL</vt:lpstr>
      <vt:lpstr>'States General'!FL_FINANCIAL</vt:lpstr>
      <vt:lpstr>Statesman!FL_FINANCIAL</vt:lpstr>
      <vt:lpstr>'Summit National'!FL_FINANCIAL</vt:lpstr>
      <vt:lpstr>Supreme!FL_FINANCIAL</vt:lpstr>
      <vt:lpstr>Time!FL_FINANCIAL</vt:lpstr>
      <vt:lpstr>'Total Summary'!FL_FINANCIAL</vt:lpstr>
      <vt:lpstr>Underwriters!FL_FINANCIAL</vt:lpstr>
      <vt:lpstr>Unison!FL_FINANCIAL</vt:lpstr>
      <vt:lpstr>'United Republic'!FL_FINANCIAL</vt:lpstr>
      <vt:lpstr>'Universal Health Care'!FL_FINANCIAL</vt:lpstr>
      <vt:lpstr>'Universal Life'!FL_FINANCIAL</vt:lpstr>
      <vt:lpstr>Universe!FL_FINANCIAL</vt:lpstr>
      <vt:lpstr>Villanova!FL_FINANCIAL</vt:lpstr>
      <vt:lpstr>'Alabama Life'!GA_FINANCIAL</vt:lpstr>
      <vt:lpstr>'Amer Life Asr'!GA_FINANCIAL</vt:lpstr>
      <vt:lpstr>'Amer Std Life Acc'!GA_FINANCIAL</vt:lpstr>
      <vt:lpstr>'American Chambers'!GA_FINANCIAL</vt:lpstr>
      <vt:lpstr>'American Community'!GA_FINANCIAL</vt:lpstr>
      <vt:lpstr>'American Educators'!GA_FINANCIAL</vt:lpstr>
      <vt:lpstr>'American Integrity'!GA_FINANCIAL</vt:lpstr>
      <vt:lpstr>'American Medical'!GA_FINANCIAL</vt:lpstr>
      <vt:lpstr>'American Network'!GA_FINANCIAL</vt:lpstr>
      <vt:lpstr>AmerWstrn!GA_FINANCIAL</vt:lpstr>
      <vt:lpstr>'AMS Life'!GA_FINANCIAL</vt:lpstr>
      <vt:lpstr>'Andrew Jackson'!GA_FINANCIAL</vt:lpstr>
      <vt:lpstr>'Bankers Commercial'!GA_FINANCIAL</vt:lpstr>
      <vt:lpstr>'Bankers Life'!GA_FINANCIAL</vt:lpstr>
      <vt:lpstr>Benicorp!GA_FINANCIAL</vt:lpstr>
      <vt:lpstr>'Booker T Washington'!GA_FINANCIAL</vt:lpstr>
      <vt:lpstr>Centennial!GA_FINANCIAL</vt:lpstr>
      <vt:lpstr>'CO Bankers'!GA_FINANCIAL</vt:lpstr>
      <vt:lpstr>'Coastal States'!GA_FINANCIAL</vt:lpstr>
      <vt:lpstr>'Colorado Health'!GA_FINANCIAL</vt:lpstr>
      <vt:lpstr>'Compass (dbs Meritus)'!GA_FINANCIAL</vt:lpstr>
      <vt:lpstr>'Confed Life &amp; Annty (CLIAC)'!GA_FINANCIAL</vt:lpstr>
      <vt:lpstr>'Confed Life (CLIC)'!GA_FINANCIAL</vt:lpstr>
      <vt:lpstr>'Consolidated National'!GA_FINANCIAL</vt:lpstr>
      <vt:lpstr>'Consumers Choice'!GA_FINANCIAL</vt:lpstr>
      <vt:lpstr>'Consumers Mutual'!GA_FINANCIAL</vt:lpstr>
      <vt:lpstr>'Consumers United'!GA_FINANCIAL</vt:lpstr>
      <vt:lpstr>CoOportunity!GA_FINANCIAL</vt:lpstr>
      <vt:lpstr>'Coordinated Hlth'!GA_FINANCIAL</vt:lpstr>
      <vt:lpstr>'Corporate Life'!GA_FINANCIAL</vt:lpstr>
      <vt:lpstr>'Diamond Benefits'!GA_FINANCIAL</vt:lpstr>
      <vt:lpstr>'EBL Life'!GA_FINANCIAL</vt:lpstr>
      <vt:lpstr>ELNY!GA_FINANCIAL</vt:lpstr>
      <vt:lpstr>'Executive Life'!GA_FINANCIAL</vt:lpstr>
      <vt:lpstr>'Family Guaranty'!GA_FINANCIAL</vt:lpstr>
      <vt:lpstr>'Farmers &amp; Ranchers'!GA_FINANCIAL</vt:lpstr>
      <vt:lpstr>'Fidelity Bankers'!GA_FINANCIAL</vt:lpstr>
      <vt:lpstr>'Fidelity Mutual'!GA_FINANCIAL</vt:lpstr>
      <vt:lpstr>'First Capital'!GA_FINANCIAL</vt:lpstr>
      <vt:lpstr>'First Natl'!GA_FINANCIAL</vt:lpstr>
      <vt:lpstr>'First Natl (Thrnr)'!GA_FINANCIAL</vt:lpstr>
      <vt:lpstr>'Franklin American'!GA_FINANCIAL</vt:lpstr>
      <vt:lpstr>'Franklin Protective'!GA_FINANCIAL</vt:lpstr>
      <vt:lpstr>'Freelancers CO-OP'!GA_FINANCIAL</vt:lpstr>
      <vt:lpstr>Freestone!GA_FINANCIAL</vt:lpstr>
      <vt:lpstr>'George Washington'!GA_FINANCIAL</vt:lpstr>
      <vt:lpstr>'Golden State'!GA_FINANCIAL</vt:lpstr>
      <vt:lpstr>'Guarantee Security'!GA_FINANCIAL</vt:lpstr>
      <vt:lpstr>HealthyCT!GA_FINANCIAL</vt:lpstr>
      <vt:lpstr>Imerica!GA_FINANCIAL</vt:lpstr>
      <vt:lpstr>'Inter-American'!GA_FINANCIAL</vt:lpstr>
      <vt:lpstr>'International Fin'!GA_FINANCIAL</vt:lpstr>
      <vt:lpstr>'Investment Life of America'!GA_FINANCIAL</vt:lpstr>
      <vt:lpstr>'Investors Equity'!GA_FINANCIAL</vt:lpstr>
      <vt:lpstr>'Kentucky Central'!GA_FINANCIAL</vt:lpstr>
      <vt:lpstr>'Land of Lincoln'!GA_FINANCIAL</vt:lpstr>
      <vt:lpstr>Legion!GA_FINANCIAL</vt:lpstr>
      <vt:lpstr>'Life Health America'!GA_FINANCIAL</vt:lpstr>
      <vt:lpstr>'Lincoln Memorial'!GA_FINANCIAL</vt:lpstr>
      <vt:lpstr>'London Pac'!GA_FINANCIAL</vt:lpstr>
      <vt:lpstr>Lumbermens!GA_FINANCIAL</vt:lpstr>
      <vt:lpstr>'Medical Savings'!GA_FINANCIAL</vt:lpstr>
      <vt:lpstr>'Memorial Service'!GA_FINANCIAL</vt:lpstr>
      <vt:lpstr>Midcontinent!GA_FINANCIAL</vt:lpstr>
      <vt:lpstr>'Midwest Life'!GA_FINANCIAL</vt:lpstr>
      <vt:lpstr>'Monarch Life'!GA_FINANCIAL</vt:lpstr>
      <vt:lpstr>'Mutual Benefit'!GA_FINANCIAL</vt:lpstr>
      <vt:lpstr>'Mutual Security'!GA_FINANCIAL</vt:lpstr>
      <vt:lpstr>'National Affiliated'!GA_FINANCIAL</vt:lpstr>
      <vt:lpstr>'National Heritage'!GA_FINANCIAL</vt:lpstr>
      <vt:lpstr>'National States'!GA_FINANCIAL</vt:lpstr>
      <vt:lpstr>'Natl American'!GA_FINANCIAL</vt:lpstr>
      <vt:lpstr>'New Jersey Life'!GA_FINANCIAL</vt:lpstr>
      <vt:lpstr>NNIC!GA_FINANCIAL</vt:lpstr>
      <vt:lpstr>'North Carolina Mutual'!GA_FINANCIAL</vt:lpstr>
      <vt:lpstr>'Old Colony Life'!GA_FINANCIAL</vt:lpstr>
      <vt:lpstr>'Old Faithful'!GA_FINANCIAL</vt:lpstr>
      <vt:lpstr>'Pacific Standard'!GA_FINANCIAL</vt:lpstr>
      <vt:lpstr>'Pavonia Life'!GA_FINANCIAL</vt:lpstr>
      <vt:lpstr>'Pen  Treaty'!GA_FINANCIAL</vt:lpstr>
      <vt:lpstr>'Red Rock'!GA_FINANCIAL</vt:lpstr>
      <vt:lpstr>Reliance!GA_FINANCIAL</vt:lpstr>
      <vt:lpstr>SeeChange!GA_FINANCIAL</vt:lpstr>
      <vt:lpstr>'Senior American'!GA_FINANCIAL</vt:lpstr>
      <vt:lpstr>Settlers!GA_FINANCIAL</vt:lpstr>
      <vt:lpstr>Shenandoah!GA_FINANCIAL</vt:lpstr>
      <vt:lpstr>'Southland National Life'!GA_FINANCIAL</vt:lpstr>
      <vt:lpstr>'Standard Life IN'!GA_FINANCIAL</vt:lpstr>
      <vt:lpstr>'States General'!GA_FINANCIAL</vt:lpstr>
      <vt:lpstr>Statesman!GA_FINANCIAL</vt:lpstr>
      <vt:lpstr>'Summit National'!GA_FINANCIAL</vt:lpstr>
      <vt:lpstr>Supreme!GA_FINANCIAL</vt:lpstr>
      <vt:lpstr>Time!GA_FINANCIAL</vt:lpstr>
      <vt:lpstr>'Total Summary'!GA_FINANCIAL</vt:lpstr>
      <vt:lpstr>Underwriters!GA_FINANCIAL</vt:lpstr>
      <vt:lpstr>Unison!GA_FINANCIAL</vt:lpstr>
      <vt:lpstr>'United Republic'!GA_FINANCIAL</vt:lpstr>
      <vt:lpstr>'Universal Health Care'!GA_FINANCIAL</vt:lpstr>
      <vt:lpstr>'Universal Life'!GA_FINANCIAL</vt:lpstr>
      <vt:lpstr>Universe!GA_FINANCIAL</vt:lpstr>
      <vt:lpstr>Villanova!GA_FINANCIAL</vt:lpstr>
      <vt:lpstr>'Alabama Life'!HEALTH</vt:lpstr>
      <vt:lpstr>'Amer Life Asr'!HEALTH</vt:lpstr>
      <vt:lpstr>'Amer Std Life Acc'!HEALTH</vt:lpstr>
      <vt:lpstr>'American Chambers'!HEALTH</vt:lpstr>
      <vt:lpstr>'American Community'!HEALTH</vt:lpstr>
      <vt:lpstr>'American Educators'!HEALTH</vt:lpstr>
      <vt:lpstr>'American Integrity'!HEALTH</vt:lpstr>
      <vt:lpstr>'American Medical'!HEALTH</vt:lpstr>
      <vt:lpstr>'American Network'!HEALTH</vt:lpstr>
      <vt:lpstr>AmerWstrn!HEALTH</vt:lpstr>
      <vt:lpstr>'AMS Life'!HEALTH</vt:lpstr>
      <vt:lpstr>'Andrew Jackson'!HEALTH</vt:lpstr>
      <vt:lpstr>'Bankers Commercial'!HEALTH</vt:lpstr>
      <vt:lpstr>'Bankers Life'!HEALTH</vt:lpstr>
      <vt:lpstr>Benicorp!HEALTH</vt:lpstr>
      <vt:lpstr>'Booker T Washington'!HEALTH</vt:lpstr>
      <vt:lpstr>Centennial!HEALTH</vt:lpstr>
      <vt:lpstr>'Closed Summary'!HEALTH</vt:lpstr>
      <vt:lpstr>'CO Bankers'!HEALTH</vt:lpstr>
      <vt:lpstr>'Coastal States'!HEALTH</vt:lpstr>
      <vt:lpstr>'Colorado Health'!HEALTH</vt:lpstr>
      <vt:lpstr>'Compass (dbs Meritus)'!HEALTH</vt:lpstr>
      <vt:lpstr>'Confed Life &amp; Annty (CLIAC)'!HEALTH</vt:lpstr>
      <vt:lpstr>'Confed Life (CLIC)'!HEALTH</vt:lpstr>
      <vt:lpstr>'Consolidated National'!HEALTH</vt:lpstr>
      <vt:lpstr>'Consumers Choice'!HEALTH</vt:lpstr>
      <vt:lpstr>'Consumers Mutual'!HEALTH</vt:lpstr>
      <vt:lpstr>'Consumers United'!HEALTH</vt:lpstr>
      <vt:lpstr>CoOportunity!HEALTH</vt:lpstr>
      <vt:lpstr>'Coordinated Hlth'!HEALTH</vt:lpstr>
      <vt:lpstr>'Corporate Life'!HEALTH</vt:lpstr>
      <vt:lpstr>'Diamond Benefits'!HEALTH</vt:lpstr>
      <vt:lpstr>'EBL Life'!HEALTH</vt:lpstr>
      <vt:lpstr>ELNY!HEALTH</vt:lpstr>
      <vt:lpstr>'Estate Closed Summary'!HEALTH</vt:lpstr>
      <vt:lpstr>'Executive Life'!HEALTH</vt:lpstr>
      <vt:lpstr>'Family Guaranty'!HEALTH</vt:lpstr>
      <vt:lpstr>'Farmers &amp; Ranchers'!HEALTH</vt:lpstr>
      <vt:lpstr>'Fidelity Bankers'!HEALTH</vt:lpstr>
      <vt:lpstr>'Fidelity Mutual'!HEALTH</vt:lpstr>
      <vt:lpstr>'First Capital'!HEALTH</vt:lpstr>
      <vt:lpstr>'First Natl'!HEALTH</vt:lpstr>
      <vt:lpstr>'First Natl (Thrnr)'!HEALTH</vt:lpstr>
      <vt:lpstr>'Franklin American'!HEALTH</vt:lpstr>
      <vt:lpstr>'Franklin Protective'!HEALTH</vt:lpstr>
      <vt:lpstr>'Freelancers CO-OP'!HEALTH</vt:lpstr>
      <vt:lpstr>Freestone!HEALTH</vt:lpstr>
      <vt:lpstr>'George Washington'!HEALTH</vt:lpstr>
      <vt:lpstr>'Golden State'!HEALTH</vt:lpstr>
      <vt:lpstr>'Guarantee Security'!HEALTH</vt:lpstr>
      <vt:lpstr>HealthyCT!HEALTH</vt:lpstr>
      <vt:lpstr>Imerica!HEALTH</vt:lpstr>
      <vt:lpstr>'Inter-American'!HEALTH</vt:lpstr>
      <vt:lpstr>'International Fin'!HEALTH</vt:lpstr>
      <vt:lpstr>'Investment Life of America'!HEALTH</vt:lpstr>
      <vt:lpstr>'Investors Equity'!HEALTH</vt:lpstr>
      <vt:lpstr>'Kentucky Central'!HEALTH</vt:lpstr>
      <vt:lpstr>'Land of Lincoln'!HEALTH</vt:lpstr>
      <vt:lpstr>Legion!HEALTH</vt:lpstr>
      <vt:lpstr>'Life Health America'!HEALTH</vt:lpstr>
      <vt:lpstr>'Lincoln Memorial'!HEALTH</vt:lpstr>
      <vt:lpstr>'London Pac'!HEALTH</vt:lpstr>
      <vt:lpstr>Lumbermens!HEALTH</vt:lpstr>
      <vt:lpstr>'Medical Savings'!HEALTH</vt:lpstr>
      <vt:lpstr>'Memorial Service'!HEALTH</vt:lpstr>
      <vt:lpstr>Midcontinent!HEALTH</vt:lpstr>
      <vt:lpstr>'Midwest Life'!HEALTH</vt:lpstr>
      <vt:lpstr>'Monarch Life'!HEALTH</vt:lpstr>
      <vt:lpstr>'Mutual Benefit'!HEALTH</vt:lpstr>
      <vt:lpstr>'Mutual Security'!HEALTH</vt:lpstr>
      <vt:lpstr>'National Affiliated'!HEALTH</vt:lpstr>
      <vt:lpstr>'National Heritage'!HEALTH</vt:lpstr>
      <vt:lpstr>'National States'!HEALTH</vt:lpstr>
      <vt:lpstr>'Natl American'!HEALTH</vt:lpstr>
      <vt:lpstr>'New Jersey Life'!HEALTH</vt:lpstr>
      <vt:lpstr>NNIC!HEALTH</vt:lpstr>
      <vt:lpstr>'North Carolina Mutual'!HEALTH</vt:lpstr>
      <vt:lpstr>'Old Colony Life'!HEALTH</vt:lpstr>
      <vt:lpstr>'Old Faithful'!HEALTH</vt:lpstr>
      <vt:lpstr>'Open Summary'!HEALTH</vt:lpstr>
      <vt:lpstr>'Pacific Standard'!HEALTH</vt:lpstr>
      <vt:lpstr>'Pavonia Life'!HEALTH</vt:lpstr>
      <vt:lpstr>'Pen  Treaty'!HEALTH</vt:lpstr>
      <vt:lpstr>'Pre-Liquidation Summary'!HEALTH</vt:lpstr>
      <vt:lpstr>'Red Rock'!HEALTH</vt:lpstr>
      <vt:lpstr>'Released from Oversight Summary'!HEALTH</vt:lpstr>
      <vt:lpstr>Reliance!HEALTH</vt:lpstr>
      <vt:lpstr>SeeChange!HEALTH</vt:lpstr>
      <vt:lpstr>'Senior American'!HEALTH</vt:lpstr>
      <vt:lpstr>Settlers!HEALTH</vt:lpstr>
      <vt:lpstr>Shenandoah!HEALTH</vt:lpstr>
      <vt:lpstr>'Southland National Life'!HEALTH</vt:lpstr>
      <vt:lpstr>'Standard Life IN'!HEALTH</vt:lpstr>
      <vt:lpstr>'States General'!HEALTH</vt:lpstr>
      <vt:lpstr>Statesman!HEALTH</vt:lpstr>
      <vt:lpstr>'Summit National'!HEALTH</vt:lpstr>
      <vt:lpstr>Supreme!HEALTH</vt:lpstr>
      <vt:lpstr>Time!HEALTH</vt:lpstr>
      <vt:lpstr>'Total Summary'!HEALTH</vt:lpstr>
      <vt:lpstr>Underwriters!HEALTH</vt:lpstr>
      <vt:lpstr>Unison!HEALTH</vt:lpstr>
      <vt:lpstr>'United Republic'!HEALTH</vt:lpstr>
      <vt:lpstr>'Universal Health Care'!HEALTH</vt:lpstr>
      <vt:lpstr>'Universal Life'!HEALTH</vt:lpstr>
      <vt:lpstr>Universe!HEALTH</vt:lpstr>
      <vt:lpstr>Villanova!HEALTH</vt:lpstr>
      <vt:lpstr>'Alabama Life'!HEALTH_CALLED</vt:lpstr>
      <vt:lpstr>'Amer Life Asr'!HEALTH_CALLED</vt:lpstr>
      <vt:lpstr>'Amer Std Life Acc'!HEALTH_CALLED</vt:lpstr>
      <vt:lpstr>'American Chambers'!HEALTH_CALLED</vt:lpstr>
      <vt:lpstr>'American Community'!HEALTH_CALLED</vt:lpstr>
      <vt:lpstr>'American Educators'!HEALTH_CALLED</vt:lpstr>
      <vt:lpstr>'American Integrity'!HEALTH_CALLED</vt:lpstr>
      <vt:lpstr>'American Medical'!HEALTH_CALLED</vt:lpstr>
      <vt:lpstr>'American Network'!HEALTH_CALLED</vt:lpstr>
      <vt:lpstr>AmerWstrn!HEALTH_CALLED</vt:lpstr>
      <vt:lpstr>'AMS Life'!HEALTH_CALLED</vt:lpstr>
      <vt:lpstr>'Andrew Jackson'!HEALTH_CALLED</vt:lpstr>
      <vt:lpstr>'Bankers Commercial'!HEALTH_CALLED</vt:lpstr>
      <vt:lpstr>'Bankers Life'!HEALTH_CALLED</vt:lpstr>
      <vt:lpstr>Benicorp!HEALTH_CALLED</vt:lpstr>
      <vt:lpstr>'Booker T Washington'!HEALTH_CALLED</vt:lpstr>
      <vt:lpstr>Centennial!HEALTH_CALLED</vt:lpstr>
      <vt:lpstr>'CO Bankers'!HEALTH_CALLED</vt:lpstr>
      <vt:lpstr>'Coastal States'!HEALTH_CALLED</vt:lpstr>
      <vt:lpstr>'Colorado Health'!HEALTH_CALLED</vt:lpstr>
      <vt:lpstr>'Compass (dbs Meritus)'!HEALTH_CALLED</vt:lpstr>
      <vt:lpstr>'Confed Life &amp; Annty (CLIAC)'!HEALTH_CALLED</vt:lpstr>
      <vt:lpstr>'Confed Life (CLIC)'!HEALTH_CALLED</vt:lpstr>
      <vt:lpstr>'Consolidated National'!HEALTH_CALLED</vt:lpstr>
      <vt:lpstr>'Consumers Choice'!HEALTH_CALLED</vt:lpstr>
      <vt:lpstr>'Consumers Mutual'!HEALTH_CALLED</vt:lpstr>
      <vt:lpstr>'Consumers United'!HEALTH_CALLED</vt:lpstr>
      <vt:lpstr>CoOportunity!HEALTH_CALLED</vt:lpstr>
      <vt:lpstr>'Coordinated Hlth'!HEALTH_CALLED</vt:lpstr>
      <vt:lpstr>'Corporate Life'!HEALTH_CALLED</vt:lpstr>
      <vt:lpstr>'Diamond Benefits'!HEALTH_CALLED</vt:lpstr>
      <vt:lpstr>'EBL Life'!HEALTH_CALLED</vt:lpstr>
      <vt:lpstr>ELNY!HEALTH_CALLED</vt:lpstr>
      <vt:lpstr>'Executive Life'!HEALTH_CALLED</vt:lpstr>
      <vt:lpstr>'Family Guaranty'!HEALTH_CALLED</vt:lpstr>
      <vt:lpstr>'Farmers &amp; Ranchers'!HEALTH_CALLED</vt:lpstr>
      <vt:lpstr>'Fidelity Bankers'!HEALTH_CALLED</vt:lpstr>
      <vt:lpstr>'Fidelity Mutual'!HEALTH_CALLED</vt:lpstr>
      <vt:lpstr>'First Capital'!HEALTH_CALLED</vt:lpstr>
      <vt:lpstr>'First Natl'!HEALTH_CALLED</vt:lpstr>
      <vt:lpstr>'First Natl (Thrnr)'!HEALTH_CALLED</vt:lpstr>
      <vt:lpstr>'Franklin American'!HEALTH_CALLED</vt:lpstr>
      <vt:lpstr>'Franklin Protective'!HEALTH_CALLED</vt:lpstr>
      <vt:lpstr>'Freelancers CO-OP'!HEALTH_CALLED</vt:lpstr>
      <vt:lpstr>Freestone!HEALTH_CALLED</vt:lpstr>
      <vt:lpstr>'George Washington'!HEALTH_CALLED</vt:lpstr>
      <vt:lpstr>'Golden State'!HEALTH_CALLED</vt:lpstr>
      <vt:lpstr>'Guarantee Security'!HEALTH_CALLED</vt:lpstr>
      <vt:lpstr>HealthyCT!HEALTH_CALLED</vt:lpstr>
      <vt:lpstr>Imerica!HEALTH_CALLED</vt:lpstr>
      <vt:lpstr>'Inter-American'!HEALTH_CALLED</vt:lpstr>
      <vt:lpstr>'International Fin'!HEALTH_CALLED</vt:lpstr>
      <vt:lpstr>'Investment Life of America'!HEALTH_CALLED</vt:lpstr>
      <vt:lpstr>'Investors Equity'!HEALTH_CALLED</vt:lpstr>
      <vt:lpstr>'Kentucky Central'!HEALTH_CALLED</vt:lpstr>
      <vt:lpstr>'Land of Lincoln'!HEALTH_CALLED</vt:lpstr>
      <vt:lpstr>Legion!HEALTH_CALLED</vt:lpstr>
      <vt:lpstr>'Life Health America'!HEALTH_CALLED</vt:lpstr>
      <vt:lpstr>'Lincoln Memorial'!HEALTH_CALLED</vt:lpstr>
      <vt:lpstr>'London Pac'!HEALTH_CALLED</vt:lpstr>
      <vt:lpstr>Lumbermens!HEALTH_CALLED</vt:lpstr>
      <vt:lpstr>'Medical Savings'!HEALTH_CALLED</vt:lpstr>
      <vt:lpstr>'Memorial Service'!HEALTH_CALLED</vt:lpstr>
      <vt:lpstr>Midcontinent!HEALTH_CALLED</vt:lpstr>
      <vt:lpstr>'Midwest Life'!HEALTH_CALLED</vt:lpstr>
      <vt:lpstr>'Monarch Life'!HEALTH_CALLED</vt:lpstr>
      <vt:lpstr>'Mutual Benefit'!HEALTH_CALLED</vt:lpstr>
      <vt:lpstr>'Mutual Security'!HEALTH_CALLED</vt:lpstr>
      <vt:lpstr>'National Affiliated'!HEALTH_CALLED</vt:lpstr>
      <vt:lpstr>'National Heritage'!HEALTH_CALLED</vt:lpstr>
      <vt:lpstr>'National States'!HEALTH_CALLED</vt:lpstr>
      <vt:lpstr>'Natl American'!HEALTH_CALLED</vt:lpstr>
      <vt:lpstr>'New Jersey Life'!HEALTH_CALLED</vt:lpstr>
      <vt:lpstr>NNIC!HEALTH_CALLED</vt:lpstr>
      <vt:lpstr>'North Carolina Mutual'!HEALTH_CALLED</vt:lpstr>
      <vt:lpstr>'Old Colony Life'!HEALTH_CALLED</vt:lpstr>
      <vt:lpstr>'Old Faithful'!HEALTH_CALLED</vt:lpstr>
      <vt:lpstr>'Pacific Standard'!HEALTH_CALLED</vt:lpstr>
      <vt:lpstr>'Pavonia Life'!HEALTH_CALLED</vt:lpstr>
      <vt:lpstr>'Pen  Treaty'!HEALTH_CALLED</vt:lpstr>
      <vt:lpstr>'Red Rock'!HEALTH_CALLED</vt:lpstr>
      <vt:lpstr>Reliance!HEALTH_CALLED</vt:lpstr>
      <vt:lpstr>SeeChange!HEALTH_CALLED</vt:lpstr>
      <vt:lpstr>'Senior American'!HEALTH_CALLED</vt:lpstr>
      <vt:lpstr>Settlers!HEALTH_CALLED</vt:lpstr>
      <vt:lpstr>Shenandoah!HEALTH_CALLED</vt:lpstr>
      <vt:lpstr>'Southland National Life'!HEALTH_CALLED</vt:lpstr>
      <vt:lpstr>'Standard Life IN'!HEALTH_CALLED</vt:lpstr>
      <vt:lpstr>'States General'!HEALTH_CALLED</vt:lpstr>
      <vt:lpstr>Statesman!HEALTH_CALLED</vt:lpstr>
      <vt:lpstr>'Summit National'!HEALTH_CALLED</vt:lpstr>
      <vt:lpstr>Supreme!HEALTH_CALLED</vt:lpstr>
      <vt:lpstr>Time!HEALTH_CALLED</vt:lpstr>
      <vt:lpstr>'Total Summary'!HEALTH_CALLED</vt:lpstr>
      <vt:lpstr>Underwriters!HEALTH_CALLED</vt:lpstr>
      <vt:lpstr>Unison!HEALTH_CALLED</vt:lpstr>
      <vt:lpstr>'United Republic'!HEALTH_CALLED</vt:lpstr>
      <vt:lpstr>'Universal Health Care'!HEALTH_CALLED</vt:lpstr>
      <vt:lpstr>'Universal Life'!HEALTH_CALLED</vt:lpstr>
      <vt:lpstr>Universe!HEALTH_CALLED</vt:lpstr>
      <vt:lpstr>Villanova!HEALTH_CALLED</vt:lpstr>
      <vt:lpstr>'Alabama Life'!HEALTH_REFUNDED</vt:lpstr>
      <vt:lpstr>'Amer Life Asr'!HEALTH_REFUNDED</vt:lpstr>
      <vt:lpstr>'Amer Std Life Acc'!HEALTH_REFUNDED</vt:lpstr>
      <vt:lpstr>'American Chambers'!HEALTH_REFUNDED</vt:lpstr>
      <vt:lpstr>'American Community'!HEALTH_REFUNDED</vt:lpstr>
      <vt:lpstr>'American Educators'!HEALTH_REFUNDED</vt:lpstr>
      <vt:lpstr>'American Integrity'!HEALTH_REFUNDED</vt:lpstr>
      <vt:lpstr>'American Medical'!HEALTH_REFUNDED</vt:lpstr>
      <vt:lpstr>'American Network'!HEALTH_REFUNDED</vt:lpstr>
      <vt:lpstr>AmerWstrn!HEALTH_REFUNDED</vt:lpstr>
      <vt:lpstr>'AMS Life'!HEALTH_REFUNDED</vt:lpstr>
      <vt:lpstr>'Andrew Jackson'!HEALTH_REFUNDED</vt:lpstr>
      <vt:lpstr>'Bankers Commercial'!HEALTH_REFUNDED</vt:lpstr>
      <vt:lpstr>'Bankers Life'!HEALTH_REFUNDED</vt:lpstr>
      <vt:lpstr>Benicorp!HEALTH_REFUNDED</vt:lpstr>
      <vt:lpstr>'Booker T Washington'!HEALTH_REFUNDED</vt:lpstr>
      <vt:lpstr>Centennial!HEALTH_REFUNDED</vt:lpstr>
      <vt:lpstr>'CO Bankers'!HEALTH_REFUNDED</vt:lpstr>
      <vt:lpstr>'Coastal States'!HEALTH_REFUNDED</vt:lpstr>
      <vt:lpstr>'Colorado Health'!HEALTH_REFUNDED</vt:lpstr>
      <vt:lpstr>'Compass (dbs Meritus)'!HEALTH_REFUNDED</vt:lpstr>
      <vt:lpstr>'Confed Life &amp; Annty (CLIAC)'!HEALTH_REFUNDED</vt:lpstr>
      <vt:lpstr>'Confed Life (CLIC)'!HEALTH_REFUNDED</vt:lpstr>
      <vt:lpstr>'Consolidated National'!HEALTH_REFUNDED</vt:lpstr>
      <vt:lpstr>'Consumers Choice'!HEALTH_REFUNDED</vt:lpstr>
      <vt:lpstr>'Consumers Mutual'!HEALTH_REFUNDED</vt:lpstr>
      <vt:lpstr>'Consumers United'!HEALTH_REFUNDED</vt:lpstr>
      <vt:lpstr>CoOportunity!HEALTH_REFUNDED</vt:lpstr>
      <vt:lpstr>'Coordinated Hlth'!HEALTH_REFUNDED</vt:lpstr>
      <vt:lpstr>'Corporate Life'!HEALTH_REFUNDED</vt:lpstr>
      <vt:lpstr>'Diamond Benefits'!HEALTH_REFUNDED</vt:lpstr>
      <vt:lpstr>'EBL Life'!HEALTH_REFUNDED</vt:lpstr>
      <vt:lpstr>ELNY!HEALTH_REFUNDED</vt:lpstr>
      <vt:lpstr>'Executive Life'!HEALTH_REFUNDED</vt:lpstr>
      <vt:lpstr>'Family Guaranty'!HEALTH_REFUNDED</vt:lpstr>
      <vt:lpstr>'Farmers &amp; Ranchers'!HEALTH_REFUNDED</vt:lpstr>
      <vt:lpstr>'Fidelity Bankers'!HEALTH_REFUNDED</vt:lpstr>
      <vt:lpstr>'Fidelity Mutual'!HEALTH_REFUNDED</vt:lpstr>
      <vt:lpstr>'First Capital'!HEALTH_REFUNDED</vt:lpstr>
      <vt:lpstr>'First Natl'!HEALTH_REFUNDED</vt:lpstr>
      <vt:lpstr>'First Natl (Thrnr)'!HEALTH_REFUNDED</vt:lpstr>
      <vt:lpstr>'Franklin American'!HEALTH_REFUNDED</vt:lpstr>
      <vt:lpstr>'Franklin Protective'!HEALTH_REFUNDED</vt:lpstr>
      <vt:lpstr>'Freelancers CO-OP'!HEALTH_REFUNDED</vt:lpstr>
      <vt:lpstr>Freestone!HEALTH_REFUNDED</vt:lpstr>
      <vt:lpstr>'George Washington'!HEALTH_REFUNDED</vt:lpstr>
      <vt:lpstr>'Golden State'!HEALTH_REFUNDED</vt:lpstr>
      <vt:lpstr>'Guarantee Security'!HEALTH_REFUNDED</vt:lpstr>
      <vt:lpstr>HealthyCT!HEALTH_REFUNDED</vt:lpstr>
      <vt:lpstr>Imerica!HEALTH_REFUNDED</vt:lpstr>
      <vt:lpstr>'Inter-American'!HEALTH_REFUNDED</vt:lpstr>
      <vt:lpstr>'International Fin'!HEALTH_REFUNDED</vt:lpstr>
      <vt:lpstr>'Investment Life of America'!HEALTH_REFUNDED</vt:lpstr>
      <vt:lpstr>'Investors Equity'!HEALTH_REFUNDED</vt:lpstr>
      <vt:lpstr>'Kentucky Central'!HEALTH_REFUNDED</vt:lpstr>
      <vt:lpstr>'Land of Lincoln'!HEALTH_REFUNDED</vt:lpstr>
      <vt:lpstr>Legion!HEALTH_REFUNDED</vt:lpstr>
      <vt:lpstr>'Life Health America'!HEALTH_REFUNDED</vt:lpstr>
      <vt:lpstr>'Lincoln Memorial'!HEALTH_REFUNDED</vt:lpstr>
      <vt:lpstr>'London Pac'!HEALTH_REFUNDED</vt:lpstr>
      <vt:lpstr>Lumbermens!HEALTH_REFUNDED</vt:lpstr>
      <vt:lpstr>'Medical Savings'!HEALTH_REFUNDED</vt:lpstr>
      <vt:lpstr>'Memorial Service'!HEALTH_REFUNDED</vt:lpstr>
      <vt:lpstr>Midcontinent!HEALTH_REFUNDED</vt:lpstr>
      <vt:lpstr>'Midwest Life'!HEALTH_REFUNDED</vt:lpstr>
      <vt:lpstr>'Monarch Life'!HEALTH_REFUNDED</vt:lpstr>
      <vt:lpstr>'Mutual Benefit'!HEALTH_REFUNDED</vt:lpstr>
      <vt:lpstr>'Mutual Security'!HEALTH_REFUNDED</vt:lpstr>
      <vt:lpstr>'National Affiliated'!HEALTH_REFUNDED</vt:lpstr>
      <vt:lpstr>'National Heritage'!HEALTH_REFUNDED</vt:lpstr>
      <vt:lpstr>'National States'!HEALTH_REFUNDED</vt:lpstr>
      <vt:lpstr>'Natl American'!HEALTH_REFUNDED</vt:lpstr>
      <vt:lpstr>'New Jersey Life'!HEALTH_REFUNDED</vt:lpstr>
      <vt:lpstr>NNIC!HEALTH_REFUNDED</vt:lpstr>
      <vt:lpstr>'North Carolina Mutual'!HEALTH_REFUNDED</vt:lpstr>
      <vt:lpstr>'Old Colony Life'!HEALTH_REFUNDED</vt:lpstr>
      <vt:lpstr>'Old Faithful'!HEALTH_REFUNDED</vt:lpstr>
      <vt:lpstr>'Pacific Standard'!HEALTH_REFUNDED</vt:lpstr>
      <vt:lpstr>'Pavonia Life'!HEALTH_REFUNDED</vt:lpstr>
      <vt:lpstr>'Pen  Treaty'!HEALTH_REFUNDED</vt:lpstr>
      <vt:lpstr>'Red Rock'!HEALTH_REFUNDED</vt:lpstr>
      <vt:lpstr>Reliance!HEALTH_REFUNDED</vt:lpstr>
      <vt:lpstr>SeeChange!HEALTH_REFUNDED</vt:lpstr>
      <vt:lpstr>'Senior American'!HEALTH_REFUNDED</vt:lpstr>
      <vt:lpstr>Settlers!HEALTH_REFUNDED</vt:lpstr>
      <vt:lpstr>Shenandoah!HEALTH_REFUNDED</vt:lpstr>
      <vt:lpstr>'Southland National Life'!HEALTH_REFUNDED</vt:lpstr>
      <vt:lpstr>'Standard Life IN'!HEALTH_REFUNDED</vt:lpstr>
      <vt:lpstr>'States General'!HEALTH_REFUNDED</vt:lpstr>
      <vt:lpstr>Statesman!HEALTH_REFUNDED</vt:lpstr>
      <vt:lpstr>'Summit National'!HEALTH_REFUNDED</vt:lpstr>
      <vt:lpstr>Supreme!HEALTH_REFUNDED</vt:lpstr>
      <vt:lpstr>Time!HEALTH_REFUNDED</vt:lpstr>
      <vt:lpstr>'Total Summary'!HEALTH_REFUNDED</vt:lpstr>
      <vt:lpstr>Underwriters!HEALTH_REFUNDED</vt:lpstr>
      <vt:lpstr>Unison!HEALTH_REFUNDED</vt:lpstr>
      <vt:lpstr>'United Republic'!HEALTH_REFUNDED</vt:lpstr>
      <vt:lpstr>'Universal Health Care'!HEALTH_REFUNDED</vt:lpstr>
      <vt:lpstr>'Universal Life'!HEALTH_REFUNDED</vt:lpstr>
      <vt:lpstr>Universe!HEALTH_REFUNDED</vt:lpstr>
      <vt:lpstr>Villanova!HEALTH_REFUNDED</vt:lpstr>
      <vt:lpstr>'Alabama Life'!HI_FINANCIAL</vt:lpstr>
      <vt:lpstr>'Amer Life Asr'!HI_FINANCIAL</vt:lpstr>
      <vt:lpstr>'Amer Std Life Acc'!HI_FINANCIAL</vt:lpstr>
      <vt:lpstr>'American Chambers'!HI_FINANCIAL</vt:lpstr>
      <vt:lpstr>'American Community'!HI_FINANCIAL</vt:lpstr>
      <vt:lpstr>'American Educators'!HI_FINANCIAL</vt:lpstr>
      <vt:lpstr>'American Integrity'!HI_FINANCIAL</vt:lpstr>
      <vt:lpstr>'American Medical'!HI_FINANCIAL</vt:lpstr>
      <vt:lpstr>'American Network'!HI_FINANCIAL</vt:lpstr>
      <vt:lpstr>AmerWstrn!HI_FINANCIAL</vt:lpstr>
      <vt:lpstr>'AMS Life'!HI_FINANCIAL</vt:lpstr>
      <vt:lpstr>'Andrew Jackson'!HI_FINANCIAL</vt:lpstr>
      <vt:lpstr>'Bankers Commercial'!HI_FINANCIAL</vt:lpstr>
      <vt:lpstr>'Bankers Life'!HI_FINANCIAL</vt:lpstr>
      <vt:lpstr>Benicorp!HI_FINANCIAL</vt:lpstr>
      <vt:lpstr>'Booker T Washington'!HI_FINANCIAL</vt:lpstr>
      <vt:lpstr>Centennial!HI_FINANCIAL</vt:lpstr>
      <vt:lpstr>'CO Bankers'!HI_FINANCIAL</vt:lpstr>
      <vt:lpstr>'Coastal States'!HI_FINANCIAL</vt:lpstr>
      <vt:lpstr>'Colorado Health'!HI_FINANCIAL</vt:lpstr>
      <vt:lpstr>'Compass (dbs Meritus)'!HI_FINANCIAL</vt:lpstr>
      <vt:lpstr>'Confed Life &amp; Annty (CLIAC)'!HI_FINANCIAL</vt:lpstr>
      <vt:lpstr>'Confed Life (CLIC)'!HI_FINANCIAL</vt:lpstr>
      <vt:lpstr>'Consolidated National'!HI_FINANCIAL</vt:lpstr>
      <vt:lpstr>'Consumers Choice'!HI_FINANCIAL</vt:lpstr>
      <vt:lpstr>'Consumers Mutual'!HI_FINANCIAL</vt:lpstr>
      <vt:lpstr>'Consumers United'!HI_FINANCIAL</vt:lpstr>
      <vt:lpstr>CoOportunity!HI_FINANCIAL</vt:lpstr>
      <vt:lpstr>'Coordinated Hlth'!HI_FINANCIAL</vt:lpstr>
      <vt:lpstr>'Corporate Life'!HI_FINANCIAL</vt:lpstr>
      <vt:lpstr>'Diamond Benefits'!HI_FINANCIAL</vt:lpstr>
      <vt:lpstr>'EBL Life'!HI_FINANCIAL</vt:lpstr>
      <vt:lpstr>ELNY!HI_FINANCIAL</vt:lpstr>
      <vt:lpstr>'Executive Life'!HI_FINANCIAL</vt:lpstr>
      <vt:lpstr>'Family Guaranty'!HI_FINANCIAL</vt:lpstr>
      <vt:lpstr>'Farmers &amp; Ranchers'!HI_FINANCIAL</vt:lpstr>
      <vt:lpstr>'Fidelity Bankers'!HI_FINANCIAL</vt:lpstr>
      <vt:lpstr>'Fidelity Mutual'!HI_FINANCIAL</vt:lpstr>
      <vt:lpstr>'First Capital'!HI_FINANCIAL</vt:lpstr>
      <vt:lpstr>'First Natl'!HI_FINANCIAL</vt:lpstr>
      <vt:lpstr>'First Natl (Thrnr)'!HI_FINANCIAL</vt:lpstr>
      <vt:lpstr>'Franklin American'!HI_FINANCIAL</vt:lpstr>
      <vt:lpstr>'Franklin Protective'!HI_FINANCIAL</vt:lpstr>
      <vt:lpstr>'Freelancers CO-OP'!HI_FINANCIAL</vt:lpstr>
      <vt:lpstr>Freestone!HI_FINANCIAL</vt:lpstr>
      <vt:lpstr>'George Washington'!HI_FINANCIAL</vt:lpstr>
      <vt:lpstr>'Golden State'!HI_FINANCIAL</vt:lpstr>
      <vt:lpstr>'Guarantee Security'!HI_FINANCIAL</vt:lpstr>
      <vt:lpstr>HealthyCT!HI_FINANCIAL</vt:lpstr>
      <vt:lpstr>Imerica!HI_FINANCIAL</vt:lpstr>
      <vt:lpstr>'Inter-American'!HI_FINANCIAL</vt:lpstr>
      <vt:lpstr>'International Fin'!HI_FINANCIAL</vt:lpstr>
      <vt:lpstr>'Investment Life of America'!HI_FINANCIAL</vt:lpstr>
      <vt:lpstr>'Investors Equity'!HI_FINANCIAL</vt:lpstr>
      <vt:lpstr>'Kentucky Central'!HI_FINANCIAL</vt:lpstr>
      <vt:lpstr>'Land of Lincoln'!HI_FINANCIAL</vt:lpstr>
      <vt:lpstr>Legion!HI_FINANCIAL</vt:lpstr>
      <vt:lpstr>'Life Health America'!HI_FINANCIAL</vt:lpstr>
      <vt:lpstr>'Lincoln Memorial'!HI_FINANCIAL</vt:lpstr>
      <vt:lpstr>'London Pac'!HI_FINANCIAL</vt:lpstr>
      <vt:lpstr>Lumbermens!HI_FINANCIAL</vt:lpstr>
      <vt:lpstr>'Medical Savings'!HI_FINANCIAL</vt:lpstr>
      <vt:lpstr>'Memorial Service'!HI_FINANCIAL</vt:lpstr>
      <vt:lpstr>Midcontinent!HI_FINANCIAL</vt:lpstr>
      <vt:lpstr>'Midwest Life'!HI_FINANCIAL</vt:lpstr>
      <vt:lpstr>'Monarch Life'!HI_FINANCIAL</vt:lpstr>
      <vt:lpstr>'Mutual Benefit'!HI_FINANCIAL</vt:lpstr>
      <vt:lpstr>'Mutual Security'!HI_FINANCIAL</vt:lpstr>
      <vt:lpstr>'National Affiliated'!HI_FINANCIAL</vt:lpstr>
      <vt:lpstr>'National Heritage'!HI_FINANCIAL</vt:lpstr>
      <vt:lpstr>'National States'!HI_FINANCIAL</vt:lpstr>
      <vt:lpstr>'Natl American'!HI_FINANCIAL</vt:lpstr>
      <vt:lpstr>'New Jersey Life'!HI_FINANCIAL</vt:lpstr>
      <vt:lpstr>NNIC!HI_FINANCIAL</vt:lpstr>
      <vt:lpstr>'North Carolina Mutual'!HI_FINANCIAL</vt:lpstr>
      <vt:lpstr>'Old Colony Life'!HI_FINANCIAL</vt:lpstr>
      <vt:lpstr>'Old Faithful'!HI_FINANCIAL</vt:lpstr>
      <vt:lpstr>'Pacific Standard'!HI_FINANCIAL</vt:lpstr>
      <vt:lpstr>'Pavonia Life'!HI_FINANCIAL</vt:lpstr>
      <vt:lpstr>'Pen  Treaty'!HI_FINANCIAL</vt:lpstr>
      <vt:lpstr>'Red Rock'!HI_FINANCIAL</vt:lpstr>
      <vt:lpstr>Reliance!HI_FINANCIAL</vt:lpstr>
      <vt:lpstr>SeeChange!HI_FINANCIAL</vt:lpstr>
      <vt:lpstr>'Senior American'!HI_FINANCIAL</vt:lpstr>
      <vt:lpstr>Settlers!HI_FINANCIAL</vt:lpstr>
      <vt:lpstr>Shenandoah!HI_FINANCIAL</vt:lpstr>
      <vt:lpstr>'Southland National Life'!HI_FINANCIAL</vt:lpstr>
      <vt:lpstr>'Standard Life IN'!HI_FINANCIAL</vt:lpstr>
      <vt:lpstr>'States General'!HI_FINANCIAL</vt:lpstr>
      <vt:lpstr>Statesman!HI_FINANCIAL</vt:lpstr>
      <vt:lpstr>'Summit National'!HI_FINANCIAL</vt:lpstr>
      <vt:lpstr>Supreme!HI_FINANCIAL</vt:lpstr>
      <vt:lpstr>Time!HI_FINANCIAL</vt:lpstr>
      <vt:lpstr>'Total Summary'!HI_FINANCIAL</vt:lpstr>
      <vt:lpstr>Underwriters!HI_FINANCIAL</vt:lpstr>
      <vt:lpstr>Unison!HI_FINANCIAL</vt:lpstr>
      <vt:lpstr>'United Republic'!HI_FINANCIAL</vt:lpstr>
      <vt:lpstr>'Universal Health Care'!HI_FINANCIAL</vt:lpstr>
      <vt:lpstr>'Universal Life'!HI_FINANCIAL</vt:lpstr>
      <vt:lpstr>Universe!HI_FINANCIAL</vt:lpstr>
      <vt:lpstr>Villanova!HI_FINANCIAL</vt:lpstr>
      <vt:lpstr>'Alabama Life'!IA_FINANCIAL</vt:lpstr>
      <vt:lpstr>'Amer Life Asr'!IA_FINANCIAL</vt:lpstr>
      <vt:lpstr>'Amer Std Life Acc'!IA_FINANCIAL</vt:lpstr>
      <vt:lpstr>'American Chambers'!IA_FINANCIAL</vt:lpstr>
      <vt:lpstr>'American Community'!IA_FINANCIAL</vt:lpstr>
      <vt:lpstr>'American Educators'!IA_FINANCIAL</vt:lpstr>
      <vt:lpstr>'American Integrity'!IA_FINANCIAL</vt:lpstr>
      <vt:lpstr>'American Medical'!IA_FINANCIAL</vt:lpstr>
      <vt:lpstr>'American Network'!IA_FINANCIAL</vt:lpstr>
      <vt:lpstr>AmerWstrn!IA_FINANCIAL</vt:lpstr>
      <vt:lpstr>'AMS Life'!IA_FINANCIAL</vt:lpstr>
      <vt:lpstr>'Andrew Jackson'!IA_FINANCIAL</vt:lpstr>
      <vt:lpstr>'Bankers Commercial'!IA_FINANCIAL</vt:lpstr>
      <vt:lpstr>'Bankers Life'!IA_FINANCIAL</vt:lpstr>
      <vt:lpstr>Benicorp!IA_FINANCIAL</vt:lpstr>
      <vt:lpstr>'Booker T Washington'!IA_FINANCIAL</vt:lpstr>
      <vt:lpstr>Centennial!IA_FINANCIAL</vt:lpstr>
      <vt:lpstr>'CO Bankers'!IA_FINANCIAL</vt:lpstr>
      <vt:lpstr>'Coastal States'!IA_FINANCIAL</vt:lpstr>
      <vt:lpstr>'Colorado Health'!IA_FINANCIAL</vt:lpstr>
      <vt:lpstr>'Compass (dbs Meritus)'!IA_FINANCIAL</vt:lpstr>
      <vt:lpstr>'Confed Life &amp; Annty (CLIAC)'!IA_FINANCIAL</vt:lpstr>
      <vt:lpstr>'Confed Life (CLIC)'!IA_FINANCIAL</vt:lpstr>
      <vt:lpstr>'Consolidated National'!IA_FINANCIAL</vt:lpstr>
      <vt:lpstr>'Consumers Choice'!IA_FINANCIAL</vt:lpstr>
      <vt:lpstr>'Consumers Mutual'!IA_FINANCIAL</vt:lpstr>
      <vt:lpstr>'Consumers United'!IA_FINANCIAL</vt:lpstr>
      <vt:lpstr>CoOportunity!IA_FINANCIAL</vt:lpstr>
      <vt:lpstr>'Coordinated Hlth'!IA_FINANCIAL</vt:lpstr>
      <vt:lpstr>'Corporate Life'!IA_FINANCIAL</vt:lpstr>
      <vt:lpstr>'Diamond Benefits'!IA_FINANCIAL</vt:lpstr>
      <vt:lpstr>'EBL Life'!IA_FINANCIAL</vt:lpstr>
      <vt:lpstr>ELNY!IA_FINANCIAL</vt:lpstr>
      <vt:lpstr>'Executive Life'!IA_FINANCIAL</vt:lpstr>
      <vt:lpstr>'Family Guaranty'!IA_FINANCIAL</vt:lpstr>
      <vt:lpstr>'Farmers &amp; Ranchers'!IA_FINANCIAL</vt:lpstr>
      <vt:lpstr>'Fidelity Bankers'!IA_FINANCIAL</vt:lpstr>
      <vt:lpstr>'Fidelity Mutual'!IA_FINANCIAL</vt:lpstr>
      <vt:lpstr>'First Capital'!IA_FINANCIAL</vt:lpstr>
      <vt:lpstr>'First Natl'!IA_FINANCIAL</vt:lpstr>
      <vt:lpstr>'First Natl (Thrnr)'!IA_FINANCIAL</vt:lpstr>
      <vt:lpstr>'Franklin American'!IA_FINANCIAL</vt:lpstr>
      <vt:lpstr>'Franklin Protective'!IA_FINANCIAL</vt:lpstr>
      <vt:lpstr>'Freelancers CO-OP'!IA_FINANCIAL</vt:lpstr>
      <vt:lpstr>Freestone!IA_FINANCIAL</vt:lpstr>
      <vt:lpstr>'George Washington'!IA_FINANCIAL</vt:lpstr>
      <vt:lpstr>'Golden State'!IA_FINANCIAL</vt:lpstr>
      <vt:lpstr>'Guarantee Security'!IA_FINANCIAL</vt:lpstr>
      <vt:lpstr>HealthyCT!IA_FINANCIAL</vt:lpstr>
      <vt:lpstr>Imerica!IA_FINANCIAL</vt:lpstr>
      <vt:lpstr>'Inter-American'!IA_FINANCIAL</vt:lpstr>
      <vt:lpstr>'International Fin'!IA_FINANCIAL</vt:lpstr>
      <vt:lpstr>'Investment Life of America'!IA_FINANCIAL</vt:lpstr>
      <vt:lpstr>'Investors Equity'!IA_FINANCIAL</vt:lpstr>
      <vt:lpstr>'Kentucky Central'!IA_FINANCIAL</vt:lpstr>
      <vt:lpstr>'Land of Lincoln'!IA_FINANCIAL</vt:lpstr>
      <vt:lpstr>Legion!IA_FINANCIAL</vt:lpstr>
      <vt:lpstr>'Life Health America'!IA_FINANCIAL</vt:lpstr>
      <vt:lpstr>'Lincoln Memorial'!IA_FINANCIAL</vt:lpstr>
      <vt:lpstr>'London Pac'!IA_FINANCIAL</vt:lpstr>
      <vt:lpstr>Lumbermens!IA_FINANCIAL</vt:lpstr>
      <vt:lpstr>'Medical Savings'!IA_FINANCIAL</vt:lpstr>
      <vt:lpstr>'Memorial Service'!IA_FINANCIAL</vt:lpstr>
      <vt:lpstr>Midcontinent!IA_FINANCIAL</vt:lpstr>
      <vt:lpstr>'Midwest Life'!IA_FINANCIAL</vt:lpstr>
      <vt:lpstr>'Monarch Life'!IA_FINANCIAL</vt:lpstr>
      <vt:lpstr>'Mutual Benefit'!IA_FINANCIAL</vt:lpstr>
      <vt:lpstr>'Mutual Security'!IA_FINANCIAL</vt:lpstr>
      <vt:lpstr>'National Affiliated'!IA_FINANCIAL</vt:lpstr>
      <vt:lpstr>'National Heritage'!IA_FINANCIAL</vt:lpstr>
      <vt:lpstr>'National States'!IA_FINANCIAL</vt:lpstr>
      <vt:lpstr>'Natl American'!IA_FINANCIAL</vt:lpstr>
      <vt:lpstr>'New Jersey Life'!IA_FINANCIAL</vt:lpstr>
      <vt:lpstr>NNIC!IA_FINANCIAL</vt:lpstr>
      <vt:lpstr>'North Carolina Mutual'!IA_FINANCIAL</vt:lpstr>
      <vt:lpstr>'Old Colony Life'!IA_FINANCIAL</vt:lpstr>
      <vt:lpstr>'Old Faithful'!IA_FINANCIAL</vt:lpstr>
      <vt:lpstr>'Pacific Standard'!IA_FINANCIAL</vt:lpstr>
      <vt:lpstr>'Pavonia Life'!IA_FINANCIAL</vt:lpstr>
      <vt:lpstr>'Pen  Treaty'!IA_FINANCIAL</vt:lpstr>
      <vt:lpstr>'Red Rock'!IA_FINANCIAL</vt:lpstr>
      <vt:lpstr>Reliance!IA_FINANCIAL</vt:lpstr>
      <vt:lpstr>SeeChange!IA_FINANCIAL</vt:lpstr>
      <vt:lpstr>'Senior American'!IA_FINANCIAL</vt:lpstr>
      <vt:lpstr>Settlers!IA_FINANCIAL</vt:lpstr>
      <vt:lpstr>Shenandoah!IA_FINANCIAL</vt:lpstr>
      <vt:lpstr>'Southland National Life'!IA_FINANCIAL</vt:lpstr>
      <vt:lpstr>'Standard Life IN'!IA_FINANCIAL</vt:lpstr>
      <vt:lpstr>'States General'!IA_FINANCIAL</vt:lpstr>
      <vt:lpstr>Statesman!IA_FINANCIAL</vt:lpstr>
      <vt:lpstr>'Summit National'!IA_FINANCIAL</vt:lpstr>
      <vt:lpstr>Supreme!IA_FINANCIAL</vt:lpstr>
      <vt:lpstr>Time!IA_FINANCIAL</vt:lpstr>
      <vt:lpstr>'Total Summary'!IA_FINANCIAL</vt:lpstr>
      <vt:lpstr>Underwriters!IA_FINANCIAL</vt:lpstr>
      <vt:lpstr>Unison!IA_FINANCIAL</vt:lpstr>
      <vt:lpstr>'United Republic'!IA_FINANCIAL</vt:lpstr>
      <vt:lpstr>'Universal Health Care'!IA_FINANCIAL</vt:lpstr>
      <vt:lpstr>'Universal Life'!IA_FINANCIAL</vt:lpstr>
      <vt:lpstr>Universe!IA_FINANCIAL</vt:lpstr>
      <vt:lpstr>Villanova!IA_FINANCIAL</vt:lpstr>
      <vt:lpstr>'Alabama Life'!ID_FINANCIAL</vt:lpstr>
      <vt:lpstr>'Amer Life Asr'!ID_FINANCIAL</vt:lpstr>
      <vt:lpstr>'Amer Std Life Acc'!ID_FINANCIAL</vt:lpstr>
      <vt:lpstr>'American Chambers'!ID_FINANCIAL</vt:lpstr>
      <vt:lpstr>'American Community'!ID_FINANCIAL</vt:lpstr>
      <vt:lpstr>'American Educators'!ID_FINANCIAL</vt:lpstr>
      <vt:lpstr>'American Integrity'!ID_FINANCIAL</vt:lpstr>
      <vt:lpstr>'American Medical'!ID_FINANCIAL</vt:lpstr>
      <vt:lpstr>'American Network'!ID_FINANCIAL</vt:lpstr>
      <vt:lpstr>AmerWstrn!ID_FINANCIAL</vt:lpstr>
      <vt:lpstr>'AMS Life'!ID_FINANCIAL</vt:lpstr>
      <vt:lpstr>'Andrew Jackson'!ID_FINANCIAL</vt:lpstr>
      <vt:lpstr>'Bankers Commercial'!ID_FINANCIAL</vt:lpstr>
      <vt:lpstr>'Bankers Life'!ID_FINANCIAL</vt:lpstr>
      <vt:lpstr>Benicorp!ID_FINANCIAL</vt:lpstr>
      <vt:lpstr>'Booker T Washington'!ID_FINANCIAL</vt:lpstr>
      <vt:lpstr>Centennial!ID_FINANCIAL</vt:lpstr>
      <vt:lpstr>'CO Bankers'!ID_FINANCIAL</vt:lpstr>
      <vt:lpstr>'Coastal States'!ID_FINANCIAL</vt:lpstr>
      <vt:lpstr>'Colorado Health'!ID_FINANCIAL</vt:lpstr>
      <vt:lpstr>'Compass (dbs Meritus)'!ID_FINANCIAL</vt:lpstr>
      <vt:lpstr>'Confed Life &amp; Annty (CLIAC)'!ID_FINANCIAL</vt:lpstr>
      <vt:lpstr>'Confed Life (CLIC)'!ID_FINANCIAL</vt:lpstr>
      <vt:lpstr>'Consolidated National'!ID_FINANCIAL</vt:lpstr>
      <vt:lpstr>'Consumers Choice'!ID_FINANCIAL</vt:lpstr>
      <vt:lpstr>'Consumers Mutual'!ID_FINANCIAL</vt:lpstr>
      <vt:lpstr>'Consumers United'!ID_FINANCIAL</vt:lpstr>
      <vt:lpstr>CoOportunity!ID_FINANCIAL</vt:lpstr>
      <vt:lpstr>'Coordinated Hlth'!ID_FINANCIAL</vt:lpstr>
      <vt:lpstr>'Corporate Life'!ID_FINANCIAL</vt:lpstr>
      <vt:lpstr>'Diamond Benefits'!ID_FINANCIAL</vt:lpstr>
      <vt:lpstr>'EBL Life'!ID_FINANCIAL</vt:lpstr>
      <vt:lpstr>ELNY!ID_FINANCIAL</vt:lpstr>
      <vt:lpstr>'Executive Life'!ID_FINANCIAL</vt:lpstr>
      <vt:lpstr>'Family Guaranty'!ID_FINANCIAL</vt:lpstr>
      <vt:lpstr>'Farmers &amp; Ranchers'!ID_FINANCIAL</vt:lpstr>
      <vt:lpstr>'Fidelity Bankers'!ID_FINANCIAL</vt:lpstr>
      <vt:lpstr>'Fidelity Mutual'!ID_FINANCIAL</vt:lpstr>
      <vt:lpstr>'First Capital'!ID_FINANCIAL</vt:lpstr>
      <vt:lpstr>'First Natl'!ID_FINANCIAL</vt:lpstr>
      <vt:lpstr>'First Natl (Thrnr)'!ID_FINANCIAL</vt:lpstr>
      <vt:lpstr>'Franklin American'!ID_FINANCIAL</vt:lpstr>
      <vt:lpstr>'Franklin Protective'!ID_FINANCIAL</vt:lpstr>
      <vt:lpstr>'Freelancers CO-OP'!ID_FINANCIAL</vt:lpstr>
      <vt:lpstr>Freestone!ID_FINANCIAL</vt:lpstr>
      <vt:lpstr>'George Washington'!ID_FINANCIAL</vt:lpstr>
      <vt:lpstr>'Golden State'!ID_FINANCIAL</vt:lpstr>
      <vt:lpstr>'Guarantee Security'!ID_FINANCIAL</vt:lpstr>
      <vt:lpstr>HealthyCT!ID_FINANCIAL</vt:lpstr>
      <vt:lpstr>Imerica!ID_FINANCIAL</vt:lpstr>
      <vt:lpstr>'Inter-American'!ID_FINANCIAL</vt:lpstr>
      <vt:lpstr>'International Fin'!ID_FINANCIAL</vt:lpstr>
      <vt:lpstr>'Investment Life of America'!ID_FINANCIAL</vt:lpstr>
      <vt:lpstr>'Investors Equity'!ID_FINANCIAL</vt:lpstr>
      <vt:lpstr>'Kentucky Central'!ID_FINANCIAL</vt:lpstr>
      <vt:lpstr>'Land of Lincoln'!ID_FINANCIAL</vt:lpstr>
      <vt:lpstr>Legion!ID_FINANCIAL</vt:lpstr>
      <vt:lpstr>'Life Health America'!ID_FINANCIAL</vt:lpstr>
      <vt:lpstr>'Lincoln Memorial'!ID_FINANCIAL</vt:lpstr>
      <vt:lpstr>'London Pac'!ID_FINANCIAL</vt:lpstr>
      <vt:lpstr>Lumbermens!ID_FINANCIAL</vt:lpstr>
      <vt:lpstr>'Medical Savings'!ID_FINANCIAL</vt:lpstr>
      <vt:lpstr>'Memorial Service'!ID_FINANCIAL</vt:lpstr>
      <vt:lpstr>Midcontinent!ID_FINANCIAL</vt:lpstr>
      <vt:lpstr>'Midwest Life'!ID_FINANCIAL</vt:lpstr>
      <vt:lpstr>'Monarch Life'!ID_FINANCIAL</vt:lpstr>
      <vt:lpstr>'Mutual Benefit'!ID_FINANCIAL</vt:lpstr>
      <vt:lpstr>'Mutual Security'!ID_FINANCIAL</vt:lpstr>
      <vt:lpstr>'National Affiliated'!ID_FINANCIAL</vt:lpstr>
      <vt:lpstr>'National Heritage'!ID_FINANCIAL</vt:lpstr>
      <vt:lpstr>'National States'!ID_FINANCIAL</vt:lpstr>
      <vt:lpstr>'Natl American'!ID_FINANCIAL</vt:lpstr>
      <vt:lpstr>'New Jersey Life'!ID_FINANCIAL</vt:lpstr>
      <vt:lpstr>NNIC!ID_FINANCIAL</vt:lpstr>
      <vt:lpstr>'North Carolina Mutual'!ID_FINANCIAL</vt:lpstr>
      <vt:lpstr>'Old Colony Life'!ID_FINANCIAL</vt:lpstr>
      <vt:lpstr>'Old Faithful'!ID_FINANCIAL</vt:lpstr>
      <vt:lpstr>'Pacific Standard'!ID_FINANCIAL</vt:lpstr>
      <vt:lpstr>'Pavonia Life'!ID_FINANCIAL</vt:lpstr>
      <vt:lpstr>'Pen  Treaty'!ID_FINANCIAL</vt:lpstr>
      <vt:lpstr>'Red Rock'!ID_FINANCIAL</vt:lpstr>
      <vt:lpstr>Reliance!ID_FINANCIAL</vt:lpstr>
      <vt:lpstr>SeeChange!ID_FINANCIAL</vt:lpstr>
      <vt:lpstr>'Senior American'!ID_FINANCIAL</vt:lpstr>
      <vt:lpstr>Settlers!ID_FINANCIAL</vt:lpstr>
      <vt:lpstr>Shenandoah!ID_FINANCIAL</vt:lpstr>
      <vt:lpstr>'Southland National Life'!ID_FINANCIAL</vt:lpstr>
      <vt:lpstr>'Standard Life IN'!ID_FINANCIAL</vt:lpstr>
      <vt:lpstr>'States General'!ID_FINANCIAL</vt:lpstr>
      <vt:lpstr>Statesman!ID_FINANCIAL</vt:lpstr>
      <vt:lpstr>'Summit National'!ID_FINANCIAL</vt:lpstr>
      <vt:lpstr>Supreme!ID_FINANCIAL</vt:lpstr>
      <vt:lpstr>Time!ID_FINANCIAL</vt:lpstr>
      <vt:lpstr>'Total Summary'!ID_FINANCIAL</vt:lpstr>
      <vt:lpstr>Underwriters!ID_FINANCIAL</vt:lpstr>
      <vt:lpstr>Unison!ID_FINANCIAL</vt:lpstr>
      <vt:lpstr>'United Republic'!ID_FINANCIAL</vt:lpstr>
      <vt:lpstr>'Universal Health Care'!ID_FINANCIAL</vt:lpstr>
      <vt:lpstr>'Universal Life'!ID_FINANCIAL</vt:lpstr>
      <vt:lpstr>Universe!ID_FINANCIAL</vt:lpstr>
      <vt:lpstr>Villanova!ID_FINANCIAL</vt:lpstr>
      <vt:lpstr>'Alabama Life'!IL_FINANCIAL</vt:lpstr>
      <vt:lpstr>'Amer Life Asr'!IL_FINANCIAL</vt:lpstr>
      <vt:lpstr>'Amer Std Life Acc'!IL_FINANCIAL</vt:lpstr>
      <vt:lpstr>'American Chambers'!IL_FINANCIAL</vt:lpstr>
      <vt:lpstr>'American Community'!IL_FINANCIAL</vt:lpstr>
      <vt:lpstr>'American Educators'!IL_FINANCIAL</vt:lpstr>
      <vt:lpstr>'American Integrity'!IL_FINANCIAL</vt:lpstr>
      <vt:lpstr>'American Medical'!IL_FINANCIAL</vt:lpstr>
      <vt:lpstr>'American Network'!IL_FINANCIAL</vt:lpstr>
      <vt:lpstr>AmerWstrn!IL_FINANCIAL</vt:lpstr>
      <vt:lpstr>'AMS Life'!IL_FINANCIAL</vt:lpstr>
      <vt:lpstr>'Andrew Jackson'!IL_FINANCIAL</vt:lpstr>
      <vt:lpstr>'Bankers Commercial'!IL_FINANCIAL</vt:lpstr>
      <vt:lpstr>'Bankers Life'!IL_FINANCIAL</vt:lpstr>
      <vt:lpstr>Benicorp!IL_FINANCIAL</vt:lpstr>
      <vt:lpstr>'Booker T Washington'!IL_FINANCIAL</vt:lpstr>
      <vt:lpstr>Centennial!IL_FINANCIAL</vt:lpstr>
      <vt:lpstr>'CO Bankers'!IL_FINANCIAL</vt:lpstr>
      <vt:lpstr>'Coastal States'!IL_FINANCIAL</vt:lpstr>
      <vt:lpstr>'Colorado Health'!IL_FINANCIAL</vt:lpstr>
      <vt:lpstr>'Compass (dbs Meritus)'!IL_FINANCIAL</vt:lpstr>
      <vt:lpstr>'Confed Life &amp; Annty (CLIAC)'!IL_FINANCIAL</vt:lpstr>
      <vt:lpstr>'Confed Life (CLIC)'!IL_FINANCIAL</vt:lpstr>
      <vt:lpstr>'Consolidated National'!IL_FINANCIAL</vt:lpstr>
      <vt:lpstr>'Consumers Choice'!IL_FINANCIAL</vt:lpstr>
      <vt:lpstr>'Consumers Mutual'!IL_FINANCIAL</vt:lpstr>
      <vt:lpstr>'Consumers United'!IL_FINANCIAL</vt:lpstr>
      <vt:lpstr>CoOportunity!IL_FINANCIAL</vt:lpstr>
      <vt:lpstr>'Coordinated Hlth'!IL_FINANCIAL</vt:lpstr>
      <vt:lpstr>'Corporate Life'!IL_FINANCIAL</vt:lpstr>
      <vt:lpstr>'Diamond Benefits'!IL_FINANCIAL</vt:lpstr>
      <vt:lpstr>'EBL Life'!IL_FINANCIAL</vt:lpstr>
      <vt:lpstr>ELNY!IL_FINANCIAL</vt:lpstr>
      <vt:lpstr>'Executive Life'!IL_FINANCIAL</vt:lpstr>
      <vt:lpstr>'Family Guaranty'!IL_FINANCIAL</vt:lpstr>
      <vt:lpstr>'Farmers &amp; Ranchers'!IL_FINANCIAL</vt:lpstr>
      <vt:lpstr>'Fidelity Bankers'!IL_FINANCIAL</vt:lpstr>
      <vt:lpstr>'Fidelity Mutual'!IL_FINANCIAL</vt:lpstr>
      <vt:lpstr>'First Capital'!IL_FINANCIAL</vt:lpstr>
      <vt:lpstr>'First Natl'!IL_FINANCIAL</vt:lpstr>
      <vt:lpstr>'First Natl (Thrnr)'!IL_FINANCIAL</vt:lpstr>
      <vt:lpstr>'Franklin American'!IL_FINANCIAL</vt:lpstr>
      <vt:lpstr>'Franklin Protective'!IL_FINANCIAL</vt:lpstr>
      <vt:lpstr>'Freelancers CO-OP'!IL_FINANCIAL</vt:lpstr>
      <vt:lpstr>Freestone!IL_FINANCIAL</vt:lpstr>
      <vt:lpstr>'George Washington'!IL_FINANCIAL</vt:lpstr>
      <vt:lpstr>'Golden State'!IL_FINANCIAL</vt:lpstr>
      <vt:lpstr>'Guarantee Security'!IL_FINANCIAL</vt:lpstr>
      <vt:lpstr>HealthyCT!IL_FINANCIAL</vt:lpstr>
      <vt:lpstr>Imerica!IL_FINANCIAL</vt:lpstr>
      <vt:lpstr>'Inter-American'!IL_FINANCIAL</vt:lpstr>
      <vt:lpstr>'International Fin'!IL_FINANCIAL</vt:lpstr>
      <vt:lpstr>'Investment Life of America'!IL_FINANCIAL</vt:lpstr>
      <vt:lpstr>'Investors Equity'!IL_FINANCIAL</vt:lpstr>
      <vt:lpstr>'Kentucky Central'!IL_FINANCIAL</vt:lpstr>
      <vt:lpstr>'Land of Lincoln'!IL_FINANCIAL</vt:lpstr>
      <vt:lpstr>Legion!IL_FINANCIAL</vt:lpstr>
      <vt:lpstr>'Life Health America'!IL_FINANCIAL</vt:lpstr>
      <vt:lpstr>'Lincoln Memorial'!IL_FINANCIAL</vt:lpstr>
      <vt:lpstr>'London Pac'!IL_FINANCIAL</vt:lpstr>
      <vt:lpstr>Lumbermens!IL_FINANCIAL</vt:lpstr>
      <vt:lpstr>'Medical Savings'!IL_FINANCIAL</vt:lpstr>
      <vt:lpstr>'Memorial Service'!IL_FINANCIAL</vt:lpstr>
      <vt:lpstr>Midcontinent!IL_FINANCIAL</vt:lpstr>
      <vt:lpstr>'Midwest Life'!IL_FINANCIAL</vt:lpstr>
      <vt:lpstr>'Monarch Life'!IL_FINANCIAL</vt:lpstr>
      <vt:lpstr>'Mutual Benefit'!IL_FINANCIAL</vt:lpstr>
      <vt:lpstr>'Mutual Security'!IL_FINANCIAL</vt:lpstr>
      <vt:lpstr>'National Affiliated'!IL_FINANCIAL</vt:lpstr>
      <vt:lpstr>'National Heritage'!IL_FINANCIAL</vt:lpstr>
      <vt:lpstr>'National States'!IL_FINANCIAL</vt:lpstr>
      <vt:lpstr>'Natl American'!IL_FINANCIAL</vt:lpstr>
      <vt:lpstr>'New Jersey Life'!IL_FINANCIAL</vt:lpstr>
      <vt:lpstr>NNIC!IL_FINANCIAL</vt:lpstr>
      <vt:lpstr>'North Carolina Mutual'!IL_FINANCIAL</vt:lpstr>
      <vt:lpstr>'Old Colony Life'!IL_FINANCIAL</vt:lpstr>
      <vt:lpstr>'Old Faithful'!IL_FINANCIAL</vt:lpstr>
      <vt:lpstr>'Pacific Standard'!IL_FINANCIAL</vt:lpstr>
      <vt:lpstr>'Pavonia Life'!IL_FINANCIAL</vt:lpstr>
      <vt:lpstr>'Pen  Treaty'!IL_FINANCIAL</vt:lpstr>
      <vt:lpstr>'Red Rock'!IL_FINANCIAL</vt:lpstr>
      <vt:lpstr>Reliance!IL_FINANCIAL</vt:lpstr>
      <vt:lpstr>SeeChange!IL_FINANCIAL</vt:lpstr>
      <vt:lpstr>'Senior American'!IL_FINANCIAL</vt:lpstr>
      <vt:lpstr>Settlers!IL_FINANCIAL</vt:lpstr>
      <vt:lpstr>Shenandoah!IL_FINANCIAL</vt:lpstr>
      <vt:lpstr>'Southland National Life'!IL_FINANCIAL</vt:lpstr>
      <vt:lpstr>'Standard Life IN'!IL_FINANCIAL</vt:lpstr>
      <vt:lpstr>'States General'!IL_FINANCIAL</vt:lpstr>
      <vt:lpstr>Statesman!IL_FINANCIAL</vt:lpstr>
      <vt:lpstr>'Summit National'!IL_FINANCIAL</vt:lpstr>
      <vt:lpstr>Supreme!IL_FINANCIAL</vt:lpstr>
      <vt:lpstr>Time!IL_FINANCIAL</vt:lpstr>
      <vt:lpstr>'Total Summary'!IL_FINANCIAL</vt:lpstr>
      <vt:lpstr>Underwriters!IL_FINANCIAL</vt:lpstr>
      <vt:lpstr>Unison!IL_FINANCIAL</vt:lpstr>
      <vt:lpstr>'United Republic'!IL_FINANCIAL</vt:lpstr>
      <vt:lpstr>'Universal Health Care'!IL_FINANCIAL</vt:lpstr>
      <vt:lpstr>'Universal Life'!IL_FINANCIAL</vt:lpstr>
      <vt:lpstr>Universe!IL_FINANCIAL</vt:lpstr>
      <vt:lpstr>Villanova!IL_FINANCIAL</vt:lpstr>
      <vt:lpstr>'Alabama Life'!IN_FINANCIAL</vt:lpstr>
      <vt:lpstr>'Amer Life Asr'!IN_FINANCIAL</vt:lpstr>
      <vt:lpstr>'Amer Std Life Acc'!IN_FINANCIAL</vt:lpstr>
      <vt:lpstr>'American Chambers'!IN_FINANCIAL</vt:lpstr>
      <vt:lpstr>'American Community'!IN_FINANCIAL</vt:lpstr>
      <vt:lpstr>'American Educators'!IN_FINANCIAL</vt:lpstr>
      <vt:lpstr>'American Integrity'!IN_FINANCIAL</vt:lpstr>
      <vt:lpstr>'American Medical'!IN_FINANCIAL</vt:lpstr>
      <vt:lpstr>'American Network'!IN_FINANCIAL</vt:lpstr>
      <vt:lpstr>AmerWstrn!IN_FINANCIAL</vt:lpstr>
      <vt:lpstr>'AMS Life'!IN_FINANCIAL</vt:lpstr>
      <vt:lpstr>'Andrew Jackson'!IN_FINANCIAL</vt:lpstr>
      <vt:lpstr>'Bankers Commercial'!IN_FINANCIAL</vt:lpstr>
      <vt:lpstr>'Bankers Life'!IN_FINANCIAL</vt:lpstr>
      <vt:lpstr>Benicorp!IN_FINANCIAL</vt:lpstr>
      <vt:lpstr>'Booker T Washington'!IN_FINANCIAL</vt:lpstr>
      <vt:lpstr>Centennial!IN_FINANCIAL</vt:lpstr>
      <vt:lpstr>'CO Bankers'!IN_FINANCIAL</vt:lpstr>
      <vt:lpstr>'Coastal States'!IN_FINANCIAL</vt:lpstr>
      <vt:lpstr>'Colorado Health'!IN_FINANCIAL</vt:lpstr>
      <vt:lpstr>'Compass (dbs Meritus)'!IN_FINANCIAL</vt:lpstr>
      <vt:lpstr>'Confed Life &amp; Annty (CLIAC)'!IN_FINANCIAL</vt:lpstr>
      <vt:lpstr>'Confed Life (CLIC)'!IN_FINANCIAL</vt:lpstr>
      <vt:lpstr>'Consolidated National'!IN_FINANCIAL</vt:lpstr>
      <vt:lpstr>'Consumers Choice'!IN_FINANCIAL</vt:lpstr>
      <vt:lpstr>'Consumers Mutual'!IN_FINANCIAL</vt:lpstr>
      <vt:lpstr>'Consumers United'!IN_FINANCIAL</vt:lpstr>
      <vt:lpstr>CoOportunity!IN_FINANCIAL</vt:lpstr>
      <vt:lpstr>'Coordinated Hlth'!IN_FINANCIAL</vt:lpstr>
      <vt:lpstr>'Corporate Life'!IN_FINANCIAL</vt:lpstr>
      <vt:lpstr>'Diamond Benefits'!IN_FINANCIAL</vt:lpstr>
      <vt:lpstr>'EBL Life'!IN_FINANCIAL</vt:lpstr>
      <vt:lpstr>ELNY!IN_FINANCIAL</vt:lpstr>
      <vt:lpstr>'Executive Life'!IN_FINANCIAL</vt:lpstr>
      <vt:lpstr>'Family Guaranty'!IN_FINANCIAL</vt:lpstr>
      <vt:lpstr>'Farmers &amp; Ranchers'!IN_FINANCIAL</vt:lpstr>
      <vt:lpstr>'Fidelity Bankers'!IN_FINANCIAL</vt:lpstr>
      <vt:lpstr>'Fidelity Mutual'!IN_FINANCIAL</vt:lpstr>
      <vt:lpstr>'First Capital'!IN_FINANCIAL</vt:lpstr>
      <vt:lpstr>'First Natl'!IN_FINANCIAL</vt:lpstr>
      <vt:lpstr>'First Natl (Thrnr)'!IN_FINANCIAL</vt:lpstr>
      <vt:lpstr>'Franklin American'!IN_FINANCIAL</vt:lpstr>
      <vt:lpstr>'Franklin Protective'!IN_FINANCIAL</vt:lpstr>
      <vt:lpstr>'Freelancers CO-OP'!IN_FINANCIAL</vt:lpstr>
      <vt:lpstr>Freestone!IN_FINANCIAL</vt:lpstr>
      <vt:lpstr>'George Washington'!IN_FINANCIAL</vt:lpstr>
      <vt:lpstr>'Golden State'!IN_FINANCIAL</vt:lpstr>
      <vt:lpstr>'Guarantee Security'!IN_FINANCIAL</vt:lpstr>
      <vt:lpstr>HealthyCT!IN_FINANCIAL</vt:lpstr>
      <vt:lpstr>Imerica!IN_FINANCIAL</vt:lpstr>
      <vt:lpstr>'Inter-American'!IN_FINANCIAL</vt:lpstr>
      <vt:lpstr>'International Fin'!IN_FINANCIAL</vt:lpstr>
      <vt:lpstr>'Investment Life of America'!IN_FINANCIAL</vt:lpstr>
      <vt:lpstr>'Investors Equity'!IN_FINANCIAL</vt:lpstr>
      <vt:lpstr>'Kentucky Central'!IN_FINANCIAL</vt:lpstr>
      <vt:lpstr>'Land of Lincoln'!IN_FINANCIAL</vt:lpstr>
      <vt:lpstr>Legion!IN_FINANCIAL</vt:lpstr>
      <vt:lpstr>'Life Health America'!IN_FINANCIAL</vt:lpstr>
      <vt:lpstr>'Lincoln Memorial'!IN_FINANCIAL</vt:lpstr>
      <vt:lpstr>'London Pac'!IN_FINANCIAL</vt:lpstr>
      <vt:lpstr>Lumbermens!IN_FINANCIAL</vt:lpstr>
      <vt:lpstr>'Medical Savings'!IN_FINANCIAL</vt:lpstr>
      <vt:lpstr>'Memorial Service'!IN_FINANCIAL</vt:lpstr>
      <vt:lpstr>Midcontinent!IN_FINANCIAL</vt:lpstr>
      <vt:lpstr>'Midwest Life'!IN_FINANCIAL</vt:lpstr>
      <vt:lpstr>'Monarch Life'!IN_FINANCIAL</vt:lpstr>
      <vt:lpstr>'Mutual Benefit'!IN_FINANCIAL</vt:lpstr>
      <vt:lpstr>'Mutual Security'!IN_FINANCIAL</vt:lpstr>
      <vt:lpstr>'National Affiliated'!IN_FINANCIAL</vt:lpstr>
      <vt:lpstr>'National Heritage'!IN_FINANCIAL</vt:lpstr>
      <vt:lpstr>'National States'!IN_FINANCIAL</vt:lpstr>
      <vt:lpstr>'Natl American'!IN_FINANCIAL</vt:lpstr>
      <vt:lpstr>'New Jersey Life'!IN_FINANCIAL</vt:lpstr>
      <vt:lpstr>NNIC!IN_FINANCIAL</vt:lpstr>
      <vt:lpstr>'North Carolina Mutual'!IN_FINANCIAL</vt:lpstr>
      <vt:lpstr>'Old Colony Life'!IN_FINANCIAL</vt:lpstr>
      <vt:lpstr>'Old Faithful'!IN_FINANCIAL</vt:lpstr>
      <vt:lpstr>'Pacific Standard'!IN_FINANCIAL</vt:lpstr>
      <vt:lpstr>'Pavonia Life'!IN_FINANCIAL</vt:lpstr>
      <vt:lpstr>'Pen  Treaty'!IN_FINANCIAL</vt:lpstr>
      <vt:lpstr>'Red Rock'!IN_FINANCIAL</vt:lpstr>
      <vt:lpstr>Reliance!IN_FINANCIAL</vt:lpstr>
      <vt:lpstr>SeeChange!IN_FINANCIAL</vt:lpstr>
      <vt:lpstr>'Senior American'!IN_FINANCIAL</vt:lpstr>
      <vt:lpstr>Settlers!IN_FINANCIAL</vt:lpstr>
      <vt:lpstr>Shenandoah!IN_FINANCIAL</vt:lpstr>
      <vt:lpstr>'Southland National Life'!IN_FINANCIAL</vt:lpstr>
      <vt:lpstr>'Standard Life IN'!IN_FINANCIAL</vt:lpstr>
      <vt:lpstr>'States General'!IN_FINANCIAL</vt:lpstr>
      <vt:lpstr>Statesman!IN_FINANCIAL</vt:lpstr>
      <vt:lpstr>'Summit National'!IN_FINANCIAL</vt:lpstr>
      <vt:lpstr>Supreme!IN_FINANCIAL</vt:lpstr>
      <vt:lpstr>Time!IN_FINANCIAL</vt:lpstr>
      <vt:lpstr>'Total Summary'!IN_FINANCIAL</vt:lpstr>
      <vt:lpstr>Underwriters!IN_FINANCIAL</vt:lpstr>
      <vt:lpstr>Unison!IN_FINANCIAL</vt:lpstr>
      <vt:lpstr>'United Republic'!IN_FINANCIAL</vt:lpstr>
      <vt:lpstr>'Universal Health Care'!IN_FINANCIAL</vt:lpstr>
      <vt:lpstr>'Universal Life'!IN_FINANCIAL</vt:lpstr>
      <vt:lpstr>Universe!IN_FINANCIAL</vt:lpstr>
      <vt:lpstr>Villanova!IN_FINANCIAL</vt:lpstr>
      <vt:lpstr>'Alabama Life'!KS_FINANCIAL</vt:lpstr>
      <vt:lpstr>'Amer Life Asr'!KS_FINANCIAL</vt:lpstr>
      <vt:lpstr>'Amer Std Life Acc'!KS_FINANCIAL</vt:lpstr>
      <vt:lpstr>'American Chambers'!KS_FINANCIAL</vt:lpstr>
      <vt:lpstr>'American Community'!KS_FINANCIAL</vt:lpstr>
      <vt:lpstr>'American Educators'!KS_FINANCIAL</vt:lpstr>
      <vt:lpstr>'American Integrity'!KS_FINANCIAL</vt:lpstr>
      <vt:lpstr>'American Medical'!KS_FINANCIAL</vt:lpstr>
      <vt:lpstr>'American Network'!KS_FINANCIAL</vt:lpstr>
      <vt:lpstr>AmerWstrn!KS_FINANCIAL</vt:lpstr>
      <vt:lpstr>'AMS Life'!KS_FINANCIAL</vt:lpstr>
      <vt:lpstr>'Andrew Jackson'!KS_FINANCIAL</vt:lpstr>
      <vt:lpstr>'Bankers Commercial'!KS_FINANCIAL</vt:lpstr>
      <vt:lpstr>'Bankers Life'!KS_FINANCIAL</vt:lpstr>
      <vt:lpstr>Benicorp!KS_FINANCIAL</vt:lpstr>
      <vt:lpstr>'Booker T Washington'!KS_FINANCIAL</vt:lpstr>
      <vt:lpstr>Centennial!KS_FINANCIAL</vt:lpstr>
      <vt:lpstr>'CO Bankers'!KS_FINANCIAL</vt:lpstr>
      <vt:lpstr>'Coastal States'!KS_FINANCIAL</vt:lpstr>
      <vt:lpstr>'Colorado Health'!KS_FINANCIAL</vt:lpstr>
      <vt:lpstr>'Compass (dbs Meritus)'!KS_FINANCIAL</vt:lpstr>
      <vt:lpstr>'Confed Life &amp; Annty (CLIAC)'!KS_FINANCIAL</vt:lpstr>
      <vt:lpstr>'Confed Life (CLIC)'!KS_FINANCIAL</vt:lpstr>
      <vt:lpstr>'Consolidated National'!KS_FINANCIAL</vt:lpstr>
      <vt:lpstr>'Consumers Choice'!KS_FINANCIAL</vt:lpstr>
      <vt:lpstr>'Consumers Mutual'!KS_FINANCIAL</vt:lpstr>
      <vt:lpstr>'Consumers United'!KS_FINANCIAL</vt:lpstr>
      <vt:lpstr>CoOportunity!KS_FINANCIAL</vt:lpstr>
      <vt:lpstr>'Coordinated Hlth'!KS_FINANCIAL</vt:lpstr>
      <vt:lpstr>'Corporate Life'!KS_FINANCIAL</vt:lpstr>
      <vt:lpstr>'Diamond Benefits'!KS_FINANCIAL</vt:lpstr>
      <vt:lpstr>'EBL Life'!KS_FINANCIAL</vt:lpstr>
      <vt:lpstr>ELNY!KS_FINANCIAL</vt:lpstr>
      <vt:lpstr>'Executive Life'!KS_FINANCIAL</vt:lpstr>
      <vt:lpstr>'Family Guaranty'!KS_FINANCIAL</vt:lpstr>
      <vt:lpstr>'Farmers &amp; Ranchers'!KS_FINANCIAL</vt:lpstr>
      <vt:lpstr>'Fidelity Bankers'!KS_FINANCIAL</vt:lpstr>
      <vt:lpstr>'Fidelity Mutual'!KS_FINANCIAL</vt:lpstr>
      <vt:lpstr>'First Capital'!KS_FINANCIAL</vt:lpstr>
      <vt:lpstr>'First Natl'!KS_FINANCIAL</vt:lpstr>
      <vt:lpstr>'First Natl (Thrnr)'!KS_FINANCIAL</vt:lpstr>
      <vt:lpstr>'Franklin American'!KS_FINANCIAL</vt:lpstr>
      <vt:lpstr>'Franklin Protective'!KS_FINANCIAL</vt:lpstr>
      <vt:lpstr>'Freelancers CO-OP'!KS_FINANCIAL</vt:lpstr>
      <vt:lpstr>Freestone!KS_FINANCIAL</vt:lpstr>
      <vt:lpstr>'George Washington'!KS_FINANCIAL</vt:lpstr>
      <vt:lpstr>'Golden State'!KS_FINANCIAL</vt:lpstr>
      <vt:lpstr>'Guarantee Security'!KS_FINANCIAL</vt:lpstr>
      <vt:lpstr>HealthyCT!KS_FINANCIAL</vt:lpstr>
      <vt:lpstr>Imerica!KS_FINANCIAL</vt:lpstr>
      <vt:lpstr>'Inter-American'!KS_FINANCIAL</vt:lpstr>
      <vt:lpstr>'International Fin'!KS_FINANCIAL</vt:lpstr>
      <vt:lpstr>'Investment Life of America'!KS_FINANCIAL</vt:lpstr>
      <vt:lpstr>'Investors Equity'!KS_FINANCIAL</vt:lpstr>
      <vt:lpstr>'Kentucky Central'!KS_FINANCIAL</vt:lpstr>
      <vt:lpstr>'Land of Lincoln'!KS_FINANCIAL</vt:lpstr>
      <vt:lpstr>Legion!KS_FINANCIAL</vt:lpstr>
      <vt:lpstr>'Life Health America'!KS_FINANCIAL</vt:lpstr>
      <vt:lpstr>'Lincoln Memorial'!KS_FINANCIAL</vt:lpstr>
      <vt:lpstr>'London Pac'!KS_FINANCIAL</vt:lpstr>
      <vt:lpstr>Lumbermens!KS_FINANCIAL</vt:lpstr>
      <vt:lpstr>'Medical Savings'!KS_FINANCIAL</vt:lpstr>
      <vt:lpstr>'Memorial Service'!KS_FINANCIAL</vt:lpstr>
      <vt:lpstr>Midcontinent!KS_FINANCIAL</vt:lpstr>
      <vt:lpstr>'Midwest Life'!KS_FINANCIAL</vt:lpstr>
      <vt:lpstr>'Monarch Life'!KS_FINANCIAL</vt:lpstr>
      <vt:lpstr>'Mutual Benefit'!KS_FINANCIAL</vt:lpstr>
      <vt:lpstr>'Mutual Security'!KS_FINANCIAL</vt:lpstr>
      <vt:lpstr>'National Affiliated'!KS_FINANCIAL</vt:lpstr>
      <vt:lpstr>'National Heritage'!KS_FINANCIAL</vt:lpstr>
      <vt:lpstr>'National States'!KS_FINANCIAL</vt:lpstr>
      <vt:lpstr>'Natl American'!KS_FINANCIAL</vt:lpstr>
      <vt:lpstr>'New Jersey Life'!KS_FINANCIAL</vt:lpstr>
      <vt:lpstr>NNIC!KS_FINANCIAL</vt:lpstr>
      <vt:lpstr>'North Carolina Mutual'!KS_FINANCIAL</vt:lpstr>
      <vt:lpstr>'Old Colony Life'!KS_FINANCIAL</vt:lpstr>
      <vt:lpstr>'Old Faithful'!KS_FINANCIAL</vt:lpstr>
      <vt:lpstr>'Pacific Standard'!KS_FINANCIAL</vt:lpstr>
      <vt:lpstr>'Pavonia Life'!KS_FINANCIAL</vt:lpstr>
      <vt:lpstr>'Pen  Treaty'!KS_FINANCIAL</vt:lpstr>
      <vt:lpstr>'Red Rock'!KS_FINANCIAL</vt:lpstr>
      <vt:lpstr>Reliance!KS_FINANCIAL</vt:lpstr>
      <vt:lpstr>SeeChange!KS_FINANCIAL</vt:lpstr>
      <vt:lpstr>'Senior American'!KS_FINANCIAL</vt:lpstr>
      <vt:lpstr>Settlers!KS_FINANCIAL</vt:lpstr>
      <vt:lpstr>Shenandoah!KS_FINANCIAL</vt:lpstr>
      <vt:lpstr>'Southland National Life'!KS_FINANCIAL</vt:lpstr>
      <vt:lpstr>'Standard Life IN'!KS_FINANCIAL</vt:lpstr>
      <vt:lpstr>'States General'!KS_FINANCIAL</vt:lpstr>
      <vt:lpstr>Statesman!KS_FINANCIAL</vt:lpstr>
      <vt:lpstr>'Summit National'!KS_FINANCIAL</vt:lpstr>
      <vt:lpstr>Supreme!KS_FINANCIAL</vt:lpstr>
      <vt:lpstr>Time!KS_FINANCIAL</vt:lpstr>
      <vt:lpstr>'Total Summary'!KS_FINANCIAL</vt:lpstr>
      <vt:lpstr>Underwriters!KS_FINANCIAL</vt:lpstr>
      <vt:lpstr>Unison!KS_FINANCIAL</vt:lpstr>
      <vt:lpstr>'United Republic'!KS_FINANCIAL</vt:lpstr>
      <vt:lpstr>'Universal Health Care'!KS_FINANCIAL</vt:lpstr>
      <vt:lpstr>'Universal Life'!KS_FINANCIAL</vt:lpstr>
      <vt:lpstr>Universe!KS_FINANCIAL</vt:lpstr>
      <vt:lpstr>Villanova!KS_FINANCIAL</vt:lpstr>
      <vt:lpstr>'Alabama Life'!KY_FINANCIAL</vt:lpstr>
      <vt:lpstr>'Amer Life Asr'!KY_FINANCIAL</vt:lpstr>
      <vt:lpstr>'Amer Std Life Acc'!KY_FINANCIAL</vt:lpstr>
      <vt:lpstr>'American Chambers'!KY_FINANCIAL</vt:lpstr>
      <vt:lpstr>'American Community'!KY_FINANCIAL</vt:lpstr>
      <vt:lpstr>'American Educators'!KY_FINANCIAL</vt:lpstr>
      <vt:lpstr>'American Integrity'!KY_FINANCIAL</vt:lpstr>
      <vt:lpstr>'American Medical'!KY_FINANCIAL</vt:lpstr>
      <vt:lpstr>'American Network'!KY_FINANCIAL</vt:lpstr>
      <vt:lpstr>AmerWstrn!KY_FINANCIAL</vt:lpstr>
      <vt:lpstr>'AMS Life'!KY_FINANCIAL</vt:lpstr>
      <vt:lpstr>'Andrew Jackson'!KY_FINANCIAL</vt:lpstr>
      <vt:lpstr>'Bankers Commercial'!KY_FINANCIAL</vt:lpstr>
      <vt:lpstr>'Bankers Life'!KY_FINANCIAL</vt:lpstr>
      <vt:lpstr>Benicorp!KY_FINANCIAL</vt:lpstr>
      <vt:lpstr>'Booker T Washington'!KY_FINANCIAL</vt:lpstr>
      <vt:lpstr>Centennial!KY_FINANCIAL</vt:lpstr>
      <vt:lpstr>'CO Bankers'!KY_FINANCIAL</vt:lpstr>
      <vt:lpstr>'Coastal States'!KY_FINANCIAL</vt:lpstr>
      <vt:lpstr>'Colorado Health'!KY_FINANCIAL</vt:lpstr>
      <vt:lpstr>'Compass (dbs Meritus)'!KY_FINANCIAL</vt:lpstr>
      <vt:lpstr>'Confed Life &amp; Annty (CLIAC)'!KY_FINANCIAL</vt:lpstr>
      <vt:lpstr>'Confed Life (CLIC)'!KY_FINANCIAL</vt:lpstr>
      <vt:lpstr>'Consolidated National'!KY_FINANCIAL</vt:lpstr>
      <vt:lpstr>'Consumers Choice'!KY_FINANCIAL</vt:lpstr>
      <vt:lpstr>'Consumers Mutual'!KY_FINANCIAL</vt:lpstr>
      <vt:lpstr>'Consumers United'!KY_FINANCIAL</vt:lpstr>
      <vt:lpstr>CoOportunity!KY_FINANCIAL</vt:lpstr>
      <vt:lpstr>'Coordinated Hlth'!KY_FINANCIAL</vt:lpstr>
      <vt:lpstr>'Corporate Life'!KY_FINANCIAL</vt:lpstr>
      <vt:lpstr>'Diamond Benefits'!KY_FINANCIAL</vt:lpstr>
      <vt:lpstr>'EBL Life'!KY_FINANCIAL</vt:lpstr>
      <vt:lpstr>ELNY!KY_FINANCIAL</vt:lpstr>
      <vt:lpstr>'Executive Life'!KY_FINANCIAL</vt:lpstr>
      <vt:lpstr>'Family Guaranty'!KY_FINANCIAL</vt:lpstr>
      <vt:lpstr>'Farmers &amp; Ranchers'!KY_FINANCIAL</vt:lpstr>
      <vt:lpstr>'Fidelity Bankers'!KY_FINANCIAL</vt:lpstr>
      <vt:lpstr>'Fidelity Mutual'!KY_FINANCIAL</vt:lpstr>
      <vt:lpstr>'First Capital'!KY_FINANCIAL</vt:lpstr>
      <vt:lpstr>'First Natl'!KY_FINANCIAL</vt:lpstr>
      <vt:lpstr>'First Natl (Thrnr)'!KY_FINANCIAL</vt:lpstr>
      <vt:lpstr>'Franklin American'!KY_FINANCIAL</vt:lpstr>
      <vt:lpstr>'Franklin Protective'!KY_FINANCIAL</vt:lpstr>
      <vt:lpstr>'Freelancers CO-OP'!KY_FINANCIAL</vt:lpstr>
      <vt:lpstr>Freestone!KY_FINANCIAL</vt:lpstr>
      <vt:lpstr>'George Washington'!KY_FINANCIAL</vt:lpstr>
      <vt:lpstr>'Golden State'!KY_FINANCIAL</vt:lpstr>
      <vt:lpstr>'Guarantee Security'!KY_FINANCIAL</vt:lpstr>
      <vt:lpstr>HealthyCT!KY_FINANCIAL</vt:lpstr>
      <vt:lpstr>Imerica!KY_FINANCIAL</vt:lpstr>
      <vt:lpstr>'Inter-American'!KY_FINANCIAL</vt:lpstr>
      <vt:lpstr>'International Fin'!KY_FINANCIAL</vt:lpstr>
      <vt:lpstr>'Investment Life of America'!KY_FINANCIAL</vt:lpstr>
      <vt:lpstr>'Investors Equity'!KY_FINANCIAL</vt:lpstr>
      <vt:lpstr>'Kentucky Central'!KY_FINANCIAL</vt:lpstr>
      <vt:lpstr>'Land of Lincoln'!KY_FINANCIAL</vt:lpstr>
      <vt:lpstr>Legion!KY_FINANCIAL</vt:lpstr>
      <vt:lpstr>'Life Health America'!KY_FINANCIAL</vt:lpstr>
      <vt:lpstr>'Lincoln Memorial'!KY_FINANCIAL</vt:lpstr>
      <vt:lpstr>'London Pac'!KY_FINANCIAL</vt:lpstr>
      <vt:lpstr>Lumbermens!KY_FINANCIAL</vt:lpstr>
      <vt:lpstr>'Medical Savings'!KY_FINANCIAL</vt:lpstr>
      <vt:lpstr>'Memorial Service'!KY_FINANCIAL</vt:lpstr>
      <vt:lpstr>Midcontinent!KY_FINANCIAL</vt:lpstr>
      <vt:lpstr>'Midwest Life'!KY_FINANCIAL</vt:lpstr>
      <vt:lpstr>'Monarch Life'!KY_FINANCIAL</vt:lpstr>
      <vt:lpstr>'Mutual Benefit'!KY_FINANCIAL</vt:lpstr>
      <vt:lpstr>'Mutual Security'!KY_FINANCIAL</vt:lpstr>
      <vt:lpstr>'National Affiliated'!KY_FINANCIAL</vt:lpstr>
      <vt:lpstr>'National Heritage'!KY_FINANCIAL</vt:lpstr>
      <vt:lpstr>'National States'!KY_FINANCIAL</vt:lpstr>
      <vt:lpstr>'Natl American'!KY_FINANCIAL</vt:lpstr>
      <vt:lpstr>'New Jersey Life'!KY_FINANCIAL</vt:lpstr>
      <vt:lpstr>NNIC!KY_FINANCIAL</vt:lpstr>
      <vt:lpstr>'North Carolina Mutual'!KY_FINANCIAL</vt:lpstr>
      <vt:lpstr>'Old Colony Life'!KY_FINANCIAL</vt:lpstr>
      <vt:lpstr>'Old Faithful'!KY_FINANCIAL</vt:lpstr>
      <vt:lpstr>'Pacific Standard'!KY_FINANCIAL</vt:lpstr>
      <vt:lpstr>'Pavonia Life'!KY_FINANCIAL</vt:lpstr>
      <vt:lpstr>'Pen  Treaty'!KY_FINANCIAL</vt:lpstr>
      <vt:lpstr>'Red Rock'!KY_FINANCIAL</vt:lpstr>
      <vt:lpstr>Reliance!KY_FINANCIAL</vt:lpstr>
      <vt:lpstr>SeeChange!KY_FINANCIAL</vt:lpstr>
      <vt:lpstr>'Senior American'!KY_FINANCIAL</vt:lpstr>
      <vt:lpstr>Settlers!KY_FINANCIAL</vt:lpstr>
      <vt:lpstr>Shenandoah!KY_FINANCIAL</vt:lpstr>
      <vt:lpstr>'Southland National Life'!KY_FINANCIAL</vt:lpstr>
      <vt:lpstr>'Standard Life IN'!KY_FINANCIAL</vt:lpstr>
      <vt:lpstr>'States General'!KY_FINANCIAL</vt:lpstr>
      <vt:lpstr>Statesman!KY_FINANCIAL</vt:lpstr>
      <vt:lpstr>'Summit National'!KY_FINANCIAL</vt:lpstr>
      <vt:lpstr>Supreme!KY_FINANCIAL</vt:lpstr>
      <vt:lpstr>Time!KY_FINANCIAL</vt:lpstr>
      <vt:lpstr>'Total Summary'!KY_FINANCIAL</vt:lpstr>
      <vt:lpstr>Underwriters!KY_FINANCIAL</vt:lpstr>
      <vt:lpstr>Unison!KY_FINANCIAL</vt:lpstr>
      <vt:lpstr>'United Republic'!KY_FINANCIAL</vt:lpstr>
      <vt:lpstr>'Universal Health Care'!KY_FINANCIAL</vt:lpstr>
      <vt:lpstr>'Universal Life'!KY_FINANCIAL</vt:lpstr>
      <vt:lpstr>Universe!KY_FINANCIAL</vt:lpstr>
      <vt:lpstr>Villanova!KY_FINANCIAL</vt:lpstr>
      <vt:lpstr>'Alabama Life'!LA_FINANCIAL</vt:lpstr>
      <vt:lpstr>'Amer Life Asr'!LA_FINANCIAL</vt:lpstr>
      <vt:lpstr>'Amer Std Life Acc'!LA_FINANCIAL</vt:lpstr>
      <vt:lpstr>'American Chambers'!LA_FINANCIAL</vt:lpstr>
      <vt:lpstr>'American Community'!LA_FINANCIAL</vt:lpstr>
      <vt:lpstr>'American Educators'!LA_FINANCIAL</vt:lpstr>
      <vt:lpstr>'American Integrity'!LA_FINANCIAL</vt:lpstr>
      <vt:lpstr>'American Medical'!LA_FINANCIAL</vt:lpstr>
      <vt:lpstr>'American Network'!LA_FINANCIAL</vt:lpstr>
      <vt:lpstr>AmerWstrn!LA_FINANCIAL</vt:lpstr>
      <vt:lpstr>'AMS Life'!LA_FINANCIAL</vt:lpstr>
      <vt:lpstr>'Andrew Jackson'!LA_FINANCIAL</vt:lpstr>
      <vt:lpstr>'Bankers Commercial'!LA_FINANCIAL</vt:lpstr>
      <vt:lpstr>'Bankers Life'!LA_FINANCIAL</vt:lpstr>
      <vt:lpstr>Benicorp!LA_FINANCIAL</vt:lpstr>
      <vt:lpstr>'Booker T Washington'!LA_FINANCIAL</vt:lpstr>
      <vt:lpstr>Centennial!LA_FINANCIAL</vt:lpstr>
      <vt:lpstr>'CO Bankers'!LA_FINANCIAL</vt:lpstr>
      <vt:lpstr>'Coastal States'!LA_FINANCIAL</vt:lpstr>
      <vt:lpstr>'Colorado Health'!LA_FINANCIAL</vt:lpstr>
      <vt:lpstr>'Compass (dbs Meritus)'!LA_FINANCIAL</vt:lpstr>
      <vt:lpstr>'Confed Life &amp; Annty (CLIAC)'!LA_FINANCIAL</vt:lpstr>
      <vt:lpstr>'Confed Life (CLIC)'!LA_FINANCIAL</vt:lpstr>
      <vt:lpstr>'Consolidated National'!LA_FINANCIAL</vt:lpstr>
      <vt:lpstr>'Consumers Choice'!LA_FINANCIAL</vt:lpstr>
      <vt:lpstr>'Consumers Mutual'!LA_FINANCIAL</vt:lpstr>
      <vt:lpstr>'Consumers United'!LA_FINANCIAL</vt:lpstr>
      <vt:lpstr>CoOportunity!LA_FINANCIAL</vt:lpstr>
      <vt:lpstr>'Coordinated Hlth'!LA_FINANCIAL</vt:lpstr>
      <vt:lpstr>'Corporate Life'!LA_FINANCIAL</vt:lpstr>
      <vt:lpstr>'Diamond Benefits'!LA_FINANCIAL</vt:lpstr>
      <vt:lpstr>'EBL Life'!LA_FINANCIAL</vt:lpstr>
      <vt:lpstr>ELNY!LA_FINANCIAL</vt:lpstr>
      <vt:lpstr>'Executive Life'!LA_FINANCIAL</vt:lpstr>
      <vt:lpstr>'Family Guaranty'!LA_FINANCIAL</vt:lpstr>
      <vt:lpstr>'Farmers &amp; Ranchers'!LA_FINANCIAL</vt:lpstr>
      <vt:lpstr>'Fidelity Bankers'!LA_FINANCIAL</vt:lpstr>
      <vt:lpstr>'Fidelity Mutual'!LA_FINANCIAL</vt:lpstr>
      <vt:lpstr>'First Capital'!LA_FINANCIAL</vt:lpstr>
      <vt:lpstr>'First Natl'!LA_FINANCIAL</vt:lpstr>
      <vt:lpstr>'First Natl (Thrnr)'!LA_FINANCIAL</vt:lpstr>
      <vt:lpstr>'Franklin American'!LA_FINANCIAL</vt:lpstr>
      <vt:lpstr>'Franklin Protective'!LA_FINANCIAL</vt:lpstr>
      <vt:lpstr>'Freelancers CO-OP'!LA_FINANCIAL</vt:lpstr>
      <vt:lpstr>Freestone!LA_FINANCIAL</vt:lpstr>
      <vt:lpstr>'George Washington'!LA_FINANCIAL</vt:lpstr>
      <vt:lpstr>'Golden State'!LA_FINANCIAL</vt:lpstr>
      <vt:lpstr>'Guarantee Security'!LA_FINANCIAL</vt:lpstr>
      <vt:lpstr>HealthyCT!LA_FINANCIAL</vt:lpstr>
      <vt:lpstr>Imerica!LA_FINANCIAL</vt:lpstr>
      <vt:lpstr>'Inter-American'!LA_FINANCIAL</vt:lpstr>
      <vt:lpstr>'International Fin'!LA_FINANCIAL</vt:lpstr>
      <vt:lpstr>'Investment Life of America'!LA_FINANCIAL</vt:lpstr>
      <vt:lpstr>'Investors Equity'!LA_FINANCIAL</vt:lpstr>
      <vt:lpstr>'Kentucky Central'!LA_FINANCIAL</vt:lpstr>
      <vt:lpstr>'Land of Lincoln'!LA_FINANCIAL</vt:lpstr>
      <vt:lpstr>Legion!LA_FINANCIAL</vt:lpstr>
      <vt:lpstr>'Life Health America'!LA_FINANCIAL</vt:lpstr>
      <vt:lpstr>'Lincoln Memorial'!LA_FINANCIAL</vt:lpstr>
      <vt:lpstr>'London Pac'!LA_FINANCIAL</vt:lpstr>
      <vt:lpstr>Lumbermens!LA_FINANCIAL</vt:lpstr>
      <vt:lpstr>'Medical Savings'!LA_FINANCIAL</vt:lpstr>
      <vt:lpstr>'Memorial Service'!LA_FINANCIAL</vt:lpstr>
      <vt:lpstr>Midcontinent!LA_FINANCIAL</vt:lpstr>
      <vt:lpstr>'Midwest Life'!LA_FINANCIAL</vt:lpstr>
      <vt:lpstr>'Monarch Life'!LA_FINANCIAL</vt:lpstr>
      <vt:lpstr>'Mutual Benefit'!LA_FINANCIAL</vt:lpstr>
      <vt:lpstr>'Mutual Security'!LA_FINANCIAL</vt:lpstr>
      <vt:lpstr>'National Affiliated'!LA_FINANCIAL</vt:lpstr>
      <vt:lpstr>'National Heritage'!LA_FINANCIAL</vt:lpstr>
      <vt:lpstr>'National States'!LA_FINANCIAL</vt:lpstr>
      <vt:lpstr>'Natl American'!LA_FINANCIAL</vt:lpstr>
      <vt:lpstr>'New Jersey Life'!LA_FINANCIAL</vt:lpstr>
      <vt:lpstr>NNIC!LA_FINANCIAL</vt:lpstr>
      <vt:lpstr>'North Carolina Mutual'!LA_FINANCIAL</vt:lpstr>
      <vt:lpstr>'Old Colony Life'!LA_FINANCIAL</vt:lpstr>
      <vt:lpstr>'Old Faithful'!LA_FINANCIAL</vt:lpstr>
      <vt:lpstr>'Pacific Standard'!LA_FINANCIAL</vt:lpstr>
      <vt:lpstr>'Pavonia Life'!LA_FINANCIAL</vt:lpstr>
      <vt:lpstr>'Pen  Treaty'!LA_FINANCIAL</vt:lpstr>
      <vt:lpstr>'Red Rock'!LA_FINANCIAL</vt:lpstr>
      <vt:lpstr>Reliance!LA_FINANCIAL</vt:lpstr>
      <vt:lpstr>SeeChange!LA_FINANCIAL</vt:lpstr>
      <vt:lpstr>'Senior American'!LA_FINANCIAL</vt:lpstr>
      <vt:lpstr>Settlers!LA_FINANCIAL</vt:lpstr>
      <vt:lpstr>Shenandoah!LA_FINANCIAL</vt:lpstr>
      <vt:lpstr>'Southland National Life'!LA_FINANCIAL</vt:lpstr>
      <vt:lpstr>'Standard Life IN'!LA_FINANCIAL</vt:lpstr>
      <vt:lpstr>'States General'!LA_FINANCIAL</vt:lpstr>
      <vt:lpstr>Statesman!LA_FINANCIAL</vt:lpstr>
      <vt:lpstr>'Summit National'!LA_FINANCIAL</vt:lpstr>
      <vt:lpstr>Supreme!LA_FINANCIAL</vt:lpstr>
      <vt:lpstr>Time!LA_FINANCIAL</vt:lpstr>
      <vt:lpstr>'Total Summary'!LA_FINANCIAL</vt:lpstr>
      <vt:lpstr>Underwriters!LA_FINANCIAL</vt:lpstr>
      <vt:lpstr>Unison!LA_FINANCIAL</vt:lpstr>
      <vt:lpstr>'United Republic'!LA_FINANCIAL</vt:lpstr>
      <vt:lpstr>'Universal Health Care'!LA_FINANCIAL</vt:lpstr>
      <vt:lpstr>'Universal Life'!LA_FINANCIAL</vt:lpstr>
      <vt:lpstr>Universe!LA_FINANCIAL</vt:lpstr>
      <vt:lpstr>Villanova!LA_FINANCIAL</vt:lpstr>
      <vt:lpstr>'Alabama Life'!LESS_FINANCIAL</vt:lpstr>
      <vt:lpstr>'Amer Life Asr'!LESS_FINANCIAL</vt:lpstr>
      <vt:lpstr>'Amer Std Life Acc'!LESS_FINANCIAL</vt:lpstr>
      <vt:lpstr>'American Chambers'!LESS_FINANCIAL</vt:lpstr>
      <vt:lpstr>'American Community'!LESS_FINANCIAL</vt:lpstr>
      <vt:lpstr>'American Educators'!LESS_FINANCIAL</vt:lpstr>
      <vt:lpstr>'American Integrity'!LESS_FINANCIAL</vt:lpstr>
      <vt:lpstr>'American Medical'!LESS_FINANCIAL</vt:lpstr>
      <vt:lpstr>'American Network'!LESS_FINANCIAL</vt:lpstr>
      <vt:lpstr>AmerWstrn!LESS_FINANCIAL</vt:lpstr>
      <vt:lpstr>'AMS Life'!LESS_FINANCIAL</vt:lpstr>
      <vt:lpstr>'Andrew Jackson'!LESS_FINANCIAL</vt:lpstr>
      <vt:lpstr>'Bankers Commercial'!LESS_FINANCIAL</vt:lpstr>
      <vt:lpstr>'Bankers Life'!LESS_FINANCIAL</vt:lpstr>
      <vt:lpstr>Benicorp!LESS_FINANCIAL</vt:lpstr>
      <vt:lpstr>'Booker T Washington'!LESS_FINANCIAL</vt:lpstr>
      <vt:lpstr>Centennial!LESS_FINANCIAL</vt:lpstr>
      <vt:lpstr>'CO Bankers'!LESS_FINANCIAL</vt:lpstr>
      <vt:lpstr>'Coastal States'!LESS_FINANCIAL</vt:lpstr>
      <vt:lpstr>'Colorado Health'!LESS_FINANCIAL</vt:lpstr>
      <vt:lpstr>'Compass (dbs Meritus)'!LESS_FINANCIAL</vt:lpstr>
      <vt:lpstr>'Confed Life &amp; Annty (CLIAC)'!LESS_FINANCIAL</vt:lpstr>
      <vt:lpstr>'Confed Life (CLIC)'!LESS_FINANCIAL</vt:lpstr>
      <vt:lpstr>'Consolidated National'!LESS_FINANCIAL</vt:lpstr>
      <vt:lpstr>'Consumers Choice'!LESS_FINANCIAL</vt:lpstr>
      <vt:lpstr>'Consumers Mutual'!LESS_FINANCIAL</vt:lpstr>
      <vt:lpstr>'Consumers United'!LESS_FINANCIAL</vt:lpstr>
      <vt:lpstr>CoOportunity!LESS_FINANCIAL</vt:lpstr>
      <vt:lpstr>'Coordinated Hlth'!LESS_FINANCIAL</vt:lpstr>
      <vt:lpstr>'Corporate Life'!LESS_FINANCIAL</vt:lpstr>
      <vt:lpstr>'Diamond Benefits'!LESS_FINANCIAL</vt:lpstr>
      <vt:lpstr>'EBL Life'!LESS_FINANCIAL</vt:lpstr>
      <vt:lpstr>ELNY!LESS_FINANCIAL</vt:lpstr>
      <vt:lpstr>'Executive Life'!LESS_FINANCIAL</vt:lpstr>
      <vt:lpstr>'Family Guaranty'!LESS_FINANCIAL</vt:lpstr>
      <vt:lpstr>'Farmers &amp; Ranchers'!LESS_FINANCIAL</vt:lpstr>
      <vt:lpstr>'Fidelity Bankers'!LESS_FINANCIAL</vt:lpstr>
      <vt:lpstr>'Fidelity Mutual'!LESS_FINANCIAL</vt:lpstr>
      <vt:lpstr>'First Capital'!LESS_FINANCIAL</vt:lpstr>
      <vt:lpstr>'First Natl'!LESS_FINANCIAL</vt:lpstr>
      <vt:lpstr>'First Natl (Thrnr)'!LESS_FINANCIAL</vt:lpstr>
      <vt:lpstr>'Franklin American'!LESS_FINANCIAL</vt:lpstr>
      <vt:lpstr>'Franklin Protective'!LESS_FINANCIAL</vt:lpstr>
      <vt:lpstr>'Freelancers CO-OP'!LESS_FINANCIAL</vt:lpstr>
      <vt:lpstr>Freestone!LESS_FINANCIAL</vt:lpstr>
      <vt:lpstr>'George Washington'!LESS_FINANCIAL</vt:lpstr>
      <vt:lpstr>'Golden State'!LESS_FINANCIAL</vt:lpstr>
      <vt:lpstr>'Guarantee Security'!LESS_FINANCIAL</vt:lpstr>
      <vt:lpstr>HealthyCT!LESS_FINANCIAL</vt:lpstr>
      <vt:lpstr>Imerica!LESS_FINANCIAL</vt:lpstr>
      <vt:lpstr>'Inter-American'!LESS_FINANCIAL</vt:lpstr>
      <vt:lpstr>'International Fin'!LESS_FINANCIAL</vt:lpstr>
      <vt:lpstr>'Investment Life of America'!LESS_FINANCIAL</vt:lpstr>
      <vt:lpstr>'Investors Equity'!LESS_FINANCIAL</vt:lpstr>
      <vt:lpstr>'Kentucky Central'!LESS_FINANCIAL</vt:lpstr>
      <vt:lpstr>'Land of Lincoln'!LESS_FINANCIAL</vt:lpstr>
      <vt:lpstr>Legion!LESS_FINANCIAL</vt:lpstr>
      <vt:lpstr>'Life Health America'!LESS_FINANCIAL</vt:lpstr>
      <vt:lpstr>'Lincoln Memorial'!LESS_FINANCIAL</vt:lpstr>
      <vt:lpstr>'London Pac'!LESS_FINANCIAL</vt:lpstr>
      <vt:lpstr>Lumbermens!LESS_FINANCIAL</vt:lpstr>
      <vt:lpstr>'Medical Savings'!LESS_FINANCIAL</vt:lpstr>
      <vt:lpstr>'Memorial Service'!LESS_FINANCIAL</vt:lpstr>
      <vt:lpstr>Midcontinent!LESS_FINANCIAL</vt:lpstr>
      <vt:lpstr>'Midwest Life'!LESS_FINANCIAL</vt:lpstr>
      <vt:lpstr>'Monarch Life'!LESS_FINANCIAL</vt:lpstr>
      <vt:lpstr>'Mutual Benefit'!LESS_FINANCIAL</vt:lpstr>
      <vt:lpstr>'Mutual Security'!LESS_FINANCIAL</vt:lpstr>
      <vt:lpstr>'National Affiliated'!LESS_FINANCIAL</vt:lpstr>
      <vt:lpstr>'National Heritage'!LESS_FINANCIAL</vt:lpstr>
      <vt:lpstr>'National States'!LESS_FINANCIAL</vt:lpstr>
      <vt:lpstr>'Natl American'!LESS_FINANCIAL</vt:lpstr>
      <vt:lpstr>'New Jersey Life'!LESS_FINANCIAL</vt:lpstr>
      <vt:lpstr>NNIC!LESS_FINANCIAL</vt:lpstr>
      <vt:lpstr>'North Carolina Mutual'!LESS_FINANCIAL</vt:lpstr>
      <vt:lpstr>'Old Colony Life'!LESS_FINANCIAL</vt:lpstr>
      <vt:lpstr>'Old Faithful'!LESS_FINANCIAL</vt:lpstr>
      <vt:lpstr>'Pacific Standard'!LESS_FINANCIAL</vt:lpstr>
      <vt:lpstr>'Pavonia Life'!LESS_FINANCIAL</vt:lpstr>
      <vt:lpstr>'Pen  Treaty'!LESS_FINANCIAL</vt:lpstr>
      <vt:lpstr>'Red Rock'!LESS_FINANCIAL</vt:lpstr>
      <vt:lpstr>Reliance!LESS_FINANCIAL</vt:lpstr>
      <vt:lpstr>SeeChange!LESS_FINANCIAL</vt:lpstr>
      <vt:lpstr>'Senior American'!LESS_FINANCIAL</vt:lpstr>
      <vt:lpstr>Settlers!LESS_FINANCIAL</vt:lpstr>
      <vt:lpstr>Shenandoah!LESS_FINANCIAL</vt:lpstr>
      <vt:lpstr>'Southland National Life'!LESS_FINANCIAL</vt:lpstr>
      <vt:lpstr>'Standard Life IN'!LESS_FINANCIAL</vt:lpstr>
      <vt:lpstr>'States General'!LESS_FINANCIAL</vt:lpstr>
      <vt:lpstr>Statesman!LESS_FINANCIAL</vt:lpstr>
      <vt:lpstr>'Summit National'!LESS_FINANCIAL</vt:lpstr>
      <vt:lpstr>Supreme!LESS_FINANCIAL</vt:lpstr>
      <vt:lpstr>Time!LESS_FINANCIAL</vt:lpstr>
      <vt:lpstr>Underwriters!LESS_FINANCIAL</vt:lpstr>
      <vt:lpstr>Unison!LESS_FINANCIAL</vt:lpstr>
      <vt:lpstr>'United Republic'!LESS_FINANCIAL</vt:lpstr>
      <vt:lpstr>'Universal Health Care'!LESS_FINANCIAL</vt:lpstr>
      <vt:lpstr>'Universal Life'!LESS_FINANCIAL</vt:lpstr>
      <vt:lpstr>Universe!LESS_FINANCIAL</vt:lpstr>
      <vt:lpstr>Villanova!LESS_FINANCIAL</vt:lpstr>
      <vt:lpstr>'Alabama Life'!LIFE</vt:lpstr>
      <vt:lpstr>'Amer Life Asr'!LIFE</vt:lpstr>
      <vt:lpstr>'Amer Std Life Acc'!LIFE</vt:lpstr>
      <vt:lpstr>'American Chambers'!LIFE</vt:lpstr>
      <vt:lpstr>'American Community'!LIFE</vt:lpstr>
      <vt:lpstr>'American Educators'!LIFE</vt:lpstr>
      <vt:lpstr>'American Integrity'!LIFE</vt:lpstr>
      <vt:lpstr>'American Medical'!LIFE</vt:lpstr>
      <vt:lpstr>'American Network'!LIFE</vt:lpstr>
      <vt:lpstr>AmerWstrn!LIFE</vt:lpstr>
      <vt:lpstr>'AMS Life'!LIFE</vt:lpstr>
      <vt:lpstr>'Andrew Jackson'!LIFE</vt:lpstr>
      <vt:lpstr>'Bankers Commercial'!LIFE</vt:lpstr>
      <vt:lpstr>'Bankers Life'!LIFE</vt:lpstr>
      <vt:lpstr>Benicorp!LIFE</vt:lpstr>
      <vt:lpstr>'Booker T Washington'!LIFE</vt:lpstr>
      <vt:lpstr>Centennial!LIFE</vt:lpstr>
      <vt:lpstr>'Closed Summary'!LIFE</vt:lpstr>
      <vt:lpstr>'CO Bankers'!LIFE</vt:lpstr>
      <vt:lpstr>'Coastal States'!LIFE</vt:lpstr>
      <vt:lpstr>'Colorado Health'!LIFE</vt:lpstr>
      <vt:lpstr>'Compass (dbs Meritus)'!LIFE</vt:lpstr>
      <vt:lpstr>'Confed Life &amp; Annty (CLIAC)'!LIFE</vt:lpstr>
      <vt:lpstr>'Confed Life (CLIC)'!LIFE</vt:lpstr>
      <vt:lpstr>'Consolidated National'!LIFE</vt:lpstr>
      <vt:lpstr>'Consumers Choice'!LIFE</vt:lpstr>
      <vt:lpstr>'Consumers Mutual'!LIFE</vt:lpstr>
      <vt:lpstr>'Consumers United'!LIFE</vt:lpstr>
      <vt:lpstr>CoOportunity!LIFE</vt:lpstr>
      <vt:lpstr>'Coordinated Hlth'!LIFE</vt:lpstr>
      <vt:lpstr>'Corporate Life'!LIFE</vt:lpstr>
      <vt:lpstr>'Diamond Benefits'!LIFE</vt:lpstr>
      <vt:lpstr>'EBL Life'!LIFE</vt:lpstr>
      <vt:lpstr>ELNY!LIFE</vt:lpstr>
      <vt:lpstr>'Estate Closed Summary'!LIFE</vt:lpstr>
      <vt:lpstr>'Executive Life'!LIFE</vt:lpstr>
      <vt:lpstr>'Family Guaranty'!LIFE</vt:lpstr>
      <vt:lpstr>'Farmers &amp; Ranchers'!LIFE</vt:lpstr>
      <vt:lpstr>'Fidelity Bankers'!LIFE</vt:lpstr>
      <vt:lpstr>'Fidelity Mutual'!LIFE</vt:lpstr>
      <vt:lpstr>'First Capital'!LIFE</vt:lpstr>
      <vt:lpstr>'First Natl'!LIFE</vt:lpstr>
      <vt:lpstr>'First Natl (Thrnr)'!LIFE</vt:lpstr>
      <vt:lpstr>'Franklin American'!LIFE</vt:lpstr>
      <vt:lpstr>'Franklin Protective'!LIFE</vt:lpstr>
      <vt:lpstr>'Freelancers CO-OP'!LIFE</vt:lpstr>
      <vt:lpstr>Freestone!LIFE</vt:lpstr>
      <vt:lpstr>'George Washington'!LIFE</vt:lpstr>
      <vt:lpstr>'Golden State'!LIFE</vt:lpstr>
      <vt:lpstr>'Guarantee Security'!LIFE</vt:lpstr>
      <vt:lpstr>HealthyCT!LIFE</vt:lpstr>
      <vt:lpstr>Imerica!LIFE</vt:lpstr>
      <vt:lpstr>'Inter-American'!LIFE</vt:lpstr>
      <vt:lpstr>'International Fin'!LIFE</vt:lpstr>
      <vt:lpstr>'Investment Life of America'!LIFE</vt:lpstr>
      <vt:lpstr>'Investors Equity'!LIFE</vt:lpstr>
      <vt:lpstr>'Kentucky Central'!LIFE</vt:lpstr>
      <vt:lpstr>'Land of Lincoln'!LIFE</vt:lpstr>
      <vt:lpstr>Legion!LIFE</vt:lpstr>
      <vt:lpstr>'Life Health America'!LIFE</vt:lpstr>
      <vt:lpstr>'Lincoln Memorial'!LIFE</vt:lpstr>
      <vt:lpstr>'London Pac'!LIFE</vt:lpstr>
      <vt:lpstr>Lumbermens!LIFE</vt:lpstr>
      <vt:lpstr>'Medical Savings'!LIFE</vt:lpstr>
      <vt:lpstr>'Memorial Service'!LIFE</vt:lpstr>
      <vt:lpstr>Midcontinent!LIFE</vt:lpstr>
      <vt:lpstr>'Midwest Life'!LIFE</vt:lpstr>
      <vt:lpstr>'Monarch Life'!LIFE</vt:lpstr>
      <vt:lpstr>'Mutual Benefit'!LIFE</vt:lpstr>
      <vt:lpstr>'Mutual Security'!LIFE</vt:lpstr>
      <vt:lpstr>'National Affiliated'!LIFE</vt:lpstr>
      <vt:lpstr>'National Heritage'!LIFE</vt:lpstr>
      <vt:lpstr>'National States'!LIFE</vt:lpstr>
      <vt:lpstr>'Natl American'!LIFE</vt:lpstr>
      <vt:lpstr>'New Jersey Life'!LIFE</vt:lpstr>
      <vt:lpstr>NNIC!LIFE</vt:lpstr>
      <vt:lpstr>'North Carolina Mutual'!LIFE</vt:lpstr>
      <vt:lpstr>'Old Colony Life'!LIFE</vt:lpstr>
      <vt:lpstr>'Old Faithful'!LIFE</vt:lpstr>
      <vt:lpstr>'Open Summary'!LIFE</vt:lpstr>
      <vt:lpstr>'Pacific Standard'!LIFE</vt:lpstr>
      <vt:lpstr>'Pavonia Life'!LIFE</vt:lpstr>
      <vt:lpstr>'Pen  Treaty'!LIFE</vt:lpstr>
      <vt:lpstr>'Pre-Liquidation Summary'!LIFE</vt:lpstr>
      <vt:lpstr>'Red Rock'!LIFE</vt:lpstr>
      <vt:lpstr>'Released from Oversight Summary'!LIFE</vt:lpstr>
      <vt:lpstr>Reliance!LIFE</vt:lpstr>
      <vt:lpstr>SeeChange!LIFE</vt:lpstr>
      <vt:lpstr>'Senior American'!LIFE</vt:lpstr>
      <vt:lpstr>Settlers!LIFE</vt:lpstr>
      <vt:lpstr>Shenandoah!LIFE</vt:lpstr>
      <vt:lpstr>'Southland National Life'!LIFE</vt:lpstr>
      <vt:lpstr>'Standard Life IN'!LIFE</vt:lpstr>
      <vt:lpstr>'States General'!LIFE</vt:lpstr>
      <vt:lpstr>Statesman!LIFE</vt:lpstr>
      <vt:lpstr>'Summit National'!LIFE</vt:lpstr>
      <vt:lpstr>Supreme!LIFE</vt:lpstr>
      <vt:lpstr>Time!LIFE</vt:lpstr>
      <vt:lpstr>'Total Summary'!LIFE</vt:lpstr>
      <vt:lpstr>Underwriters!LIFE</vt:lpstr>
      <vt:lpstr>Unison!LIFE</vt:lpstr>
      <vt:lpstr>'United Republic'!LIFE</vt:lpstr>
      <vt:lpstr>'Universal Health Care'!LIFE</vt:lpstr>
      <vt:lpstr>'Universal Life'!LIFE</vt:lpstr>
      <vt:lpstr>Universe!LIFE</vt:lpstr>
      <vt:lpstr>Villanova!LIFE</vt:lpstr>
      <vt:lpstr>'Alabama Life'!LIFE_CALLED</vt:lpstr>
      <vt:lpstr>'Amer Life Asr'!LIFE_CALLED</vt:lpstr>
      <vt:lpstr>'Amer Std Life Acc'!LIFE_CALLED</vt:lpstr>
      <vt:lpstr>'American Chambers'!LIFE_CALLED</vt:lpstr>
      <vt:lpstr>'American Community'!LIFE_CALLED</vt:lpstr>
      <vt:lpstr>'American Educators'!LIFE_CALLED</vt:lpstr>
      <vt:lpstr>'American Integrity'!LIFE_CALLED</vt:lpstr>
      <vt:lpstr>'American Medical'!LIFE_CALLED</vt:lpstr>
      <vt:lpstr>'American Network'!LIFE_CALLED</vt:lpstr>
      <vt:lpstr>AmerWstrn!LIFE_CALLED</vt:lpstr>
      <vt:lpstr>'AMS Life'!LIFE_CALLED</vt:lpstr>
      <vt:lpstr>'Andrew Jackson'!LIFE_CALLED</vt:lpstr>
      <vt:lpstr>'Bankers Commercial'!LIFE_CALLED</vt:lpstr>
      <vt:lpstr>'Bankers Life'!LIFE_CALLED</vt:lpstr>
      <vt:lpstr>Benicorp!LIFE_CALLED</vt:lpstr>
      <vt:lpstr>'Booker T Washington'!LIFE_CALLED</vt:lpstr>
      <vt:lpstr>Centennial!LIFE_CALLED</vt:lpstr>
      <vt:lpstr>'CO Bankers'!LIFE_CALLED</vt:lpstr>
      <vt:lpstr>'Coastal States'!LIFE_CALLED</vt:lpstr>
      <vt:lpstr>'Colorado Health'!LIFE_CALLED</vt:lpstr>
      <vt:lpstr>'Compass (dbs Meritus)'!LIFE_CALLED</vt:lpstr>
      <vt:lpstr>'Confed Life &amp; Annty (CLIAC)'!LIFE_CALLED</vt:lpstr>
      <vt:lpstr>'Confed Life (CLIC)'!LIFE_CALLED</vt:lpstr>
      <vt:lpstr>'Consolidated National'!LIFE_CALLED</vt:lpstr>
      <vt:lpstr>'Consumers Choice'!LIFE_CALLED</vt:lpstr>
      <vt:lpstr>'Consumers Mutual'!LIFE_CALLED</vt:lpstr>
      <vt:lpstr>'Consumers United'!LIFE_CALLED</vt:lpstr>
      <vt:lpstr>CoOportunity!LIFE_CALLED</vt:lpstr>
      <vt:lpstr>'Coordinated Hlth'!LIFE_CALLED</vt:lpstr>
      <vt:lpstr>'Corporate Life'!LIFE_CALLED</vt:lpstr>
      <vt:lpstr>'Diamond Benefits'!LIFE_CALLED</vt:lpstr>
      <vt:lpstr>'EBL Life'!LIFE_CALLED</vt:lpstr>
      <vt:lpstr>ELNY!LIFE_CALLED</vt:lpstr>
      <vt:lpstr>'Executive Life'!LIFE_CALLED</vt:lpstr>
      <vt:lpstr>'Family Guaranty'!LIFE_CALLED</vt:lpstr>
      <vt:lpstr>'Farmers &amp; Ranchers'!LIFE_CALLED</vt:lpstr>
      <vt:lpstr>'Fidelity Bankers'!LIFE_CALLED</vt:lpstr>
      <vt:lpstr>'Fidelity Mutual'!LIFE_CALLED</vt:lpstr>
      <vt:lpstr>'First Capital'!LIFE_CALLED</vt:lpstr>
      <vt:lpstr>'First Natl'!LIFE_CALLED</vt:lpstr>
      <vt:lpstr>'First Natl (Thrnr)'!LIFE_CALLED</vt:lpstr>
      <vt:lpstr>'Franklin American'!LIFE_CALLED</vt:lpstr>
      <vt:lpstr>'Franklin Protective'!LIFE_CALLED</vt:lpstr>
      <vt:lpstr>'Freelancers CO-OP'!LIFE_CALLED</vt:lpstr>
      <vt:lpstr>Freestone!LIFE_CALLED</vt:lpstr>
      <vt:lpstr>'George Washington'!LIFE_CALLED</vt:lpstr>
      <vt:lpstr>'Golden State'!LIFE_CALLED</vt:lpstr>
      <vt:lpstr>'Guarantee Security'!LIFE_CALLED</vt:lpstr>
      <vt:lpstr>HealthyCT!LIFE_CALLED</vt:lpstr>
      <vt:lpstr>Imerica!LIFE_CALLED</vt:lpstr>
      <vt:lpstr>'Inter-American'!LIFE_CALLED</vt:lpstr>
      <vt:lpstr>'International Fin'!LIFE_CALLED</vt:lpstr>
      <vt:lpstr>'Investment Life of America'!LIFE_CALLED</vt:lpstr>
      <vt:lpstr>'Investors Equity'!LIFE_CALLED</vt:lpstr>
      <vt:lpstr>'Kentucky Central'!LIFE_CALLED</vt:lpstr>
      <vt:lpstr>'Land of Lincoln'!LIFE_CALLED</vt:lpstr>
      <vt:lpstr>Legion!LIFE_CALLED</vt:lpstr>
      <vt:lpstr>'Life Health America'!LIFE_CALLED</vt:lpstr>
      <vt:lpstr>'Lincoln Memorial'!LIFE_CALLED</vt:lpstr>
      <vt:lpstr>'London Pac'!LIFE_CALLED</vt:lpstr>
      <vt:lpstr>Lumbermens!LIFE_CALLED</vt:lpstr>
      <vt:lpstr>'Medical Savings'!LIFE_CALLED</vt:lpstr>
      <vt:lpstr>'Memorial Service'!LIFE_CALLED</vt:lpstr>
      <vt:lpstr>Midcontinent!LIFE_CALLED</vt:lpstr>
      <vt:lpstr>'Midwest Life'!LIFE_CALLED</vt:lpstr>
      <vt:lpstr>'Monarch Life'!LIFE_CALLED</vt:lpstr>
      <vt:lpstr>'Mutual Benefit'!LIFE_CALLED</vt:lpstr>
      <vt:lpstr>'Mutual Security'!LIFE_CALLED</vt:lpstr>
      <vt:lpstr>'National Affiliated'!LIFE_CALLED</vt:lpstr>
      <vt:lpstr>'National Heritage'!LIFE_CALLED</vt:lpstr>
      <vt:lpstr>'National States'!LIFE_CALLED</vt:lpstr>
      <vt:lpstr>'Natl American'!LIFE_CALLED</vt:lpstr>
      <vt:lpstr>'New Jersey Life'!LIFE_CALLED</vt:lpstr>
      <vt:lpstr>NNIC!LIFE_CALLED</vt:lpstr>
      <vt:lpstr>'North Carolina Mutual'!LIFE_CALLED</vt:lpstr>
      <vt:lpstr>'Old Colony Life'!LIFE_CALLED</vt:lpstr>
      <vt:lpstr>'Old Faithful'!LIFE_CALLED</vt:lpstr>
      <vt:lpstr>'Pacific Standard'!LIFE_CALLED</vt:lpstr>
      <vt:lpstr>'Pavonia Life'!LIFE_CALLED</vt:lpstr>
      <vt:lpstr>'Pen  Treaty'!LIFE_CALLED</vt:lpstr>
      <vt:lpstr>'Red Rock'!LIFE_CALLED</vt:lpstr>
      <vt:lpstr>Reliance!LIFE_CALLED</vt:lpstr>
      <vt:lpstr>SeeChange!LIFE_CALLED</vt:lpstr>
      <vt:lpstr>'Senior American'!LIFE_CALLED</vt:lpstr>
      <vt:lpstr>Settlers!LIFE_CALLED</vt:lpstr>
      <vt:lpstr>Shenandoah!LIFE_CALLED</vt:lpstr>
      <vt:lpstr>'Southland National Life'!LIFE_CALLED</vt:lpstr>
      <vt:lpstr>'Standard Life IN'!LIFE_CALLED</vt:lpstr>
      <vt:lpstr>'States General'!LIFE_CALLED</vt:lpstr>
      <vt:lpstr>Statesman!LIFE_CALLED</vt:lpstr>
      <vt:lpstr>'Summit National'!LIFE_CALLED</vt:lpstr>
      <vt:lpstr>Supreme!LIFE_CALLED</vt:lpstr>
      <vt:lpstr>Time!LIFE_CALLED</vt:lpstr>
      <vt:lpstr>'Total Summary'!LIFE_CALLED</vt:lpstr>
      <vt:lpstr>Underwriters!LIFE_CALLED</vt:lpstr>
      <vt:lpstr>Unison!LIFE_CALLED</vt:lpstr>
      <vt:lpstr>'United Republic'!LIFE_CALLED</vt:lpstr>
      <vt:lpstr>'Universal Health Care'!LIFE_CALLED</vt:lpstr>
      <vt:lpstr>'Universal Life'!LIFE_CALLED</vt:lpstr>
      <vt:lpstr>Universe!LIFE_CALLED</vt:lpstr>
      <vt:lpstr>Villanova!LIFE_CALLED</vt:lpstr>
      <vt:lpstr>'Alabama Life'!LIFE_REFUNDED</vt:lpstr>
      <vt:lpstr>'Amer Life Asr'!LIFE_REFUNDED</vt:lpstr>
      <vt:lpstr>'Amer Std Life Acc'!LIFE_REFUNDED</vt:lpstr>
      <vt:lpstr>'American Chambers'!LIFE_REFUNDED</vt:lpstr>
      <vt:lpstr>'American Community'!LIFE_REFUNDED</vt:lpstr>
      <vt:lpstr>'American Educators'!LIFE_REFUNDED</vt:lpstr>
      <vt:lpstr>'American Integrity'!LIFE_REFUNDED</vt:lpstr>
      <vt:lpstr>'American Medical'!LIFE_REFUNDED</vt:lpstr>
      <vt:lpstr>'American Network'!LIFE_REFUNDED</vt:lpstr>
      <vt:lpstr>AmerWstrn!LIFE_REFUNDED</vt:lpstr>
      <vt:lpstr>'AMS Life'!LIFE_REFUNDED</vt:lpstr>
      <vt:lpstr>'Andrew Jackson'!LIFE_REFUNDED</vt:lpstr>
      <vt:lpstr>'Bankers Commercial'!LIFE_REFUNDED</vt:lpstr>
      <vt:lpstr>'Bankers Life'!LIFE_REFUNDED</vt:lpstr>
      <vt:lpstr>Benicorp!LIFE_REFUNDED</vt:lpstr>
      <vt:lpstr>'Booker T Washington'!LIFE_REFUNDED</vt:lpstr>
      <vt:lpstr>Centennial!LIFE_REFUNDED</vt:lpstr>
      <vt:lpstr>'CO Bankers'!LIFE_REFUNDED</vt:lpstr>
      <vt:lpstr>'Coastal States'!LIFE_REFUNDED</vt:lpstr>
      <vt:lpstr>'Colorado Health'!LIFE_REFUNDED</vt:lpstr>
      <vt:lpstr>'Compass (dbs Meritus)'!LIFE_REFUNDED</vt:lpstr>
      <vt:lpstr>'Confed Life &amp; Annty (CLIAC)'!LIFE_REFUNDED</vt:lpstr>
      <vt:lpstr>'Confed Life (CLIC)'!LIFE_REFUNDED</vt:lpstr>
      <vt:lpstr>'Consolidated National'!LIFE_REFUNDED</vt:lpstr>
      <vt:lpstr>'Consumers Choice'!LIFE_REFUNDED</vt:lpstr>
      <vt:lpstr>'Consumers Mutual'!LIFE_REFUNDED</vt:lpstr>
      <vt:lpstr>'Consumers United'!LIFE_REFUNDED</vt:lpstr>
      <vt:lpstr>CoOportunity!LIFE_REFUNDED</vt:lpstr>
      <vt:lpstr>'Coordinated Hlth'!LIFE_REFUNDED</vt:lpstr>
      <vt:lpstr>'Corporate Life'!LIFE_REFUNDED</vt:lpstr>
      <vt:lpstr>'Diamond Benefits'!LIFE_REFUNDED</vt:lpstr>
      <vt:lpstr>'EBL Life'!LIFE_REFUNDED</vt:lpstr>
      <vt:lpstr>ELNY!LIFE_REFUNDED</vt:lpstr>
      <vt:lpstr>'Executive Life'!LIFE_REFUNDED</vt:lpstr>
      <vt:lpstr>'Family Guaranty'!LIFE_REFUNDED</vt:lpstr>
      <vt:lpstr>'Farmers &amp; Ranchers'!LIFE_REFUNDED</vt:lpstr>
      <vt:lpstr>'Fidelity Bankers'!LIFE_REFUNDED</vt:lpstr>
      <vt:lpstr>'Fidelity Mutual'!LIFE_REFUNDED</vt:lpstr>
      <vt:lpstr>'First Capital'!LIFE_REFUNDED</vt:lpstr>
      <vt:lpstr>'First Natl'!LIFE_REFUNDED</vt:lpstr>
      <vt:lpstr>'First Natl (Thrnr)'!LIFE_REFUNDED</vt:lpstr>
      <vt:lpstr>'Franklin American'!LIFE_REFUNDED</vt:lpstr>
      <vt:lpstr>'Franklin Protective'!LIFE_REFUNDED</vt:lpstr>
      <vt:lpstr>'Freelancers CO-OP'!LIFE_REFUNDED</vt:lpstr>
      <vt:lpstr>Freestone!LIFE_REFUNDED</vt:lpstr>
      <vt:lpstr>'George Washington'!LIFE_REFUNDED</vt:lpstr>
      <vt:lpstr>'Golden State'!LIFE_REFUNDED</vt:lpstr>
      <vt:lpstr>'Guarantee Security'!LIFE_REFUNDED</vt:lpstr>
      <vt:lpstr>HealthyCT!LIFE_REFUNDED</vt:lpstr>
      <vt:lpstr>Imerica!LIFE_REFUNDED</vt:lpstr>
      <vt:lpstr>'Inter-American'!LIFE_REFUNDED</vt:lpstr>
      <vt:lpstr>'International Fin'!LIFE_REFUNDED</vt:lpstr>
      <vt:lpstr>'Investment Life of America'!LIFE_REFUNDED</vt:lpstr>
      <vt:lpstr>'Investors Equity'!LIFE_REFUNDED</vt:lpstr>
      <vt:lpstr>'Kentucky Central'!LIFE_REFUNDED</vt:lpstr>
      <vt:lpstr>'Land of Lincoln'!LIFE_REFUNDED</vt:lpstr>
      <vt:lpstr>Legion!LIFE_REFUNDED</vt:lpstr>
      <vt:lpstr>'Life Health America'!LIFE_REFUNDED</vt:lpstr>
      <vt:lpstr>'Lincoln Memorial'!LIFE_REFUNDED</vt:lpstr>
      <vt:lpstr>'London Pac'!LIFE_REFUNDED</vt:lpstr>
      <vt:lpstr>Lumbermens!LIFE_REFUNDED</vt:lpstr>
      <vt:lpstr>'Medical Savings'!LIFE_REFUNDED</vt:lpstr>
      <vt:lpstr>'Memorial Service'!LIFE_REFUNDED</vt:lpstr>
      <vt:lpstr>Midcontinent!LIFE_REFUNDED</vt:lpstr>
      <vt:lpstr>'Midwest Life'!LIFE_REFUNDED</vt:lpstr>
      <vt:lpstr>'Monarch Life'!LIFE_REFUNDED</vt:lpstr>
      <vt:lpstr>'Mutual Benefit'!LIFE_REFUNDED</vt:lpstr>
      <vt:lpstr>'Mutual Security'!LIFE_REFUNDED</vt:lpstr>
      <vt:lpstr>'National Affiliated'!LIFE_REFUNDED</vt:lpstr>
      <vt:lpstr>'National Heritage'!LIFE_REFUNDED</vt:lpstr>
      <vt:lpstr>'National States'!LIFE_REFUNDED</vt:lpstr>
      <vt:lpstr>'Natl American'!LIFE_REFUNDED</vt:lpstr>
      <vt:lpstr>'New Jersey Life'!LIFE_REFUNDED</vt:lpstr>
      <vt:lpstr>NNIC!LIFE_REFUNDED</vt:lpstr>
      <vt:lpstr>'North Carolina Mutual'!LIFE_REFUNDED</vt:lpstr>
      <vt:lpstr>'Old Colony Life'!LIFE_REFUNDED</vt:lpstr>
      <vt:lpstr>'Old Faithful'!LIFE_REFUNDED</vt:lpstr>
      <vt:lpstr>'Pacific Standard'!LIFE_REFUNDED</vt:lpstr>
      <vt:lpstr>'Pavonia Life'!LIFE_REFUNDED</vt:lpstr>
      <vt:lpstr>'Pen  Treaty'!LIFE_REFUNDED</vt:lpstr>
      <vt:lpstr>'Red Rock'!LIFE_REFUNDED</vt:lpstr>
      <vt:lpstr>Reliance!LIFE_REFUNDED</vt:lpstr>
      <vt:lpstr>SeeChange!LIFE_REFUNDED</vt:lpstr>
      <vt:lpstr>'Senior American'!LIFE_REFUNDED</vt:lpstr>
      <vt:lpstr>Settlers!LIFE_REFUNDED</vt:lpstr>
      <vt:lpstr>Shenandoah!LIFE_REFUNDED</vt:lpstr>
      <vt:lpstr>'Southland National Life'!LIFE_REFUNDED</vt:lpstr>
      <vt:lpstr>'Standard Life IN'!LIFE_REFUNDED</vt:lpstr>
      <vt:lpstr>'States General'!LIFE_REFUNDED</vt:lpstr>
      <vt:lpstr>Statesman!LIFE_REFUNDED</vt:lpstr>
      <vt:lpstr>'Summit National'!LIFE_REFUNDED</vt:lpstr>
      <vt:lpstr>Supreme!LIFE_REFUNDED</vt:lpstr>
      <vt:lpstr>Time!LIFE_REFUNDED</vt:lpstr>
      <vt:lpstr>'Total Summary'!LIFE_REFUNDED</vt:lpstr>
      <vt:lpstr>Underwriters!LIFE_REFUNDED</vt:lpstr>
      <vt:lpstr>Unison!LIFE_REFUNDED</vt:lpstr>
      <vt:lpstr>'United Republic'!LIFE_REFUNDED</vt:lpstr>
      <vt:lpstr>'Universal Health Care'!LIFE_REFUNDED</vt:lpstr>
      <vt:lpstr>'Universal Life'!LIFE_REFUNDED</vt:lpstr>
      <vt:lpstr>Universe!LIFE_REFUNDED</vt:lpstr>
      <vt:lpstr>Villanova!LIFE_REFUNDED</vt:lpstr>
      <vt:lpstr>'Alabama Life'!LTC</vt:lpstr>
      <vt:lpstr>'Amer Life Asr'!LTC</vt:lpstr>
      <vt:lpstr>'Amer Std Life Acc'!LTC</vt:lpstr>
      <vt:lpstr>'American Chambers'!LTC</vt:lpstr>
      <vt:lpstr>'American Community'!LTC</vt:lpstr>
      <vt:lpstr>'American Educators'!LTC</vt:lpstr>
      <vt:lpstr>'American Integrity'!LTC</vt:lpstr>
      <vt:lpstr>'American Medical'!LTC</vt:lpstr>
      <vt:lpstr>'American Network'!LTC</vt:lpstr>
      <vt:lpstr>AmerWstrn!LTC</vt:lpstr>
      <vt:lpstr>'AMS Life'!LTC</vt:lpstr>
      <vt:lpstr>'Andrew Jackson'!LTC</vt:lpstr>
      <vt:lpstr>'Bankers Commercial'!LTC</vt:lpstr>
      <vt:lpstr>'Bankers Life'!LTC</vt:lpstr>
      <vt:lpstr>Benicorp!LTC</vt:lpstr>
      <vt:lpstr>'Booker T Washington'!LTC</vt:lpstr>
      <vt:lpstr>Centennial!LTC</vt:lpstr>
      <vt:lpstr>'Closed Summary'!LTC</vt:lpstr>
      <vt:lpstr>'CO Bankers'!LTC</vt:lpstr>
      <vt:lpstr>'Coastal States'!LTC</vt:lpstr>
      <vt:lpstr>'Colorado Health'!LTC</vt:lpstr>
      <vt:lpstr>'Compass (dbs Meritus)'!LTC</vt:lpstr>
      <vt:lpstr>'Confed Life &amp; Annty (CLIAC)'!LTC</vt:lpstr>
      <vt:lpstr>'Confed Life (CLIC)'!LTC</vt:lpstr>
      <vt:lpstr>'Consolidated National'!LTC</vt:lpstr>
      <vt:lpstr>'Consumers Choice'!LTC</vt:lpstr>
      <vt:lpstr>'Consumers Mutual'!LTC</vt:lpstr>
      <vt:lpstr>'Consumers United'!LTC</vt:lpstr>
      <vt:lpstr>CoOportunity!LTC</vt:lpstr>
      <vt:lpstr>'Coordinated Hlth'!LTC</vt:lpstr>
      <vt:lpstr>'Corporate Life'!LTC</vt:lpstr>
      <vt:lpstr>'Diamond Benefits'!LTC</vt:lpstr>
      <vt:lpstr>'EBL Life'!LTC</vt:lpstr>
      <vt:lpstr>ELNY!LTC</vt:lpstr>
      <vt:lpstr>'Estate Closed Summary'!LTC</vt:lpstr>
      <vt:lpstr>'Executive Life'!LTC</vt:lpstr>
      <vt:lpstr>'Family Guaranty'!LTC</vt:lpstr>
      <vt:lpstr>'Farmers &amp; Ranchers'!LTC</vt:lpstr>
      <vt:lpstr>'Fidelity Bankers'!LTC</vt:lpstr>
      <vt:lpstr>'Fidelity Mutual'!LTC</vt:lpstr>
      <vt:lpstr>'First Capital'!LTC</vt:lpstr>
      <vt:lpstr>'First Natl'!LTC</vt:lpstr>
      <vt:lpstr>'First Natl (Thrnr)'!LTC</vt:lpstr>
      <vt:lpstr>'Franklin American'!LTC</vt:lpstr>
      <vt:lpstr>'Franklin Protective'!LTC</vt:lpstr>
      <vt:lpstr>'Freelancers CO-OP'!LTC</vt:lpstr>
      <vt:lpstr>Freestone!LTC</vt:lpstr>
      <vt:lpstr>'George Washington'!LTC</vt:lpstr>
      <vt:lpstr>'Golden State'!LTC</vt:lpstr>
      <vt:lpstr>'Guarantee Security'!LTC</vt:lpstr>
      <vt:lpstr>HealthyCT!LTC</vt:lpstr>
      <vt:lpstr>Imerica!LTC</vt:lpstr>
      <vt:lpstr>'Inter-American'!LTC</vt:lpstr>
      <vt:lpstr>'International Fin'!LTC</vt:lpstr>
      <vt:lpstr>'Investment Life of America'!LTC</vt:lpstr>
      <vt:lpstr>'Investors Equity'!LTC</vt:lpstr>
      <vt:lpstr>'Kentucky Central'!LTC</vt:lpstr>
      <vt:lpstr>'Land of Lincoln'!LTC</vt:lpstr>
      <vt:lpstr>Legion!LTC</vt:lpstr>
      <vt:lpstr>'Life Health America'!LTC</vt:lpstr>
      <vt:lpstr>'Lincoln Memorial'!LTC</vt:lpstr>
      <vt:lpstr>'London Pac'!LTC</vt:lpstr>
      <vt:lpstr>Lumbermens!LTC</vt:lpstr>
      <vt:lpstr>'Medical Savings'!LTC</vt:lpstr>
      <vt:lpstr>'Memorial Service'!LTC</vt:lpstr>
      <vt:lpstr>Midcontinent!LTC</vt:lpstr>
      <vt:lpstr>'Midwest Life'!LTC</vt:lpstr>
      <vt:lpstr>'Monarch Life'!LTC</vt:lpstr>
      <vt:lpstr>'Mutual Benefit'!LTC</vt:lpstr>
      <vt:lpstr>'Mutual Security'!LTC</vt:lpstr>
      <vt:lpstr>'National Affiliated'!LTC</vt:lpstr>
      <vt:lpstr>'National Heritage'!LTC</vt:lpstr>
      <vt:lpstr>'National States'!LTC</vt:lpstr>
      <vt:lpstr>'Natl American'!LTC</vt:lpstr>
      <vt:lpstr>'New Jersey Life'!LTC</vt:lpstr>
      <vt:lpstr>NNIC!LTC</vt:lpstr>
      <vt:lpstr>'North Carolina Mutual'!LTC</vt:lpstr>
      <vt:lpstr>'Old Colony Life'!LTC</vt:lpstr>
      <vt:lpstr>'Old Faithful'!LTC</vt:lpstr>
      <vt:lpstr>'Open Summary'!LTC</vt:lpstr>
      <vt:lpstr>'Pacific Standard'!LTC</vt:lpstr>
      <vt:lpstr>'Pavonia Life'!LTC</vt:lpstr>
      <vt:lpstr>'Pen  Treaty'!LTC</vt:lpstr>
      <vt:lpstr>'Pre-Liquidation Summary'!LTC</vt:lpstr>
      <vt:lpstr>'Red Rock'!LTC</vt:lpstr>
      <vt:lpstr>'Released from Oversight Summary'!LTC</vt:lpstr>
      <vt:lpstr>Reliance!LTC</vt:lpstr>
      <vt:lpstr>SeeChange!LTC</vt:lpstr>
      <vt:lpstr>'Senior American'!LTC</vt:lpstr>
      <vt:lpstr>Settlers!LTC</vt:lpstr>
      <vt:lpstr>Shenandoah!LTC</vt:lpstr>
      <vt:lpstr>'Southland National Life'!LTC</vt:lpstr>
      <vt:lpstr>'Standard Life IN'!LTC</vt:lpstr>
      <vt:lpstr>'States General'!LTC</vt:lpstr>
      <vt:lpstr>Statesman!LTC</vt:lpstr>
      <vt:lpstr>'Summit National'!LTC</vt:lpstr>
      <vt:lpstr>Supreme!LTC</vt:lpstr>
      <vt:lpstr>Time!LTC</vt:lpstr>
      <vt:lpstr>'Total Summary'!LTC</vt:lpstr>
      <vt:lpstr>Underwriters!LTC</vt:lpstr>
      <vt:lpstr>Unison!LTC</vt:lpstr>
      <vt:lpstr>'United Republic'!LTC</vt:lpstr>
      <vt:lpstr>'Universal Health Care'!LTC</vt:lpstr>
      <vt:lpstr>'Universal Life'!LTC</vt:lpstr>
      <vt:lpstr>Universe!LTC</vt:lpstr>
      <vt:lpstr>Villanova!LTC</vt:lpstr>
      <vt:lpstr>'Alabama Life'!MA_FINANCIAL</vt:lpstr>
      <vt:lpstr>'Amer Life Asr'!MA_FINANCIAL</vt:lpstr>
      <vt:lpstr>'Amer Std Life Acc'!MA_FINANCIAL</vt:lpstr>
      <vt:lpstr>'American Chambers'!MA_FINANCIAL</vt:lpstr>
      <vt:lpstr>'American Community'!MA_FINANCIAL</vt:lpstr>
      <vt:lpstr>'American Educators'!MA_FINANCIAL</vt:lpstr>
      <vt:lpstr>'American Integrity'!MA_FINANCIAL</vt:lpstr>
      <vt:lpstr>'American Medical'!MA_FINANCIAL</vt:lpstr>
      <vt:lpstr>'American Network'!MA_FINANCIAL</vt:lpstr>
      <vt:lpstr>AmerWstrn!MA_FINANCIAL</vt:lpstr>
      <vt:lpstr>'AMS Life'!MA_FINANCIAL</vt:lpstr>
      <vt:lpstr>'Andrew Jackson'!MA_FINANCIAL</vt:lpstr>
      <vt:lpstr>'Bankers Commercial'!MA_FINANCIAL</vt:lpstr>
      <vt:lpstr>'Bankers Life'!MA_FINANCIAL</vt:lpstr>
      <vt:lpstr>Benicorp!MA_FINANCIAL</vt:lpstr>
      <vt:lpstr>'Booker T Washington'!MA_FINANCIAL</vt:lpstr>
      <vt:lpstr>Centennial!MA_FINANCIAL</vt:lpstr>
      <vt:lpstr>'CO Bankers'!MA_FINANCIAL</vt:lpstr>
      <vt:lpstr>'Coastal States'!MA_FINANCIAL</vt:lpstr>
      <vt:lpstr>'Colorado Health'!MA_FINANCIAL</vt:lpstr>
      <vt:lpstr>'Compass (dbs Meritus)'!MA_FINANCIAL</vt:lpstr>
      <vt:lpstr>'Confed Life &amp; Annty (CLIAC)'!MA_FINANCIAL</vt:lpstr>
      <vt:lpstr>'Confed Life (CLIC)'!MA_FINANCIAL</vt:lpstr>
      <vt:lpstr>'Consolidated National'!MA_FINANCIAL</vt:lpstr>
      <vt:lpstr>'Consumers Choice'!MA_FINANCIAL</vt:lpstr>
      <vt:lpstr>'Consumers Mutual'!MA_FINANCIAL</vt:lpstr>
      <vt:lpstr>'Consumers United'!MA_FINANCIAL</vt:lpstr>
      <vt:lpstr>CoOportunity!MA_FINANCIAL</vt:lpstr>
      <vt:lpstr>'Coordinated Hlth'!MA_FINANCIAL</vt:lpstr>
      <vt:lpstr>'Corporate Life'!MA_FINANCIAL</vt:lpstr>
      <vt:lpstr>'Diamond Benefits'!MA_FINANCIAL</vt:lpstr>
      <vt:lpstr>'EBL Life'!MA_FINANCIAL</vt:lpstr>
      <vt:lpstr>ELNY!MA_FINANCIAL</vt:lpstr>
      <vt:lpstr>'Executive Life'!MA_FINANCIAL</vt:lpstr>
      <vt:lpstr>'Family Guaranty'!MA_FINANCIAL</vt:lpstr>
      <vt:lpstr>'Farmers &amp; Ranchers'!MA_FINANCIAL</vt:lpstr>
      <vt:lpstr>'Fidelity Bankers'!MA_FINANCIAL</vt:lpstr>
      <vt:lpstr>'Fidelity Mutual'!MA_FINANCIAL</vt:lpstr>
      <vt:lpstr>'First Capital'!MA_FINANCIAL</vt:lpstr>
      <vt:lpstr>'First Natl'!MA_FINANCIAL</vt:lpstr>
      <vt:lpstr>'First Natl (Thrnr)'!MA_FINANCIAL</vt:lpstr>
      <vt:lpstr>'Franklin American'!MA_FINANCIAL</vt:lpstr>
      <vt:lpstr>'Franklin Protective'!MA_FINANCIAL</vt:lpstr>
      <vt:lpstr>'Freelancers CO-OP'!MA_FINANCIAL</vt:lpstr>
      <vt:lpstr>Freestone!MA_FINANCIAL</vt:lpstr>
      <vt:lpstr>'George Washington'!MA_FINANCIAL</vt:lpstr>
      <vt:lpstr>'Golden State'!MA_FINANCIAL</vt:lpstr>
      <vt:lpstr>'Guarantee Security'!MA_FINANCIAL</vt:lpstr>
      <vt:lpstr>HealthyCT!MA_FINANCIAL</vt:lpstr>
      <vt:lpstr>Imerica!MA_FINANCIAL</vt:lpstr>
      <vt:lpstr>'Inter-American'!MA_FINANCIAL</vt:lpstr>
      <vt:lpstr>'International Fin'!MA_FINANCIAL</vt:lpstr>
      <vt:lpstr>'Investment Life of America'!MA_FINANCIAL</vt:lpstr>
      <vt:lpstr>'Investors Equity'!MA_FINANCIAL</vt:lpstr>
      <vt:lpstr>'Kentucky Central'!MA_FINANCIAL</vt:lpstr>
      <vt:lpstr>'Land of Lincoln'!MA_FINANCIAL</vt:lpstr>
      <vt:lpstr>Legion!MA_FINANCIAL</vt:lpstr>
      <vt:lpstr>'Life Health America'!MA_FINANCIAL</vt:lpstr>
      <vt:lpstr>'Lincoln Memorial'!MA_FINANCIAL</vt:lpstr>
      <vt:lpstr>'London Pac'!MA_FINANCIAL</vt:lpstr>
      <vt:lpstr>Lumbermens!MA_FINANCIAL</vt:lpstr>
      <vt:lpstr>'Medical Savings'!MA_FINANCIAL</vt:lpstr>
      <vt:lpstr>'Memorial Service'!MA_FINANCIAL</vt:lpstr>
      <vt:lpstr>Midcontinent!MA_FINANCIAL</vt:lpstr>
      <vt:lpstr>'Midwest Life'!MA_FINANCIAL</vt:lpstr>
      <vt:lpstr>'Monarch Life'!MA_FINANCIAL</vt:lpstr>
      <vt:lpstr>'Mutual Benefit'!MA_FINANCIAL</vt:lpstr>
      <vt:lpstr>'Mutual Security'!MA_FINANCIAL</vt:lpstr>
      <vt:lpstr>'National Affiliated'!MA_FINANCIAL</vt:lpstr>
      <vt:lpstr>'National Heritage'!MA_FINANCIAL</vt:lpstr>
      <vt:lpstr>'National States'!MA_FINANCIAL</vt:lpstr>
      <vt:lpstr>'Natl American'!MA_FINANCIAL</vt:lpstr>
      <vt:lpstr>'New Jersey Life'!MA_FINANCIAL</vt:lpstr>
      <vt:lpstr>NNIC!MA_FINANCIAL</vt:lpstr>
      <vt:lpstr>'North Carolina Mutual'!MA_FINANCIAL</vt:lpstr>
      <vt:lpstr>'Old Colony Life'!MA_FINANCIAL</vt:lpstr>
      <vt:lpstr>'Old Faithful'!MA_FINANCIAL</vt:lpstr>
      <vt:lpstr>'Pacific Standard'!MA_FINANCIAL</vt:lpstr>
      <vt:lpstr>'Pavonia Life'!MA_FINANCIAL</vt:lpstr>
      <vt:lpstr>'Pen  Treaty'!MA_FINANCIAL</vt:lpstr>
      <vt:lpstr>'Red Rock'!MA_FINANCIAL</vt:lpstr>
      <vt:lpstr>Reliance!MA_FINANCIAL</vt:lpstr>
      <vt:lpstr>SeeChange!MA_FINANCIAL</vt:lpstr>
      <vt:lpstr>'Senior American'!MA_FINANCIAL</vt:lpstr>
      <vt:lpstr>Settlers!MA_FINANCIAL</vt:lpstr>
      <vt:lpstr>Shenandoah!MA_FINANCIAL</vt:lpstr>
      <vt:lpstr>'Southland National Life'!MA_FINANCIAL</vt:lpstr>
      <vt:lpstr>'Standard Life IN'!MA_FINANCIAL</vt:lpstr>
      <vt:lpstr>'States General'!MA_FINANCIAL</vt:lpstr>
      <vt:lpstr>Statesman!MA_FINANCIAL</vt:lpstr>
      <vt:lpstr>'Summit National'!MA_FINANCIAL</vt:lpstr>
      <vt:lpstr>Supreme!MA_FINANCIAL</vt:lpstr>
      <vt:lpstr>Time!MA_FINANCIAL</vt:lpstr>
      <vt:lpstr>'Total Summary'!MA_FINANCIAL</vt:lpstr>
      <vt:lpstr>Underwriters!MA_FINANCIAL</vt:lpstr>
      <vt:lpstr>Unison!MA_FINANCIAL</vt:lpstr>
      <vt:lpstr>'United Republic'!MA_FINANCIAL</vt:lpstr>
      <vt:lpstr>'Universal Health Care'!MA_FINANCIAL</vt:lpstr>
      <vt:lpstr>'Universal Life'!MA_FINANCIAL</vt:lpstr>
      <vt:lpstr>Universe!MA_FINANCIAL</vt:lpstr>
      <vt:lpstr>Villanova!MA_FINANCIAL</vt:lpstr>
      <vt:lpstr>'Alabama Life'!MD_FINANCIAL</vt:lpstr>
      <vt:lpstr>'Amer Life Asr'!MD_FINANCIAL</vt:lpstr>
      <vt:lpstr>'Amer Std Life Acc'!MD_FINANCIAL</vt:lpstr>
      <vt:lpstr>'American Chambers'!MD_FINANCIAL</vt:lpstr>
      <vt:lpstr>'American Community'!MD_FINANCIAL</vt:lpstr>
      <vt:lpstr>'American Educators'!MD_FINANCIAL</vt:lpstr>
      <vt:lpstr>'American Integrity'!MD_FINANCIAL</vt:lpstr>
      <vt:lpstr>'American Medical'!MD_FINANCIAL</vt:lpstr>
      <vt:lpstr>'American Network'!MD_FINANCIAL</vt:lpstr>
      <vt:lpstr>AmerWstrn!MD_FINANCIAL</vt:lpstr>
      <vt:lpstr>'AMS Life'!MD_FINANCIAL</vt:lpstr>
      <vt:lpstr>'Andrew Jackson'!MD_FINANCIAL</vt:lpstr>
      <vt:lpstr>'Bankers Commercial'!MD_FINANCIAL</vt:lpstr>
      <vt:lpstr>'Bankers Life'!MD_FINANCIAL</vt:lpstr>
      <vt:lpstr>Benicorp!MD_FINANCIAL</vt:lpstr>
      <vt:lpstr>'Booker T Washington'!MD_FINANCIAL</vt:lpstr>
      <vt:lpstr>Centennial!MD_FINANCIAL</vt:lpstr>
      <vt:lpstr>'CO Bankers'!MD_FINANCIAL</vt:lpstr>
      <vt:lpstr>'Coastal States'!MD_FINANCIAL</vt:lpstr>
      <vt:lpstr>'Colorado Health'!MD_FINANCIAL</vt:lpstr>
      <vt:lpstr>'Compass (dbs Meritus)'!MD_FINANCIAL</vt:lpstr>
      <vt:lpstr>'Confed Life &amp; Annty (CLIAC)'!MD_FINANCIAL</vt:lpstr>
      <vt:lpstr>'Confed Life (CLIC)'!MD_FINANCIAL</vt:lpstr>
      <vt:lpstr>'Consolidated National'!MD_FINANCIAL</vt:lpstr>
      <vt:lpstr>'Consumers Choice'!MD_FINANCIAL</vt:lpstr>
      <vt:lpstr>'Consumers Mutual'!MD_FINANCIAL</vt:lpstr>
      <vt:lpstr>'Consumers United'!MD_FINANCIAL</vt:lpstr>
      <vt:lpstr>CoOportunity!MD_FINANCIAL</vt:lpstr>
      <vt:lpstr>'Coordinated Hlth'!MD_FINANCIAL</vt:lpstr>
      <vt:lpstr>'Corporate Life'!MD_FINANCIAL</vt:lpstr>
      <vt:lpstr>'Diamond Benefits'!MD_FINANCIAL</vt:lpstr>
      <vt:lpstr>'EBL Life'!MD_FINANCIAL</vt:lpstr>
      <vt:lpstr>ELNY!MD_FINANCIAL</vt:lpstr>
      <vt:lpstr>'Executive Life'!MD_FINANCIAL</vt:lpstr>
      <vt:lpstr>'Family Guaranty'!MD_FINANCIAL</vt:lpstr>
      <vt:lpstr>'Farmers &amp; Ranchers'!MD_FINANCIAL</vt:lpstr>
      <vt:lpstr>'Fidelity Bankers'!MD_FINANCIAL</vt:lpstr>
      <vt:lpstr>'Fidelity Mutual'!MD_FINANCIAL</vt:lpstr>
      <vt:lpstr>'First Capital'!MD_FINANCIAL</vt:lpstr>
      <vt:lpstr>'First Natl'!MD_FINANCIAL</vt:lpstr>
      <vt:lpstr>'First Natl (Thrnr)'!MD_FINANCIAL</vt:lpstr>
      <vt:lpstr>'Franklin American'!MD_FINANCIAL</vt:lpstr>
      <vt:lpstr>'Franklin Protective'!MD_FINANCIAL</vt:lpstr>
      <vt:lpstr>'Freelancers CO-OP'!MD_FINANCIAL</vt:lpstr>
      <vt:lpstr>Freestone!MD_FINANCIAL</vt:lpstr>
      <vt:lpstr>'George Washington'!MD_FINANCIAL</vt:lpstr>
      <vt:lpstr>'Golden State'!MD_FINANCIAL</vt:lpstr>
      <vt:lpstr>'Guarantee Security'!MD_FINANCIAL</vt:lpstr>
      <vt:lpstr>HealthyCT!MD_FINANCIAL</vt:lpstr>
      <vt:lpstr>Imerica!MD_FINANCIAL</vt:lpstr>
      <vt:lpstr>'Inter-American'!MD_FINANCIAL</vt:lpstr>
      <vt:lpstr>'International Fin'!MD_FINANCIAL</vt:lpstr>
      <vt:lpstr>'Investment Life of America'!MD_FINANCIAL</vt:lpstr>
      <vt:lpstr>'Investors Equity'!MD_FINANCIAL</vt:lpstr>
      <vt:lpstr>'Kentucky Central'!MD_FINANCIAL</vt:lpstr>
      <vt:lpstr>'Land of Lincoln'!MD_FINANCIAL</vt:lpstr>
      <vt:lpstr>Legion!MD_FINANCIAL</vt:lpstr>
      <vt:lpstr>'Life Health America'!MD_FINANCIAL</vt:lpstr>
      <vt:lpstr>'Lincoln Memorial'!MD_FINANCIAL</vt:lpstr>
      <vt:lpstr>'London Pac'!MD_FINANCIAL</vt:lpstr>
      <vt:lpstr>Lumbermens!MD_FINANCIAL</vt:lpstr>
      <vt:lpstr>'Medical Savings'!MD_FINANCIAL</vt:lpstr>
      <vt:lpstr>'Memorial Service'!MD_FINANCIAL</vt:lpstr>
      <vt:lpstr>Midcontinent!MD_FINANCIAL</vt:lpstr>
      <vt:lpstr>'Midwest Life'!MD_FINANCIAL</vt:lpstr>
      <vt:lpstr>'Monarch Life'!MD_FINANCIAL</vt:lpstr>
      <vt:lpstr>'Mutual Benefit'!MD_FINANCIAL</vt:lpstr>
      <vt:lpstr>'Mutual Security'!MD_FINANCIAL</vt:lpstr>
      <vt:lpstr>'National Affiliated'!MD_FINANCIAL</vt:lpstr>
      <vt:lpstr>'National Heritage'!MD_FINANCIAL</vt:lpstr>
      <vt:lpstr>'National States'!MD_FINANCIAL</vt:lpstr>
      <vt:lpstr>'Natl American'!MD_FINANCIAL</vt:lpstr>
      <vt:lpstr>'New Jersey Life'!MD_FINANCIAL</vt:lpstr>
      <vt:lpstr>NNIC!MD_FINANCIAL</vt:lpstr>
      <vt:lpstr>'North Carolina Mutual'!MD_FINANCIAL</vt:lpstr>
      <vt:lpstr>'Old Colony Life'!MD_FINANCIAL</vt:lpstr>
      <vt:lpstr>'Old Faithful'!MD_FINANCIAL</vt:lpstr>
      <vt:lpstr>'Pacific Standard'!MD_FINANCIAL</vt:lpstr>
      <vt:lpstr>'Pavonia Life'!MD_FINANCIAL</vt:lpstr>
      <vt:lpstr>'Pen  Treaty'!MD_FINANCIAL</vt:lpstr>
      <vt:lpstr>'Red Rock'!MD_FINANCIAL</vt:lpstr>
      <vt:lpstr>Reliance!MD_FINANCIAL</vt:lpstr>
      <vt:lpstr>SeeChange!MD_FINANCIAL</vt:lpstr>
      <vt:lpstr>'Senior American'!MD_FINANCIAL</vt:lpstr>
      <vt:lpstr>Settlers!MD_FINANCIAL</vt:lpstr>
      <vt:lpstr>Shenandoah!MD_FINANCIAL</vt:lpstr>
      <vt:lpstr>'Southland National Life'!MD_FINANCIAL</vt:lpstr>
      <vt:lpstr>'Standard Life IN'!MD_FINANCIAL</vt:lpstr>
      <vt:lpstr>'States General'!MD_FINANCIAL</vt:lpstr>
      <vt:lpstr>Statesman!MD_FINANCIAL</vt:lpstr>
      <vt:lpstr>'Summit National'!MD_FINANCIAL</vt:lpstr>
      <vt:lpstr>Supreme!MD_FINANCIAL</vt:lpstr>
      <vt:lpstr>Time!MD_FINANCIAL</vt:lpstr>
      <vt:lpstr>'Total Summary'!MD_FINANCIAL</vt:lpstr>
      <vt:lpstr>Underwriters!MD_FINANCIAL</vt:lpstr>
      <vt:lpstr>Unison!MD_FINANCIAL</vt:lpstr>
      <vt:lpstr>'United Republic'!MD_FINANCIAL</vt:lpstr>
      <vt:lpstr>'Universal Health Care'!MD_FINANCIAL</vt:lpstr>
      <vt:lpstr>'Universal Life'!MD_FINANCIAL</vt:lpstr>
      <vt:lpstr>Universe!MD_FINANCIAL</vt:lpstr>
      <vt:lpstr>Villanova!MD_FINANCIAL</vt:lpstr>
      <vt:lpstr>'Alabama Life'!ME_FINANCIAL</vt:lpstr>
      <vt:lpstr>'Amer Life Asr'!ME_FINANCIAL</vt:lpstr>
      <vt:lpstr>'Amer Std Life Acc'!ME_FINANCIAL</vt:lpstr>
      <vt:lpstr>'American Chambers'!ME_FINANCIAL</vt:lpstr>
      <vt:lpstr>'American Community'!ME_FINANCIAL</vt:lpstr>
      <vt:lpstr>'American Educators'!ME_FINANCIAL</vt:lpstr>
      <vt:lpstr>'American Integrity'!ME_FINANCIAL</vt:lpstr>
      <vt:lpstr>'American Medical'!ME_FINANCIAL</vt:lpstr>
      <vt:lpstr>'American Network'!ME_FINANCIAL</vt:lpstr>
      <vt:lpstr>AmerWstrn!ME_FINANCIAL</vt:lpstr>
      <vt:lpstr>'AMS Life'!ME_FINANCIAL</vt:lpstr>
      <vt:lpstr>'Andrew Jackson'!ME_FINANCIAL</vt:lpstr>
      <vt:lpstr>'Bankers Commercial'!ME_FINANCIAL</vt:lpstr>
      <vt:lpstr>'Bankers Life'!ME_FINANCIAL</vt:lpstr>
      <vt:lpstr>Benicorp!ME_FINANCIAL</vt:lpstr>
      <vt:lpstr>'Booker T Washington'!ME_FINANCIAL</vt:lpstr>
      <vt:lpstr>Centennial!ME_FINANCIAL</vt:lpstr>
      <vt:lpstr>'CO Bankers'!ME_FINANCIAL</vt:lpstr>
      <vt:lpstr>'Coastal States'!ME_FINANCIAL</vt:lpstr>
      <vt:lpstr>'Colorado Health'!ME_FINANCIAL</vt:lpstr>
      <vt:lpstr>'Compass (dbs Meritus)'!ME_FINANCIAL</vt:lpstr>
      <vt:lpstr>'Confed Life &amp; Annty (CLIAC)'!ME_FINANCIAL</vt:lpstr>
      <vt:lpstr>'Confed Life (CLIC)'!ME_FINANCIAL</vt:lpstr>
      <vt:lpstr>'Consolidated National'!ME_FINANCIAL</vt:lpstr>
      <vt:lpstr>'Consumers Choice'!ME_FINANCIAL</vt:lpstr>
      <vt:lpstr>'Consumers Mutual'!ME_FINANCIAL</vt:lpstr>
      <vt:lpstr>'Consumers United'!ME_FINANCIAL</vt:lpstr>
      <vt:lpstr>CoOportunity!ME_FINANCIAL</vt:lpstr>
      <vt:lpstr>'Coordinated Hlth'!ME_FINANCIAL</vt:lpstr>
      <vt:lpstr>'Corporate Life'!ME_FINANCIAL</vt:lpstr>
      <vt:lpstr>'Diamond Benefits'!ME_FINANCIAL</vt:lpstr>
      <vt:lpstr>'EBL Life'!ME_FINANCIAL</vt:lpstr>
      <vt:lpstr>ELNY!ME_FINANCIAL</vt:lpstr>
      <vt:lpstr>'Executive Life'!ME_FINANCIAL</vt:lpstr>
      <vt:lpstr>'Family Guaranty'!ME_FINANCIAL</vt:lpstr>
      <vt:lpstr>'Farmers &amp; Ranchers'!ME_FINANCIAL</vt:lpstr>
      <vt:lpstr>'Fidelity Bankers'!ME_FINANCIAL</vt:lpstr>
      <vt:lpstr>'Fidelity Mutual'!ME_FINANCIAL</vt:lpstr>
      <vt:lpstr>'First Capital'!ME_FINANCIAL</vt:lpstr>
      <vt:lpstr>'First Natl'!ME_FINANCIAL</vt:lpstr>
      <vt:lpstr>'First Natl (Thrnr)'!ME_FINANCIAL</vt:lpstr>
      <vt:lpstr>'Franklin American'!ME_FINANCIAL</vt:lpstr>
      <vt:lpstr>'Franklin Protective'!ME_FINANCIAL</vt:lpstr>
      <vt:lpstr>'Freelancers CO-OP'!ME_FINANCIAL</vt:lpstr>
      <vt:lpstr>Freestone!ME_FINANCIAL</vt:lpstr>
      <vt:lpstr>'George Washington'!ME_FINANCIAL</vt:lpstr>
      <vt:lpstr>'Golden State'!ME_FINANCIAL</vt:lpstr>
      <vt:lpstr>'Guarantee Security'!ME_FINANCIAL</vt:lpstr>
      <vt:lpstr>HealthyCT!ME_FINANCIAL</vt:lpstr>
      <vt:lpstr>Imerica!ME_FINANCIAL</vt:lpstr>
      <vt:lpstr>'Inter-American'!ME_FINANCIAL</vt:lpstr>
      <vt:lpstr>'International Fin'!ME_FINANCIAL</vt:lpstr>
      <vt:lpstr>'Investment Life of America'!ME_FINANCIAL</vt:lpstr>
      <vt:lpstr>'Investors Equity'!ME_FINANCIAL</vt:lpstr>
      <vt:lpstr>'Kentucky Central'!ME_FINANCIAL</vt:lpstr>
      <vt:lpstr>'Land of Lincoln'!ME_FINANCIAL</vt:lpstr>
      <vt:lpstr>Legion!ME_FINANCIAL</vt:lpstr>
      <vt:lpstr>'Life Health America'!ME_FINANCIAL</vt:lpstr>
      <vt:lpstr>'Lincoln Memorial'!ME_FINANCIAL</vt:lpstr>
      <vt:lpstr>'London Pac'!ME_FINANCIAL</vt:lpstr>
      <vt:lpstr>Lumbermens!ME_FINANCIAL</vt:lpstr>
      <vt:lpstr>'Medical Savings'!ME_FINANCIAL</vt:lpstr>
      <vt:lpstr>'Memorial Service'!ME_FINANCIAL</vt:lpstr>
      <vt:lpstr>Midcontinent!ME_FINANCIAL</vt:lpstr>
      <vt:lpstr>'Midwest Life'!ME_FINANCIAL</vt:lpstr>
      <vt:lpstr>'Monarch Life'!ME_FINANCIAL</vt:lpstr>
      <vt:lpstr>'Mutual Benefit'!ME_FINANCIAL</vt:lpstr>
      <vt:lpstr>'Mutual Security'!ME_FINANCIAL</vt:lpstr>
      <vt:lpstr>'National Affiliated'!ME_FINANCIAL</vt:lpstr>
      <vt:lpstr>'National Heritage'!ME_FINANCIAL</vt:lpstr>
      <vt:lpstr>'National States'!ME_FINANCIAL</vt:lpstr>
      <vt:lpstr>'Natl American'!ME_FINANCIAL</vt:lpstr>
      <vt:lpstr>'New Jersey Life'!ME_FINANCIAL</vt:lpstr>
      <vt:lpstr>NNIC!ME_FINANCIAL</vt:lpstr>
      <vt:lpstr>'North Carolina Mutual'!ME_FINANCIAL</vt:lpstr>
      <vt:lpstr>'Old Colony Life'!ME_FINANCIAL</vt:lpstr>
      <vt:lpstr>'Old Faithful'!ME_FINANCIAL</vt:lpstr>
      <vt:lpstr>'Pacific Standard'!ME_FINANCIAL</vt:lpstr>
      <vt:lpstr>'Pavonia Life'!ME_FINANCIAL</vt:lpstr>
      <vt:lpstr>'Pen  Treaty'!ME_FINANCIAL</vt:lpstr>
      <vt:lpstr>'Red Rock'!ME_FINANCIAL</vt:lpstr>
      <vt:lpstr>Reliance!ME_FINANCIAL</vt:lpstr>
      <vt:lpstr>SeeChange!ME_FINANCIAL</vt:lpstr>
      <vt:lpstr>'Senior American'!ME_FINANCIAL</vt:lpstr>
      <vt:lpstr>Settlers!ME_FINANCIAL</vt:lpstr>
      <vt:lpstr>Shenandoah!ME_FINANCIAL</vt:lpstr>
      <vt:lpstr>'Southland National Life'!ME_FINANCIAL</vt:lpstr>
      <vt:lpstr>'Standard Life IN'!ME_FINANCIAL</vt:lpstr>
      <vt:lpstr>'States General'!ME_FINANCIAL</vt:lpstr>
      <vt:lpstr>Statesman!ME_FINANCIAL</vt:lpstr>
      <vt:lpstr>'Summit National'!ME_FINANCIAL</vt:lpstr>
      <vt:lpstr>Supreme!ME_FINANCIAL</vt:lpstr>
      <vt:lpstr>Time!ME_FINANCIAL</vt:lpstr>
      <vt:lpstr>'Total Summary'!ME_FINANCIAL</vt:lpstr>
      <vt:lpstr>Underwriters!ME_FINANCIAL</vt:lpstr>
      <vt:lpstr>Unison!ME_FINANCIAL</vt:lpstr>
      <vt:lpstr>'United Republic'!ME_FINANCIAL</vt:lpstr>
      <vt:lpstr>'Universal Health Care'!ME_FINANCIAL</vt:lpstr>
      <vt:lpstr>'Universal Life'!ME_FINANCIAL</vt:lpstr>
      <vt:lpstr>Universe!ME_FINANCIAL</vt:lpstr>
      <vt:lpstr>Villanova!ME_FINANCIAL</vt:lpstr>
      <vt:lpstr>'Alabama Life'!MI_FINANCIAL</vt:lpstr>
      <vt:lpstr>'Amer Life Asr'!MI_FINANCIAL</vt:lpstr>
      <vt:lpstr>'Amer Std Life Acc'!MI_FINANCIAL</vt:lpstr>
      <vt:lpstr>'American Chambers'!MI_FINANCIAL</vt:lpstr>
      <vt:lpstr>'American Community'!MI_FINANCIAL</vt:lpstr>
      <vt:lpstr>'American Educators'!MI_FINANCIAL</vt:lpstr>
      <vt:lpstr>'American Integrity'!MI_FINANCIAL</vt:lpstr>
      <vt:lpstr>'American Medical'!MI_FINANCIAL</vt:lpstr>
      <vt:lpstr>'American Network'!MI_FINANCIAL</vt:lpstr>
      <vt:lpstr>AmerWstrn!MI_FINANCIAL</vt:lpstr>
      <vt:lpstr>'AMS Life'!MI_FINANCIAL</vt:lpstr>
      <vt:lpstr>'Andrew Jackson'!MI_FINANCIAL</vt:lpstr>
      <vt:lpstr>'Bankers Commercial'!MI_FINANCIAL</vt:lpstr>
      <vt:lpstr>'Bankers Life'!MI_FINANCIAL</vt:lpstr>
      <vt:lpstr>Benicorp!MI_FINANCIAL</vt:lpstr>
      <vt:lpstr>'Booker T Washington'!MI_FINANCIAL</vt:lpstr>
      <vt:lpstr>Centennial!MI_FINANCIAL</vt:lpstr>
      <vt:lpstr>'CO Bankers'!MI_FINANCIAL</vt:lpstr>
      <vt:lpstr>'Coastal States'!MI_FINANCIAL</vt:lpstr>
      <vt:lpstr>'Colorado Health'!MI_FINANCIAL</vt:lpstr>
      <vt:lpstr>'Compass (dbs Meritus)'!MI_FINANCIAL</vt:lpstr>
      <vt:lpstr>'Confed Life &amp; Annty (CLIAC)'!MI_FINANCIAL</vt:lpstr>
      <vt:lpstr>'Confed Life (CLIC)'!MI_FINANCIAL</vt:lpstr>
      <vt:lpstr>'Consolidated National'!MI_FINANCIAL</vt:lpstr>
      <vt:lpstr>'Consumers Choice'!MI_FINANCIAL</vt:lpstr>
      <vt:lpstr>'Consumers Mutual'!MI_FINANCIAL</vt:lpstr>
      <vt:lpstr>'Consumers United'!MI_FINANCIAL</vt:lpstr>
      <vt:lpstr>CoOportunity!MI_FINANCIAL</vt:lpstr>
      <vt:lpstr>'Coordinated Hlth'!MI_FINANCIAL</vt:lpstr>
      <vt:lpstr>'Corporate Life'!MI_FINANCIAL</vt:lpstr>
      <vt:lpstr>'Diamond Benefits'!MI_FINANCIAL</vt:lpstr>
      <vt:lpstr>'EBL Life'!MI_FINANCIAL</vt:lpstr>
      <vt:lpstr>ELNY!MI_FINANCIAL</vt:lpstr>
      <vt:lpstr>'Executive Life'!MI_FINANCIAL</vt:lpstr>
      <vt:lpstr>'Family Guaranty'!MI_FINANCIAL</vt:lpstr>
      <vt:lpstr>'Farmers &amp; Ranchers'!MI_FINANCIAL</vt:lpstr>
      <vt:lpstr>'Fidelity Bankers'!MI_FINANCIAL</vt:lpstr>
      <vt:lpstr>'Fidelity Mutual'!MI_FINANCIAL</vt:lpstr>
      <vt:lpstr>'First Capital'!MI_FINANCIAL</vt:lpstr>
      <vt:lpstr>'First Natl'!MI_FINANCIAL</vt:lpstr>
      <vt:lpstr>'First Natl (Thrnr)'!MI_FINANCIAL</vt:lpstr>
      <vt:lpstr>'Franklin American'!MI_FINANCIAL</vt:lpstr>
      <vt:lpstr>'Franklin Protective'!MI_FINANCIAL</vt:lpstr>
      <vt:lpstr>'Freelancers CO-OP'!MI_FINANCIAL</vt:lpstr>
      <vt:lpstr>Freestone!MI_FINANCIAL</vt:lpstr>
      <vt:lpstr>'George Washington'!MI_FINANCIAL</vt:lpstr>
      <vt:lpstr>'Golden State'!MI_FINANCIAL</vt:lpstr>
      <vt:lpstr>'Guarantee Security'!MI_FINANCIAL</vt:lpstr>
      <vt:lpstr>HealthyCT!MI_FINANCIAL</vt:lpstr>
      <vt:lpstr>Imerica!MI_FINANCIAL</vt:lpstr>
      <vt:lpstr>'Inter-American'!MI_FINANCIAL</vt:lpstr>
      <vt:lpstr>'International Fin'!MI_FINANCIAL</vt:lpstr>
      <vt:lpstr>'Investment Life of America'!MI_FINANCIAL</vt:lpstr>
      <vt:lpstr>'Investors Equity'!MI_FINANCIAL</vt:lpstr>
      <vt:lpstr>'Kentucky Central'!MI_FINANCIAL</vt:lpstr>
      <vt:lpstr>'Land of Lincoln'!MI_FINANCIAL</vt:lpstr>
      <vt:lpstr>Legion!MI_FINANCIAL</vt:lpstr>
      <vt:lpstr>'Life Health America'!MI_FINANCIAL</vt:lpstr>
      <vt:lpstr>'Lincoln Memorial'!MI_FINANCIAL</vt:lpstr>
      <vt:lpstr>'London Pac'!MI_FINANCIAL</vt:lpstr>
      <vt:lpstr>Lumbermens!MI_FINANCIAL</vt:lpstr>
      <vt:lpstr>'Medical Savings'!MI_FINANCIAL</vt:lpstr>
      <vt:lpstr>'Memorial Service'!MI_FINANCIAL</vt:lpstr>
      <vt:lpstr>Midcontinent!MI_FINANCIAL</vt:lpstr>
      <vt:lpstr>'Midwest Life'!MI_FINANCIAL</vt:lpstr>
      <vt:lpstr>'Monarch Life'!MI_FINANCIAL</vt:lpstr>
      <vt:lpstr>'Mutual Benefit'!MI_FINANCIAL</vt:lpstr>
      <vt:lpstr>'Mutual Security'!MI_FINANCIAL</vt:lpstr>
      <vt:lpstr>'National Affiliated'!MI_FINANCIAL</vt:lpstr>
      <vt:lpstr>'National Heritage'!MI_FINANCIAL</vt:lpstr>
      <vt:lpstr>'National States'!MI_FINANCIAL</vt:lpstr>
      <vt:lpstr>'Natl American'!MI_FINANCIAL</vt:lpstr>
      <vt:lpstr>'New Jersey Life'!MI_FINANCIAL</vt:lpstr>
      <vt:lpstr>NNIC!MI_FINANCIAL</vt:lpstr>
      <vt:lpstr>'North Carolina Mutual'!MI_FINANCIAL</vt:lpstr>
      <vt:lpstr>'Old Colony Life'!MI_FINANCIAL</vt:lpstr>
      <vt:lpstr>'Old Faithful'!MI_FINANCIAL</vt:lpstr>
      <vt:lpstr>'Pacific Standard'!MI_FINANCIAL</vt:lpstr>
      <vt:lpstr>'Pavonia Life'!MI_FINANCIAL</vt:lpstr>
      <vt:lpstr>'Pen  Treaty'!MI_FINANCIAL</vt:lpstr>
      <vt:lpstr>'Red Rock'!MI_FINANCIAL</vt:lpstr>
      <vt:lpstr>Reliance!MI_FINANCIAL</vt:lpstr>
      <vt:lpstr>SeeChange!MI_FINANCIAL</vt:lpstr>
      <vt:lpstr>'Senior American'!MI_FINANCIAL</vt:lpstr>
      <vt:lpstr>Settlers!MI_FINANCIAL</vt:lpstr>
      <vt:lpstr>Shenandoah!MI_FINANCIAL</vt:lpstr>
      <vt:lpstr>'Southland National Life'!MI_FINANCIAL</vt:lpstr>
      <vt:lpstr>'Standard Life IN'!MI_FINANCIAL</vt:lpstr>
      <vt:lpstr>'States General'!MI_FINANCIAL</vt:lpstr>
      <vt:lpstr>Statesman!MI_FINANCIAL</vt:lpstr>
      <vt:lpstr>'Summit National'!MI_FINANCIAL</vt:lpstr>
      <vt:lpstr>Supreme!MI_FINANCIAL</vt:lpstr>
      <vt:lpstr>Time!MI_FINANCIAL</vt:lpstr>
      <vt:lpstr>'Total Summary'!MI_FINANCIAL</vt:lpstr>
      <vt:lpstr>Underwriters!MI_FINANCIAL</vt:lpstr>
      <vt:lpstr>Unison!MI_FINANCIAL</vt:lpstr>
      <vt:lpstr>'United Republic'!MI_FINANCIAL</vt:lpstr>
      <vt:lpstr>'Universal Health Care'!MI_FINANCIAL</vt:lpstr>
      <vt:lpstr>'Universal Life'!MI_FINANCIAL</vt:lpstr>
      <vt:lpstr>Universe!MI_FINANCIAL</vt:lpstr>
      <vt:lpstr>Villanova!MI_FINANCIAL</vt:lpstr>
      <vt:lpstr>'Alabama Life'!MN_FINANCIAL</vt:lpstr>
      <vt:lpstr>'Amer Life Asr'!MN_FINANCIAL</vt:lpstr>
      <vt:lpstr>'Amer Std Life Acc'!MN_FINANCIAL</vt:lpstr>
      <vt:lpstr>'American Chambers'!MN_FINANCIAL</vt:lpstr>
      <vt:lpstr>'American Community'!MN_FINANCIAL</vt:lpstr>
      <vt:lpstr>'American Educators'!MN_FINANCIAL</vt:lpstr>
      <vt:lpstr>'American Integrity'!MN_FINANCIAL</vt:lpstr>
      <vt:lpstr>'American Medical'!MN_FINANCIAL</vt:lpstr>
      <vt:lpstr>'American Network'!MN_FINANCIAL</vt:lpstr>
      <vt:lpstr>AmerWstrn!MN_FINANCIAL</vt:lpstr>
      <vt:lpstr>'AMS Life'!MN_FINANCIAL</vt:lpstr>
      <vt:lpstr>'Andrew Jackson'!MN_FINANCIAL</vt:lpstr>
      <vt:lpstr>'Bankers Commercial'!MN_FINANCIAL</vt:lpstr>
      <vt:lpstr>'Bankers Life'!MN_FINANCIAL</vt:lpstr>
      <vt:lpstr>Benicorp!MN_FINANCIAL</vt:lpstr>
      <vt:lpstr>'Booker T Washington'!MN_FINANCIAL</vt:lpstr>
      <vt:lpstr>Centennial!MN_FINANCIAL</vt:lpstr>
      <vt:lpstr>'CO Bankers'!MN_FINANCIAL</vt:lpstr>
      <vt:lpstr>'Coastal States'!MN_FINANCIAL</vt:lpstr>
      <vt:lpstr>'Colorado Health'!MN_FINANCIAL</vt:lpstr>
      <vt:lpstr>'Compass (dbs Meritus)'!MN_FINANCIAL</vt:lpstr>
      <vt:lpstr>'Confed Life &amp; Annty (CLIAC)'!MN_FINANCIAL</vt:lpstr>
      <vt:lpstr>'Confed Life (CLIC)'!MN_FINANCIAL</vt:lpstr>
      <vt:lpstr>'Consolidated National'!MN_FINANCIAL</vt:lpstr>
      <vt:lpstr>'Consumers Choice'!MN_FINANCIAL</vt:lpstr>
      <vt:lpstr>'Consumers Mutual'!MN_FINANCIAL</vt:lpstr>
      <vt:lpstr>'Consumers United'!MN_FINANCIAL</vt:lpstr>
      <vt:lpstr>CoOportunity!MN_FINANCIAL</vt:lpstr>
      <vt:lpstr>'Coordinated Hlth'!MN_FINANCIAL</vt:lpstr>
      <vt:lpstr>'Corporate Life'!MN_FINANCIAL</vt:lpstr>
      <vt:lpstr>'Diamond Benefits'!MN_FINANCIAL</vt:lpstr>
      <vt:lpstr>'EBL Life'!MN_FINANCIAL</vt:lpstr>
      <vt:lpstr>ELNY!MN_FINANCIAL</vt:lpstr>
      <vt:lpstr>'Executive Life'!MN_FINANCIAL</vt:lpstr>
      <vt:lpstr>'Family Guaranty'!MN_FINANCIAL</vt:lpstr>
      <vt:lpstr>'Farmers &amp; Ranchers'!MN_FINANCIAL</vt:lpstr>
      <vt:lpstr>'Fidelity Bankers'!MN_FINANCIAL</vt:lpstr>
      <vt:lpstr>'Fidelity Mutual'!MN_FINANCIAL</vt:lpstr>
      <vt:lpstr>'First Capital'!MN_FINANCIAL</vt:lpstr>
      <vt:lpstr>'First Natl'!MN_FINANCIAL</vt:lpstr>
      <vt:lpstr>'First Natl (Thrnr)'!MN_FINANCIAL</vt:lpstr>
      <vt:lpstr>'Franklin American'!MN_FINANCIAL</vt:lpstr>
      <vt:lpstr>'Franklin Protective'!MN_FINANCIAL</vt:lpstr>
      <vt:lpstr>'Freelancers CO-OP'!MN_FINANCIAL</vt:lpstr>
      <vt:lpstr>Freestone!MN_FINANCIAL</vt:lpstr>
      <vt:lpstr>'George Washington'!MN_FINANCIAL</vt:lpstr>
      <vt:lpstr>'Golden State'!MN_FINANCIAL</vt:lpstr>
      <vt:lpstr>'Guarantee Security'!MN_FINANCIAL</vt:lpstr>
      <vt:lpstr>HealthyCT!MN_FINANCIAL</vt:lpstr>
      <vt:lpstr>Imerica!MN_FINANCIAL</vt:lpstr>
      <vt:lpstr>'Inter-American'!MN_FINANCIAL</vt:lpstr>
      <vt:lpstr>'International Fin'!MN_FINANCIAL</vt:lpstr>
      <vt:lpstr>'Investment Life of America'!MN_FINANCIAL</vt:lpstr>
      <vt:lpstr>'Investors Equity'!MN_FINANCIAL</vt:lpstr>
      <vt:lpstr>'Kentucky Central'!MN_FINANCIAL</vt:lpstr>
      <vt:lpstr>'Land of Lincoln'!MN_FINANCIAL</vt:lpstr>
      <vt:lpstr>Legion!MN_FINANCIAL</vt:lpstr>
      <vt:lpstr>'Life Health America'!MN_FINANCIAL</vt:lpstr>
      <vt:lpstr>'Lincoln Memorial'!MN_FINANCIAL</vt:lpstr>
      <vt:lpstr>'London Pac'!MN_FINANCIAL</vt:lpstr>
      <vt:lpstr>Lumbermens!MN_FINANCIAL</vt:lpstr>
      <vt:lpstr>'Medical Savings'!MN_FINANCIAL</vt:lpstr>
      <vt:lpstr>'Memorial Service'!MN_FINANCIAL</vt:lpstr>
      <vt:lpstr>Midcontinent!MN_FINANCIAL</vt:lpstr>
      <vt:lpstr>'Midwest Life'!MN_FINANCIAL</vt:lpstr>
      <vt:lpstr>'Monarch Life'!MN_FINANCIAL</vt:lpstr>
      <vt:lpstr>'Mutual Benefit'!MN_FINANCIAL</vt:lpstr>
      <vt:lpstr>'Mutual Security'!MN_FINANCIAL</vt:lpstr>
      <vt:lpstr>'National Affiliated'!MN_FINANCIAL</vt:lpstr>
      <vt:lpstr>'National Heritage'!MN_FINANCIAL</vt:lpstr>
      <vt:lpstr>'National States'!MN_FINANCIAL</vt:lpstr>
      <vt:lpstr>'Natl American'!MN_FINANCIAL</vt:lpstr>
      <vt:lpstr>'New Jersey Life'!MN_FINANCIAL</vt:lpstr>
      <vt:lpstr>NNIC!MN_FINANCIAL</vt:lpstr>
      <vt:lpstr>'North Carolina Mutual'!MN_FINANCIAL</vt:lpstr>
      <vt:lpstr>'Old Colony Life'!MN_FINANCIAL</vt:lpstr>
      <vt:lpstr>'Old Faithful'!MN_FINANCIAL</vt:lpstr>
      <vt:lpstr>'Pacific Standard'!MN_FINANCIAL</vt:lpstr>
      <vt:lpstr>'Pavonia Life'!MN_FINANCIAL</vt:lpstr>
      <vt:lpstr>'Pen  Treaty'!MN_FINANCIAL</vt:lpstr>
      <vt:lpstr>'Red Rock'!MN_FINANCIAL</vt:lpstr>
      <vt:lpstr>Reliance!MN_FINANCIAL</vt:lpstr>
      <vt:lpstr>SeeChange!MN_FINANCIAL</vt:lpstr>
      <vt:lpstr>'Senior American'!MN_FINANCIAL</vt:lpstr>
      <vt:lpstr>Settlers!MN_FINANCIAL</vt:lpstr>
      <vt:lpstr>Shenandoah!MN_FINANCIAL</vt:lpstr>
      <vt:lpstr>'Southland National Life'!MN_FINANCIAL</vt:lpstr>
      <vt:lpstr>'Standard Life IN'!MN_FINANCIAL</vt:lpstr>
      <vt:lpstr>'States General'!MN_FINANCIAL</vt:lpstr>
      <vt:lpstr>Statesman!MN_FINANCIAL</vt:lpstr>
      <vt:lpstr>'Summit National'!MN_FINANCIAL</vt:lpstr>
      <vt:lpstr>Supreme!MN_FINANCIAL</vt:lpstr>
      <vt:lpstr>Time!MN_FINANCIAL</vt:lpstr>
      <vt:lpstr>'Total Summary'!MN_FINANCIAL</vt:lpstr>
      <vt:lpstr>Underwriters!MN_FINANCIAL</vt:lpstr>
      <vt:lpstr>Unison!MN_FINANCIAL</vt:lpstr>
      <vt:lpstr>'United Republic'!MN_FINANCIAL</vt:lpstr>
      <vt:lpstr>'Universal Health Care'!MN_FINANCIAL</vt:lpstr>
      <vt:lpstr>'Universal Life'!MN_FINANCIAL</vt:lpstr>
      <vt:lpstr>Universe!MN_FINANCIAL</vt:lpstr>
      <vt:lpstr>Villanova!MN_FINANCIAL</vt:lpstr>
      <vt:lpstr>'Alabama Life'!MO_FINANCIAL</vt:lpstr>
      <vt:lpstr>'Amer Life Asr'!MO_FINANCIAL</vt:lpstr>
      <vt:lpstr>'Amer Std Life Acc'!MO_FINANCIAL</vt:lpstr>
      <vt:lpstr>'American Chambers'!MO_FINANCIAL</vt:lpstr>
      <vt:lpstr>'American Community'!MO_FINANCIAL</vt:lpstr>
      <vt:lpstr>'American Educators'!MO_FINANCIAL</vt:lpstr>
      <vt:lpstr>'American Integrity'!MO_FINANCIAL</vt:lpstr>
      <vt:lpstr>'American Medical'!MO_FINANCIAL</vt:lpstr>
      <vt:lpstr>'American Network'!MO_FINANCIAL</vt:lpstr>
      <vt:lpstr>AmerWstrn!MO_FINANCIAL</vt:lpstr>
      <vt:lpstr>'AMS Life'!MO_FINANCIAL</vt:lpstr>
      <vt:lpstr>'Andrew Jackson'!MO_FINANCIAL</vt:lpstr>
      <vt:lpstr>'Bankers Commercial'!MO_FINANCIAL</vt:lpstr>
      <vt:lpstr>'Bankers Life'!MO_FINANCIAL</vt:lpstr>
      <vt:lpstr>Benicorp!MO_FINANCIAL</vt:lpstr>
      <vt:lpstr>'Booker T Washington'!MO_FINANCIAL</vt:lpstr>
      <vt:lpstr>Centennial!MO_FINANCIAL</vt:lpstr>
      <vt:lpstr>'CO Bankers'!MO_FINANCIAL</vt:lpstr>
      <vt:lpstr>'Coastal States'!MO_FINANCIAL</vt:lpstr>
      <vt:lpstr>'Colorado Health'!MO_FINANCIAL</vt:lpstr>
      <vt:lpstr>'Compass (dbs Meritus)'!MO_FINANCIAL</vt:lpstr>
      <vt:lpstr>'Confed Life &amp; Annty (CLIAC)'!MO_FINANCIAL</vt:lpstr>
      <vt:lpstr>'Confed Life (CLIC)'!MO_FINANCIAL</vt:lpstr>
      <vt:lpstr>'Consolidated National'!MO_FINANCIAL</vt:lpstr>
      <vt:lpstr>'Consumers Choice'!MO_FINANCIAL</vt:lpstr>
      <vt:lpstr>'Consumers Mutual'!MO_FINANCIAL</vt:lpstr>
      <vt:lpstr>'Consumers United'!MO_FINANCIAL</vt:lpstr>
      <vt:lpstr>CoOportunity!MO_FINANCIAL</vt:lpstr>
      <vt:lpstr>'Coordinated Hlth'!MO_FINANCIAL</vt:lpstr>
      <vt:lpstr>'Corporate Life'!MO_FINANCIAL</vt:lpstr>
      <vt:lpstr>'Diamond Benefits'!MO_FINANCIAL</vt:lpstr>
      <vt:lpstr>'EBL Life'!MO_FINANCIAL</vt:lpstr>
      <vt:lpstr>ELNY!MO_FINANCIAL</vt:lpstr>
      <vt:lpstr>'Executive Life'!MO_FINANCIAL</vt:lpstr>
      <vt:lpstr>'Family Guaranty'!MO_FINANCIAL</vt:lpstr>
      <vt:lpstr>'Farmers &amp; Ranchers'!MO_FINANCIAL</vt:lpstr>
      <vt:lpstr>'Fidelity Bankers'!MO_FINANCIAL</vt:lpstr>
      <vt:lpstr>'Fidelity Mutual'!MO_FINANCIAL</vt:lpstr>
      <vt:lpstr>'First Capital'!MO_FINANCIAL</vt:lpstr>
      <vt:lpstr>'First Natl'!MO_FINANCIAL</vt:lpstr>
      <vt:lpstr>'First Natl (Thrnr)'!MO_FINANCIAL</vt:lpstr>
      <vt:lpstr>'Franklin American'!MO_FINANCIAL</vt:lpstr>
      <vt:lpstr>'Franklin Protective'!MO_FINANCIAL</vt:lpstr>
      <vt:lpstr>'Freelancers CO-OP'!MO_FINANCIAL</vt:lpstr>
      <vt:lpstr>Freestone!MO_FINANCIAL</vt:lpstr>
      <vt:lpstr>'George Washington'!MO_FINANCIAL</vt:lpstr>
      <vt:lpstr>'Golden State'!MO_FINANCIAL</vt:lpstr>
      <vt:lpstr>'Guarantee Security'!MO_FINANCIAL</vt:lpstr>
      <vt:lpstr>HealthyCT!MO_FINANCIAL</vt:lpstr>
      <vt:lpstr>Imerica!MO_FINANCIAL</vt:lpstr>
      <vt:lpstr>'Inter-American'!MO_FINANCIAL</vt:lpstr>
      <vt:lpstr>'International Fin'!MO_FINANCIAL</vt:lpstr>
      <vt:lpstr>'Investment Life of America'!MO_FINANCIAL</vt:lpstr>
      <vt:lpstr>'Investors Equity'!MO_FINANCIAL</vt:lpstr>
      <vt:lpstr>'Kentucky Central'!MO_FINANCIAL</vt:lpstr>
      <vt:lpstr>'Land of Lincoln'!MO_FINANCIAL</vt:lpstr>
      <vt:lpstr>Legion!MO_FINANCIAL</vt:lpstr>
      <vt:lpstr>'Life Health America'!MO_FINANCIAL</vt:lpstr>
      <vt:lpstr>'Lincoln Memorial'!MO_FINANCIAL</vt:lpstr>
      <vt:lpstr>'London Pac'!MO_FINANCIAL</vt:lpstr>
      <vt:lpstr>Lumbermens!MO_FINANCIAL</vt:lpstr>
      <vt:lpstr>'Medical Savings'!MO_FINANCIAL</vt:lpstr>
      <vt:lpstr>'Memorial Service'!MO_FINANCIAL</vt:lpstr>
      <vt:lpstr>Midcontinent!MO_FINANCIAL</vt:lpstr>
      <vt:lpstr>'Midwest Life'!MO_FINANCIAL</vt:lpstr>
      <vt:lpstr>'Monarch Life'!MO_FINANCIAL</vt:lpstr>
      <vt:lpstr>'Mutual Benefit'!MO_FINANCIAL</vt:lpstr>
      <vt:lpstr>'Mutual Security'!MO_FINANCIAL</vt:lpstr>
      <vt:lpstr>'National Affiliated'!MO_FINANCIAL</vt:lpstr>
      <vt:lpstr>'National Heritage'!MO_FINANCIAL</vt:lpstr>
      <vt:lpstr>'National States'!MO_FINANCIAL</vt:lpstr>
      <vt:lpstr>'Natl American'!MO_FINANCIAL</vt:lpstr>
      <vt:lpstr>'New Jersey Life'!MO_FINANCIAL</vt:lpstr>
      <vt:lpstr>NNIC!MO_FINANCIAL</vt:lpstr>
      <vt:lpstr>'North Carolina Mutual'!MO_FINANCIAL</vt:lpstr>
      <vt:lpstr>'Old Colony Life'!MO_FINANCIAL</vt:lpstr>
      <vt:lpstr>'Old Faithful'!MO_FINANCIAL</vt:lpstr>
      <vt:lpstr>'Pacific Standard'!MO_FINANCIAL</vt:lpstr>
      <vt:lpstr>'Pavonia Life'!MO_FINANCIAL</vt:lpstr>
      <vt:lpstr>'Pen  Treaty'!MO_FINANCIAL</vt:lpstr>
      <vt:lpstr>'Red Rock'!MO_FINANCIAL</vt:lpstr>
      <vt:lpstr>Reliance!MO_FINANCIAL</vt:lpstr>
      <vt:lpstr>SeeChange!MO_FINANCIAL</vt:lpstr>
      <vt:lpstr>'Senior American'!MO_FINANCIAL</vt:lpstr>
      <vt:lpstr>Settlers!MO_FINANCIAL</vt:lpstr>
      <vt:lpstr>Shenandoah!MO_FINANCIAL</vt:lpstr>
      <vt:lpstr>'Southland National Life'!MO_FINANCIAL</vt:lpstr>
      <vt:lpstr>'Standard Life IN'!MO_FINANCIAL</vt:lpstr>
      <vt:lpstr>'States General'!MO_FINANCIAL</vt:lpstr>
      <vt:lpstr>Statesman!MO_FINANCIAL</vt:lpstr>
      <vt:lpstr>'Summit National'!MO_FINANCIAL</vt:lpstr>
      <vt:lpstr>Supreme!MO_FINANCIAL</vt:lpstr>
      <vt:lpstr>Time!MO_FINANCIAL</vt:lpstr>
      <vt:lpstr>'Total Summary'!MO_FINANCIAL</vt:lpstr>
      <vt:lpstr>Underwriters!MO_FINANCIAL</vt:lpstr>
      <vt:lpstr>Unison!MO_FINANCIAL</vt:lpstr>
      <vt:lpstr>'United Republic'!MO_FINANCIAL</vt:lpstr>
      <vt:lpstr>'Universal Health Care'!MO_FINANCIAL</vt:lpstr>
      <vt:lpstr>'Universal Life'!MO_FINANCIAL</vt:lpstr>
      <vt:lpstr>Universe!MO_FINANCIAL</vt:lpstr>
      <vt:lpstr>Villanova!MO_FINANCIAL</vt:lpstr>
      <vt:lpstr>'Alabama Life'!MS_FINANCIAL</vt:lpstr>
      <vt:lpstr>'Amer Life Asr'!MS_FINANCIAL</vt:lpstr>
      <vt:lpstr>'Amer Std Life Acc'!MS_FINANCIAL</vt:lpstr>
      <vt:lpstr>'American Chambers'!MS_FINANCIAL</vt:lpstr>
      <vt:lpstr>'American Community'!MS_FINANCIAL</vt:lpstr>
      <vt:lpstr>'American Educators'!MS_FINANCIAL</vt:lpstr>
      <vt:lpstr>'American Integrity'!MS_FINANCIAL</vt:lpstr>
      <vt:lpstr>'American Medical'!MS_FINANCIAL</vt:lpstr>
      <vt:lpstr>'American Network'!MS_FINANCIAL</vt:lpstr>
      <vt:lpstr>AmerWstrn!MS_FINANCIAL</vt:lpstr>
      <vt:lpstr>'AMS Life'!MS_FINANCIAL</vt:lpstr>
      <vt:lpstr>'Andrew Jackson'!MS_FINANCIAL</vt:lpstr>
      <vt:lpstr>'Bankers Commercial'!MS_FINANCIAL</vt:lpstr>
      <vt:lpstr>'Bankers Life'!MS_FINANCIAL</vt:lpstr>
      <vt:lpstr>Benicorp!MS_FINANCIAL</vt:lpstr>
      <vt:lpstr>'Booker T Washington'!MS_FINANCIAL</vt:lpstr>
      <vt:lpstr>Centennial!MS_FINANCIAL</vt:lpstr>
      <vt:lpstr>'CO Bankers'!MS_FINANCIAL</vt:lpstr>
      <vt:lpstr>'Coastal States'!MS_FINANCIAL</vt:lpstr>
      <vt:lpstr>'Colorado Health'!MS_FINANCIAL</vt:lpstr>
      <vt:lpstr>'Compass (dbs Meritus)'!MS_FINANCIAL</vt:lpstr>
      <vt:lpstr>'Confed Life &amp; Annty (CLIAC)'!MS_FINANCIAL</vt:lpstr>
      <vt:lpstr>'Confed Life (CLIC)'!MS_FINANCIAL</vt:lpstr>
      <vt:lpstr>'Consolidated National'!MS_FINANCIAL</vt:lpstr>
      <vt:lpstr>'Consumers Choice'!MS_FINANCIAL</vt:lpstr>
      <vt:lpstr>'Consumers Mutual'!MS_FINANCIAL</vt:lpstr>
      <vt:lpstr>'Consumers United'!MS_FINANCIAL</vt:lpstr>
      <vt:lpstr>CoOportunity!MS_FINANCIAL</vt:lpstr>
      <vt:lpstr>'Coordinated Hlth'!MS_FINANCIAL</vt:lpstr>
      <vt:lpstr>'Corporate Life'!MS_FINANCIAL</vt:lpstr>
      <vt:lpstr>'Diamond Benefits'!MS_FINANCIAL</vt:lpstr>
      <vt:lpstr>'EBL Life'!MS_FINANCIAL</vt:lpstr>
      <vt:lpstr>ELNY!MS_FINANCIAL</vt:lpstr>
      <vt:lpstr>'Executive Life'!MS_FINANCIAL</vt:lpstr>
      <vt:lpstr>'Family Guaranty'!MS_FINANCIAL</vt:lpstr>
      <vt:lpstr>'Farmers &amp; Ranchers'!MS_FINANCIAL</vt:lpstr>
      <vt:lpstr>'Fidelity Bankers'!MS_FINANCIAL</vt:lpstr>
      <vt:lpstr>'Fidelity Mutual'!MS_FINANCIAL</vt:lpstr>
      <vt:lpstr>'First Capital'!MS_FINANCIAL</vt:lpstr>
      <vt:lpstr>'First Natl'!MS_FINANCIAL</vt:lpstr>
      <vt:lpstr>'First Natl (Thrnr)'!MS_FINANCIAL</vt:lpstr>
      <vt:lpstr>'Franklin American'!MS_FINANCIAL</vt:lpstr>
      <vt:lpstr>'Franklin Protective'!MS_FINANCIAL</vt:lpstr>
      <vt:lpstr>'Freelancers CO-OP'!MS_FINANCIAL</vt:lpstr>
      <vt:lpstr>Freestone!MS_FINANCIAL</vt:lpstr>
      <vt:lpstr>'George Washington'!MS_FINANCIAL</vt:lpstr>
      <vt:lpstr>'Golden State'!MS_FINANCIAL</vt:lpstr>
      <vt:lpstr>'Guarantee Security'!MS_FINANCIAL</vt:lpstr>
      <vt:lpstr>HealthyCT!MS_FINANCIAL</vt:lpstr>
      <vt:lpstr>Imerica!MS_FINANCIAL</vt:lpstr>
      <vt:lpstr>'Inter-American'!MS_FINANCIAL</vt:lpstr>
      <vt:lpstr>'International Fin'!MS_FINANCIAL</vt:lpstr>
      <vt:lpstr>'Investment Life of America'!MS_FINANCIAL</vt:lpstr>
      <vt:lpstr>'Investors Equity'!MS_FINANCIAL</vt:lpstr>
      <vt:lpstr>'Kentucky Central'!MS_FINANCIAL</vt:lpstr>
      <vt:lpstr>'Land of Lincoln'!MS_FINANCIAL</vt:lpstr>
      <vt:lpstr>Legion!MS_FINANCIAL</vt:lpstr>
      <vt:lpstr>'Life Health America'!MS_FINANCIAL</vt:lpstr>
      <vt:lpstr>'Lincoln Memorial'!MS_FINANCIAL</vt:lpstr>
      <vt:lpstr>'London Pac'!MS_FINANCIAL</vt:lpstr>
      <vt:lpstr>Lumbermens!MS_FINANCIAL</vt:lpstr>
      <vt:lpstr>'Medical Savings'!MS_FINANCIAL</vt:lpstr>
      <vt:lpstr>'Memorial Service'!MS_FINANCIAL</vt:lpstr>
      <vt:lpstr>Midcontinent!MS_FINANCIAL</vt:lpstr>
      <vt:lpstr>'Midwest Life'!MS_FINANCIAL</vt:lpstr>
      <vt:lpstr>'Monarch Life'!MS_FINANCIAL</vt:lpstr>
      <vt:lpstr>'Mutual Benefit'!MS_FINANCIAL</vt:lpstr>
      <vt:lpstr>'Mutual Security'!MS_FINANCIAL</vt:lpstr>
      <vt:lpstr>'National Affiliated'!MS_FINANCIAL</vt:lpstr>
      <vt:lpstr>'National Heritage'!MS_FINANCIAL</vt:lpstr>
      <vt:lpstr>'National States'!MS_FINANCIAL</vt:lpstr>
      <vt:lpstr>'Natl American'!MS_FINANCIAL</vt:lpstr>
      <vt:lpstr>'New Jersey Life'!MS_FINANCIAL</vt:lpstr>
      <vt:lpstr>NNIC!MS_FINANCIAL</vt:lpstr>
      <vt:lpstr>'North Carolina Mutual'!MS_FINANCIAL</vt:lpstr>
      <vt:lpstr>'Old Colony Life'!MS_FINANCIAL</vt:lpstr>
      <vt:lpstr>'Old Faithful'!MS_FINANCIAL</vt:lpstr>
      <vt:lpstr>'Pacific Standard'!MS_FINANCIAL</vt:lpstr>
      <vt:lpstr>'Pavonia Life'!MS_FINANCIAL</vt:lpstr>
      <vt:lpstr>'Pen  Treaty'!MS_FINANCIAL</vt:lpstr>
      <vt:lpstr>'Red Rock'!MS_FINANCIAL</vt:lpstr>
      <vt:lpstr>Reliance!MS_FINANCIAL</vt:lpstr>
      <vt:lpstr>SeeChange!MS_FINANCIAL</vt:lpstr>
      <vt:lpstr>'Senior American'!MS_FINANCIAL</vt:lpstr>
      <vt:lpstr>Settlers!MS_FINANCIAL</vt:lpstr>
      <vt:lpstr>Shenandoah!MS_FINANCIAL</vt:lpstr>
      <vt:lpstr>'Southland National Life'!MS_FINANCIAL</vt:lpstr>
      <vt:lpstr>'Standard Life IN'!MS_FINANCIAL</vt:lpstr>
      <vt:lpstr>'States General'!MS_FINANCIAL</vt:lpstr>
      <vt:lpstr>Statesman!MS_FINANCIAL</vt:lpstr>
      <vt:lpstr>'Summit National'!MS_FINANCIAL</vt:lpstr>
      <vt:lpstr>Supreme!MS_FINANCIAL</vt:lpstr>
      <vt:lpstr>Time!MS_FINANCIAL</vt:lpstr>
      <vt:lpstr>'Total Summary'!MS_FINANCIAL</vt:lpstr>
      <vt:lpstr>Underwriters!MS_FINANCIAL</vt:lpstr>
      <vt:lpstr>Unison!MS_FINANCIAL</vt:lpstr>
      <vt:lpstr>'United Republic'!MS_FINANCIAL</vt:lpstr>
      <vt:lpstr>'Universal Health Care'!MS_FINANCIAL</vt:lpstr>
      <vt:lpstr>'Universal Life'!MS_FINANCIAL</vt:lpstr>
      <vt:lpstr>Universe!MS_FINANCIAL</vt:lpstr>
      <vt:lpstr>Villanova!MS_FINANCIAL</vt:lpstr>
      <vt:lpstr>'Alabama Life'!MT_FINANCIAL</vt:lpstr>
      <vt:lpstr>'Amer Life Asr'!MT_FINANCIAL</vt:lpstr>
      <vt:lpstr>'Amer Std Life Acc'!MT_FINANCIAL</vt:lpstr>
      <vt:lpstr>'American Chambers'!MT_FINANCIAL</vt:lpstr>
      <vt:lpstr>'American Community'!MT_FINANCIAL</vt:lpstr>
      <vt:lpstr>'American Educators'!MT_FINANCIAL</vt:lpstr>
      <vt:lpstr>'American Integrity'!MT_FINANCIAL</vt:lpstr>
      <vt:lpstr>'American Medical'!MT_FINANCIAL</vt:lpstr>
      <vt:lpstr>'American Network'!MT_FINANCIAL</vt:lpstr>
      <vt:lpstr>AmerWstrn!MT_FINANCIAL</vt:lpstr>
      <vt:lpstr>'AMS Life'!MT_FINANCIAL</vt:lpstr>
      <vt:lpstr>'Andrew Jackson'!MT_FINANCIAL</vt:lpstr>
      <vt:lpstr>'Bankers Commercial'!MT_FINANCIAL</vt:lpstr>
      <vt:lpstr>'Bankers Life'!MT_FINANCIAL</vt:lpstr>
      <vt:lpstr>Benicorp!MT_FINANCIAL</vt:lpstr>
      <vt:lpstr>'Booker T Washington'!MT_FINANCIAL</vt:lpstr>
      <vt:lpstr>Centennial!MT_FINANCIAL</vt:lpstr>
      <vt:lpstr>'CO Bankers'!MT_FINANCIAL</vt:lpstr>
      <vt:lpstr>'Coastal States'!MT_FINANCIAL</vt:lpstr>
      <vt:lpstr>'Colorado Health'!MT_FINANCIAL</vt:lpstr>
      <vt:lpstr>'Compass (dbs Meritus)'!MT_FINANCIAL</vt:lpstr>
      <vt:lpstr>'Confed Life &amp; Annty (CLIAC)'!MT_FINANCIAL</vt:lpstr>
      <vt:lpstr>'Confed Life (CLIC)'!MT_FINANCIAL</vt:lpstr>
      <vt:lpstr>'Consolidated National'!MT_FINANCIAL</vt:lpstr>
      <vt:lpstr>'Consumers Choice'!MT_FINANCIAL</vt:lpstr>
      <vt:lpstr>'Consumers Mutual'!MT_FINANCIAL</vt:lpstr>
      <vt:lpstr>'Consumers United'!MT_FINANCIAL</vt:lpstr>
      <vt:lpstr>CoOportunity!MT_FINANCIAL</vt:lpstr>
      <vt:lpstr>'Coordinated Hlth'!MT_FINANCIAL</vt:lpstr>
      <vt:lpstr>'Corporate Life'!MT_FINANCIAL</vt:lpstr>
      <vt:lpstr>'Diamond Benefits'!MT_FINANCIAL</vt:lpstr>
      <vt:lpstr>'EBL Life'!MT_FINANCIAL</vt:lpstr>
      <vt:lpstr>ELNY!MT_FINANCIAL</vt:lpstr>
      <vt:lpstr>'Executive Life'!MT_FINANCIAL</vt:lpstr>
      <vt:lpstr>'Family Guaranty'!MT_FINANCIAL</vt:lpstr>
      <vt:lpstr>'Farmers &amp; Ranchers'!MT_FINANCIAL</vt:lpstr>
      <vt:lpstr>'Fidelity Bankers'!MT_FINANCIAL</vt:lpstr>
      <vt:lpstr>'Fidelity Mutual'!MT_FINANCIAL</vt:lpstr>
      <vt:lpstr>'First Capital'!MT_FINANCIAL</vt:lpstr>
      <vt:lpstr>'First Natl'!MT_FINANCIAL</vt:lpstr>
      <vt:lpstr>'First Natl (Thrnr)'!MT_FINANCIAL</vt:lpstr>
      <vt:lpstr>'Franklin American'!MT_FINANCIAL</vt:lpstr>
      <vt:lpstr>'Franklin Protective'!MT_FINANCIAL</vt:lpstr>
      <vt:lpstr>'Freelancers CO-OP'!MT_FINANCIAL</vt:lpstr>
      <vt:lpstr>Freestone!MT_FINANCIAL</vt:lpstr>
      <vt:lpstr>'George Washington'!MT_FINANCIAL</vt:lpstr>
      <vt:lpstr>'Golden State'!MT_FINANCIAL</vt:lpstr>
      <vt:lpstr>'Guarantee Security'!MT_FINANCIAL</vt:lpstr>
      <vt:lpstr>HealthyCT!MT_FINANCIAL</vt:lpstr>
      <vt:lpstr>Imerica!MT_FINANCIAL</vt:lpstr>
      <vt:lpstr>'Inter-American'!MT_FINANCIAL</vt:lpstr>
      <vt:lpstr>'International Fin'!MT_FINANCIAL</vt:lpstr>
      <vt:lpstr>'Investment Life of America'!MT_FINANCIAL</vt:lpstr>
      <vt:lpstr>'Investors Equity'!MT_FINANCIAL</vt:lpstr>
      <vt:lpstr>'Kentucky Central'!MT_FINANCIAL</vt:lpstr>
      <vt:lpstr>'Land of Lincoln'!MT_FINANCIAL</vt:lpstr>
      <vt:lpstr>Legion!MT_FINANCIAL</vt:lpstr>
      <vt:lpstr>'Life Health America'!MT_FINANCIAL</vt:lpstr>
      <vt:lpstr>'Lincoln Memorial'!MT_FINANCIAL</vt:lpstr>
      <vt:lpstr>'London Pac'!MT_FINANCIAL</vt:lpstr>
      <vt:lpstr>Lumbermens!MT_FINANCIAL</vt:lpstr>
      <vt:lpstr>'Medical Savings'!MT_FINANCIAL</vt:lpstr>
      <vt:lpstr>'Memorial Service'!MT_FINANCIAL</vt:lpstr>
      <vt:lpstr>Midcontinent!MT_FINANCIAL</vt:lpstr>
      <vt:lpstr>'Midwest Life'!MT_FINANCIAL</vt:lpstr>
      <vt:lpstr>'Monarch Life'!MT_FINANCIAL</vt:lpstr>
      <vt:lpstr>'Mutual Benefit'!MT_FINANCIAL</vt:lpstr>
      <vt:lpstr>'Mutual Security'!MT_FINANCIAL</vt:lpstr>
      <vt:lpstr>'National Affiliated'!MT_FINANCIAL</vt:lpstr>
      <vt:lpstr>'National Heritage'!MT_FINANCIAL</vt:lpstr>
      <vt:lpstr>'National States'!MT_FINANCIAL</vt:lpstr>
      <vt:lpstr>'Natl American'!MT_FINANCIAL</vt:lpstr>
      <vt:lpstr>'New Jersey Life'!MT_FINANCIAL</vt:lpstr>
      <vt:lpstr>NNIC!MT_FINANCIAL</vt:lpstr>
      <vt:lpstr>'North Carolina Mutual'!MT_FINANCIAL</vt:lpstr>
      <vt:lpstr>'Old Colony Life'!MT_FINANCIAL</vt:lpstr>
      <vt:lpstr>'Old Faithful'!MT_FINANCIAL</vt:lpstr>
      <vt:lpstr>'Pacific Standard'!MT_FINANCIAL</vt:lpstr>
      <vt:lpstr>'Pavonia Life'!MT_FINANCIAL</vt:lpstr>
      <vt:lpstr>'Pen  Treaty'!MT_FINANCIAL</vt:lpstr>
      <vt:lpstr>'Red Rock'!MT_FINANCIAL</vt:lpstr>
      <vt:lpstr>Reliance!MT_FINANCIAL</vt:lpstr>
      <vt:lpstr>SeeChange!MT_FINANCIAL</vt:lpstr>
      <vt:lpstr>'Senior American'!MT_FINANCIAL</vt:lpstr>
      <vt:lpstr>Settlers!MT_FINANCIAL</vt:lpstr>
      <vt:lpstr>Shenandoah!MT_FINANCIAL</vt:lpstr>
      <vt:lpstr>'Southland National Life'!MT_FINANCIAL</vt:lpstr>
      <vt:lpstr>'Standard Life IN'!MT_FINANCIAL</vt:lpstr>
      <vt:lpstr>'States General'!MT_FINANCIAL</vt:lpstr>
      <vt:lpstr>Statesman!MT_FINANCIAL</vt:lpstr>
      <vt:lpstr>'Summit National'!MT_FINANCIAL</vt:lpstr>
      <vt:lpstr>Supreme!MT_FINANCIAL</vt:lpstr>
      <vt:lpstr>Time!MT_FINANCIAL</vt:lpstr>
      <vt:lpstr>'Total Summary'!MT_FINANCIAL</vt:lpstr>
      <vt:lpstr>Underwriters!MT_FINANCIAL</vt:lpstr>
      <vt:lpstr>Unison!MT_FINANCIAL</vt:lpstr>
      <vt:lpstr>'United Republic'!MT_FINANCIAL</vt:lpstr>
      <vt:lpstr>'Universal Health Care'!MT_FINANCIAL</vt:lpstr>
      <vt:lpstr>'Universal Life'!MT_FINANCIAL</vt:lpstr>
      <vt:lpstr>Universe!MT_FINANCIAL</vt:lpstr>
      <vt:lpstr>Villanova!MT_FINANCIAL</vt:lpstr>
      <vt:lpstr>'Alabama Life'!NC_FINANCIAL</vt:lpstr>
      <vt:lpstr>'Amer Life Asr'!NC_FINANCIAL</vt:lpstr>
      <vt:lpstr>'Amer Std Life Acc'!NC_FINANCIAL</vt:lpstr>
      <vt:lpstr>'American Chambers'!NC_FINANCIAL</vt:lpstr>
      <vt:lpstr>'American Community'!NC_FINANCIAL</vt:lpstr>
      <vt:lpstr>'American Educators'!NC_FINANCIAL</vt:lpstr>
      <vt:lpstr>'American Integrity'!NC_FINANCIAL</vt:lpstr>
      <vt:lpstr>'American Medical'!NC_FINANCIAL</vt:lpstr>
      <vt:lpstr>'American Network'!NC_FINANCIAL</vt:lpstr>
      <vt:lpstr>AmerWstrn!NC_FINANCIAL</vt:lpstr>
      <vt:lpstr>'AMS Life'!NC_FINANCIAL</vt:lpstr>
      <vt:lpstr>'Andrew Jackson'!NC_FINANCIAL</vt:lpstr>
      <vt:lpstr>'Bankers Commercial'!NC_FINANCIAL</vt:lpstr>
      <vt:lpstr>'Bankers Life'!NC_FINANCIAL</vt:lpstr>
      <vt:lpstr>Benicorp!NC_FINANCIAL</vt:lpstr>
      <vt:lpstr>'Booker T Washington'!NC_FINANCIAL</vt:lpstr>
      <vt:lpstr>Centennial!NC_FINANCIAL</vt:lpstr>
      <vt:lpstr>'CO Bankers'!NC_FINANCIAL</vt:lpstr>
      <vt:lpstr>'Coastal States'!NC_FINANCIAL</vt:lpstr>
      <vt:lpstr>'Colorado Health'!NC_FINANCIAL</vt:lpstr>
      <vt:lpstr>'Compass (dbs Meritus)'!NC_FINANCIAL</vt:lpstr>
      <vt:lpstr>'Confed Life &amp; Annty (CLIAC)'!NC_FINANCIAL</vt:lpstr>
      <vt:lpstr>'Confed Life (CLIC)'!NC_FINANCIAL</vt:lpstr>
      <vt:lpstr>'Consolidated National'!NC_FINANCIAL</vt:lpstr>
      <vt:lpstr>'Consumers Choice'!NC_FINANCIAL</vt:lpstr>
      <vt:lpstr>'Consumers Mutual'!NC_FINANCIAL</vt:lpstr>
      <vt:lpstr>'Consumers United'!NC_FINANCIAL</vt:lpstr>
      <vt:lpstr>CoOportunity!NC_FINANCIAL</vt:lpstr>
      <vt:lpstr>'Coordinated Hlth'!NC_FINANCIAL</vt:lpstr>
      <vt:lpstr>'Corporate Life'!NC_FINANCIAL</vt:lpstr>
      <vt:lpstr>'Diamond Benefits'!NC_FINANCIAL</vt:lpstr>
      <vt:lpstr>'EBL Life'!NC_FINANCIAL</vt:lpstr>
      <vt:lpstr>ELNY!NC_FINANCIAL</vt:lpstr>
      <vt:lpstr>'Executive Life'!NC_FINANCIAL</vt:lpstr>
      <vt:lpstr>'Family Guaranty'!NC_FINANCIAL</vt:lpstr>
      <vt:lpstr>'Farmers &amp; Ranchers'!NC_FINANCIAL</vt:lpstr>
      <vt:lpstr>'Fidelity Bankers'!NC_FINANCIAL</vt:lpstr>
      <vt:lpstr>'Fidelity Mutual'!NC_FINANCIAL</vt:lpstr>
      <vt:lpstr>'First Capital'!NC_FINANCIAL</vt:lpstr>
      <vt:lpstr>'First Natl'!NC_FINANCIAL</vt:lpstr>
      <vt:lpstr>'First Natl (Thrnr)'!NC_FINANCIAL</vt:lpstr>
      <vt:lpstr>'Franklin American'!NC_FINANCIAL</vt:lpstr>
      <vt:lpstr>'Franklin Protective'!NC_FINANCIAL</vt:lpstr>
      <vt:lpstr>'Freelancers CO-OP'!NC_FINANCIAL</vt:lpstr>
      <vt:lpstr>Freestone!NC_FINANCIAL</vt:lpstr>
      <vt:lpstr>'George Washington'!NC_FINANCIAL</vt:lpstr>
      <vt:lpstr>'Golden State'!NC_FINANCIAL</vt:lpstr>
      <vt:lpstr>'Guarantee Security'!NC_FINANCIAL</vt:lpstr>
      <vt:lpstr>HealthyCT!NC_FINANCIAL</vt:lpstr>
      <vt:lpstr>Imerica!NC_FINANCIAL</vt:lpstr>
      <vt:lpstr>'Inter-American'!NC_FINANCIAL</vt:lpstr>
      <vt:lpstr>'International Fin'!NC_FINANCIAL</vt:lpstr>
      <vt:lpstr>'Investment Life of America'!NC_FINANCIAL</vt:lpstr>
      <vt:lpstr>'Investors Equity'!NC_FINANCIAL</vt:lpstr>
      <vt:lpstr>'Kentucky Central'!NC_FINANCIAL</vt:lpstr>
      <vt:lpstr>'Land of Lincoln'!NC_FINANCIAL</vt:lpstr>
      <vt:lpstr>Legion!NC_FINANCIAL</vt:lpstr>
      <vt:lpstr>'Life Health America'!NC_FINANCIAL</vt:lpstr>
      <vt:lpstr>'Lincoln Memorial'!NC_FINANCIAL</vt:lpstr>
      <vt:lpstr>'London Pac'!NC_FINANCIAL</vt:lpstr>
      <vt:lpstr>Lumbermens!NC_FINANCIAL</vt:lpstr>
      <vt:lpstr>'Medical Savings'!NC_FINANCIAL</vt:lpstr>
      <vt:lpstr>'Memorial Service'!NC_FINANCIAL</vt:lpstr>
      <vt:lpstr>Midcontinent!NC_FINANCIAL</vt:lpstr>
      <vt:lpstr>'Midwest Life'!NC_FINANCIAL</vt:lpstr>
      <vt:lpstr>'Monarch Life'!NC_FINANCIAL</vt:lpstr>
      <vt:lpstr>'Mutual Benefit'!NC_FINANCIAL</vt:lpstr>
      <vt:lpstr>'Mutual Security'!NC_FINANCIAL</vt:lpstr>
      <vt:lpstr>'National Affiliated'!NC_FINANCIAL</vt:lpstr>
      <vt:lpstr>'National Heritage'!NC_FINANCIAL</vt:lpstr>
      <vt:lpstr>'National States'!NC_FINANCIAL</vt:lpstr>
      <vt:lpstr>'Natl American'!NC_FINANCIAL</vt:lpstr>
      <vt:lpstr>'New Jersey Life'!NC_FINANCIAL</vt:lpstr>
      <vt:lpstr>NNIC!NC_FINANCIAL</vt:lpstr>
      <vt:lpstr>'North Carolina Mutual'!NC_FINANCIAL</vt:lpstr>
      <vt:lpstr>'Old Colony Life'!NC_FINANCIAL</vt:lpstr>
      <vt:lpstr>'Old Faithful'!NC_FINANCIAL</vt:lpstr>
      <vt:lpstr>'Pacific Standard'!NC_FINANCIAL</vt:lpstr>
      <vt:lpstr>'Pavonia Life'!NC_FINANCIAL</vt:lpstr>
      <vt:lpstr>'Pen  Treaty'!NC_FINANCIAL</vt:lpstr>
      <vt:lpstr>'Red Rock'!NC_FINANCIAL</vt:lpstr>
      <vt:lpstr>Reliance!NC_FINANCIAL</vt:lpstr>
      <vt:lpstr>SeeChange!NC_FINANCIAL</vt:lpstr>
      <vt:lpstr>'Senior American'!NC_FINANCIAL</vt:lpstr>
      <vt:lpstr>Settlers!NC_FINANCIAL</vt:lpstr>
      <vt:lpstr>Shenandoah!NC_FINANCIAL</vt:lpstr>
      <vt:lpstr>'Southland National Life'!NC_FINANCIAL</vt:lpstr>
      <vt:lpstr>'Standard Life IN'!NC_FINANCIAL</vt:lpstr>
      <vt:lpstr>'States General'!NC_FINANCIAL</vt:lpstr>
      <vt:lpstr>Statesman!NC_FINANCIAL</vt:lpstr>
      <vt:lpstr>'Summit National'!NC_FINANCIAL</vt:lpstr>
      <vt:lpstr>Supreme!NC_FINANCIAL</vt:lpstr>
      <vt:lpstr>Time!NC_FINANCIAL</vt:lpstr>
      <vt:lpstr>'Total Summary'!NC_FINANCIAL</vt:lpstr>
      <vt:lpstr>Underwriters!NC_FINANCIAL</vt:lpstr>
      <vt:lpstr>Unison!NC_FINANCIAL</vt:lpstr>
      <vt:lpstr>'United Republic'!NC_FINANCIAL</vt:lpstr>
      <vt:lpstr>'Universal Health Care'!NC_FINANCIAL</vt:lpstr>
      <vt:lpstr>'Universal Life'!NC_FINANCIAL</vt:lpstr>
      <vt:lpstr>Universe!NC_FINANCIAL</vt:lpstr>
      <vt:lpstr>Villanova!NC_FINANCIAL</vt:lpstr>
      <vt:lpstr>'Alabama Life'!ND_FINANCIAL</vt:lpstr>
      <vt:lpstr>'Amer Life Asr'!ND_FINANCIAL</vt:lpstr>
      <vt:lpstr>'Amer Std Life Acc'!ND_FINANCIAL</vt:lpstr>
      <vt:lpstr>'American Chambers'!ND_FINANCIAL</vt:lpstr>
      <vt:lpstr>'American Community'!ND_FINANCIAL</vt:lpstr>
      <vt:lpstr>'American Educators'!ND_FINANCIAL</vt:lpstr>
      <vt:lpstr>'American Integrity'!ND_FINANCIAL</vt:lpstr>
      <vt:lpstr>'American Medical'!ND_FINANCIAL</vt:lpstr>
      <vt:lpstr>'American Network'!ND_FINANCIAL</vt:lpstr>
      <vt:lpstr>AmerWstrn!ND_FINANCIAL</vt:lpstr>
      <vt:lpstr>'AMS Life'!ND_FINANCIAL</vt:lpstr>
      <vt:lpstr>'Andrew Jackson'!ND_FINANCIAL</vt:lpstr>
      <vt:lpstr>'Bankers Commercial'!ND_FINANCIAL</vt:lpstr>
      <vt:lpstr>'Bankers Life'!ND_FINANCIAL</vt:lpstr>
      <vt:lpstr>Benicorp!ND_FINANCIAL</vt:lpstr>
      <vt:lpstr>'Booker T Washington'!ND_FINANCIAL</vt:lpstr>
      <vt:lpstr>Centennial!ND_FINANCIAL</vt:lpstr>
      <vt:lpstr>'CO Bankers'!ND_FINANCIAL</vt:lpstr>
      <vt:lpstr>'Coastal States'!ND_FINANCIAL</vt:lpstr>
      <vt:lpstr>'Colorado Health'!ND_FINANCIAL</vt:lpstr>
      <vt:lpstr>'Compass (dbs Meritus)'!ND_FINANCIAL</vt:lpstr>
      <vt:lpstr>'Confed Life &amp; Annty (CLIAC)'!ND_FINANCIAL</vt:lpstr>
      <vt:lpstr>'Confed Life (CLIC)'!ND_FINANCIAL</vt:lpstr>
      <vt:lpstr>'Consolidated National'!ND_FINANCIAL</vt:lpstr>
      <vt:lpstr>'Consumers Choice'!ND_FINANCIAL</vt:lpstr>
      <vt:lpstr>'Consumers Mutual'!ND_FINANCIAL</vt:lpstr>
      <vt:lpstr>'Consumers United'!ND_FINANCIAL</vt:lpstr>
      <vt:lpstr>CoOportunity!ND_FINANCIAL</vt:lpstr>
      <vt:lpstr>'Coordinated Hlth'!ND_FINANCIAL</vt:lpstr>
      <vt:lpstr>'Corporate Life'!ND_FINANCIAL</vt:lpstr>
      <vt:lpstr>'Diamond Benefits'!ND_FINANCIAL</vt:lpstr>
      <vt:lpstr>'EBL Life'!ND_FINANCIAL</vt:lpstr>
      <vt:lpstr>ELNY!ND_FINANCIAL</vt:lpstr>
      <vt:lpstr>'Executive Life'!ND_FINANCIAL</vt:lpstr>
      <vt:lpstr>'Family Guaranty'!ND_FINANCIAL</vt:lpstr>
      <vt:lpstr>'Farmers &amp; Ranchers'!ND_FINANCIAL</vt:lpstr>
      <vt:lpstr>'Fidelity Bankers'!ND_FINANCIAL</vt:lpstr>
      <vt:lpstr>'Fidelity Mutual'!ND_FINANCIAL</vt:lpstr>
      <vt:lpstr>'First Capital'!ND_FINANCIAL</vt:lpstr>
      <vt:lpstr>'First Natl'!ND_FINANCIAL</vt:lpstr>
      <vt:lpstr>'First Natl (Thrnr)'!ND_FINANCIAL</vt:lpstr>
      <vt:lpstr>'Franklin American'!ND_FINANCIAL</vt:lpstr>
      <vt:lpstr>'Franklin Protective'!ND_FINANCIAL</vt:lpstr>
      <vt:lpstr>'Freelancers CO-OP'!ND_FINANCIAL</vt:lpstr>
      <vt:lpstr>Freestone!ND_FINANCIAL</vt:lpstr>
      <vt:lpstr>'George Washington'!ND_FINANCIAL</vt:lpstr>
      <vt:lpstr>'Golden State'!ND_FINANCIAL</vt:lpstr>
      <vt:lpstr>'Guarantee Security'!ND_FINANCIAL</vt:lpstr>
      <vt:lpstr>HealthyCT!ND_FINANCIAL</vt:lpstr>
      <vt:lpstr>Imerica!ND_FINANCIAL</vt:lpstr>
      <vt:lpstr>'Inter-American'!ND_FINANCIAL</vt:lpstr>
      <vt:lpstr>'International Fin'!ND_FINANCIAL</vt:lpstr>
      <vt:lpstr>'Investment Life of America'!ND_FINANCIAL</vt:lpstr>
      <vt:lpstr>'Investors Equity'!ND_FINANCIAL</vt:lpstr>
      <vt:lpstr>'Kentucky Central'!ND_FINANCIAL</vt:lpstr>
      <vt:lpstr>'Land of Lincoln'!ND_FINANCIAL</vt:lpstr>
      <vt:lpstr>Legion!ND_FINANCIAL</vt:lpstr>
      <vt:lpstr>'Life Health America'!ND_FINANCIAL</vt:lpstr>
      <vt:lpstr>'Lincoln Memorial'!ND_FINANCIAL</vt:lpstr>
      <vt:lpstr>'London Pac'!ND_FINANCIAL</vt:lpstr>
      <vt:lpstr>Lumbermens!ND_FINANCIAL</vt:lpstr>
      <vt:lpstr>'Medical Savings'!ND_FINANCIAL</vt:lpstr>
      <vt:lpstr>'Memorial Service'!ND_FINANCIAL</vt:lpstr>
      <vt:lpstr>Midcontinent!ND_FINANCIAL</vt:lpstr>
      <vt:lpstr>'Midwest Life'!ND_FINANCIAL</vt:lpstr>
      <vt:lpstr>'Monarch Life'!ND_FINANCIAL</vt:lpstr>
      <vt:lpstr>'Mutual Benefit'!ND_FINANCIAL</vt:lpstr>
      <vt:lpstr>'Mutual Security'!ND_FINANCIAL</vt:lpstr>
      <vt:lpstr>'National Affiliated'!ND_FINANCIAL</vt:lpstr>
      <vt:lpstr>'National Heritage'!ND_FINANCIAL</vt:lpstr>
      <vt:lpstr>'National States'!ND_FINANCIAL</vt:lpstr>
      <vt:lpstr>'Natl American'!ND_FINANCIAL</vt:lpstr>
      <vt:lpstr>'New Jersey Life'!ND_FINANCIAL</vt:lpstr>
      <vt:lpstr>NNIC!ND_FINANCIAL</vt:lpstr>
      <vt:lpstr>'North Carolina Mutual'!ND_FINANCIAL</vt:lpstr>
      <vt:lpstr>'Old Colony Life'!ND_FINANCIAL</vt:lpstr>
      <vt:lpstr>'Old Faithful'!ND_FINANCIAL</vt:lpstr>
      <vt:lpstr>'Pacific Standard'!ND_FINANCIAL</vt:lpstr>
      <vt:lpstr>'Pavonia Life'!ND_FINANCIAL</vt:lpstr>
      <vt:lpstr>'Pen  Treaty'!ND_FINANCIAL</vt:lpstr>
      <vt:lpstr>'Red Rock'!ND_FINANCIAL</vt:lpstr>
      <vt:lpstr>Reliance!ND_FINANCIAL</vt:lpstr>
      <vt:lpstr>SeeChange!ND_FINANCIAL</vt:lpstr>
      <vt:lpstr>'Senior American'!ND_FINANCIAL</vt:lpstr>
      <vt:lpstr>Settlers!ND_FINANCIAL</vt:lpstr>
      <vt:lpstr>Shenandoah!ND_FINANCIAL</vt:lpstr>
      <vt:lpstr>'Southland National Life'!ND_FINANCIAL</vt:lpstr>
      <vt:lpstr>'Standard Life IN'!ND_FINANCIAL</vt:lpstr>
      <vt:lpstr>'States General'!ND_FINANCIAL</vt:lpstr>
      <vt:lpstr>Statesman!ND_FINANCIAL</vt:lpstr>
      <vt:lpstr>'Summit National'!ND_FINANCIAL</vt:lpstr>
      <vt:lpstr>Supreme!ND_FINANCIAL</vt:lpstr>
      <vt:lpstr>Time!ND_FINANCIAL</vt:lpstr>
      <vt:lpstr>'Total Summary'!ND_FINANCIAL</vt:lpstr>
      <vt:lpstr>Underwriters!ND_FINANCIAL</vt:lpstr>
      <vt:lpstr>Unison!ND_FINANCIAL</vt:lpstr>
      <vt:lpstr>'United Republic'!ND_FINANCIAL</vt:lpstr>
      <vt:lpstr>'Universal Health Care'!ND_FINANCIAL</vt:lpstr>
      <vt:lpstr>'Universal Life'!ND_FINANCIAL</vt:lpstr>
      <vt:lpstr>Universe!ND_FINANCIAL</vt:lpstr>
      <vt:lpstr>Villanova!ND_FINANCIAL</vt:lpstr>
      <vt:lpstr>'Alabama Life'!NE_FINANCIAL</vt:lpstr>
      <vt:lpstr>'Amer Life Asr'!NE_FINANCIAL</vt:lpstr>
      <vt:lpstr>'Amer Std Life Acc'!NE_FINANCIAL</vt:lpstr>
      <vt:lpstr>'American Chambers'!NE_FINANCIAL</vt:lpstr>
      <vt:lpstr>'American Community'!NE_FINANCIAL</vt:lpstr>
      <vt:lpstr>'American Educators'!NE_FINANCIAL</vt:lpstr>
      <vt:lpstr>'American Integrity'!NE_FINANCIAL</vt:lpstr>
      <vt:lpstr>'American Medical'!NE_FINANCIAL</vt:lpstr>
      <vt:lpstr>'American Network'!NE_FINANCIAL</vt:lpstr>
      <vt:lpstr>AmerWstrn!NE_FINANCIAL</vt:lpstr>
      <vt:lpstr>'AMS Life'!NE_FINANCIAL</vt:lpstr>
      <vt:lpstr>'Andrew Jackson'!NE_FINANCIAL</vt:lpstr>
      <vt:lpstr>'Bankers Commercial'!NE_FINANCIAL</vt:lpstr>
      <vt:lpstr>'Bankers Life'!NE_FINANCIAL</vt:lpstr>
      <vt:lpstr>Benicorp!NE_FINANCIAL</vt:lpstr>
      <vt:lpstr>'Booker T Washington'!NE_FINANCIAL</vt:lpstr>
      <vt:lpstr>Centennial!NE_FINANCIAL</vt:lpstr>
      <vt:lpstr>'CO Bankers'!NE_FINANCIAL</vt:lpstr>
      <vt:lpstr>'Coastal States'!NE_FINANCIAL</vt:lpstr>
      <vt:lpstr>'Colorado Health'!NE_FINANCIAL</vt:lpstr>
      <vt:lpstr>'Compass (dbs Meritus)'!NE_FINANCIAL</vt:lpstr>
      <vt:lpstr>'Confed Life &amp; Annty (CLIAC)'!NE_FINANCIAL</vt:lpstr>
      <vt:lpstr>'Confed Life (CLIC)'!NE_FINANCIAL</vt:lpstr>
      <vt:lpstr>'Consolidated National'!NE_FINANCIAL</vt:lpstr>
      <vt:lpstr>'Consumers Choice'!NE_FINANCIAL</vt:lpstr>
      <vt:lpstr>'Consumers Mutual'!NE_FINANCIAL</vt:lpstr>
      <vt:lpstr>'Consumers United'!NE_FINANCIAL</vt:lpstr>
      <vt:lpstr>CoOportunity!NE_FINANCIAL</vt:lpstr>
      <vt:lpstr>'Coordinated Hlth'!NE_FINANCIAL</vt:lpstr>
      <vt:lpstr>'Corporate Life'!NE_FINANCIAL</vt:lpstr>
      <vt:lpstr>'Diamond Benefits'!NE_FINANCIAL</vt:lpstr>
      <vt:lpstr>'EBL Life'!NE_FINANCIAL</vt:lpstr>
      <vt:lpstr>ELNY!NE_FINANCIAL</vt:lpstr>
      <vt:lpstr>'Executive Life'!NE_FINANCIAL</vt:lpstr>
      <vt:lpstr>'Family Guaranty'!NE_FINANCIAL</vt:lpstr>
      <vt:lpstr>'Farmers &amp; Ranchers'!NE_FINANCIAL</vt:lpstr>
      <vt:lpstr>'Fidelity Bankers'!NE_FINANCIAL</vt:lpstr>
      <vt:lpstr>'Fidelity Mutual'!NE_FINANCIAL</vt:lpstr>
      <vt:lpstr>'First Capital'!NE_FINANCIAL</vt:lpstr>
      <vt:lpstr>'First Natl'!NE_FINANCIAL</vt:lpstr>
      <vt:lpstr>'First Natl (Thrnr)'!NE_FINANCIAL</vt:lpstr>
      <vt:lpstr>'Franklin American'!NE_FINANCIAL</vt:lpstr>
      <vt:lpstr>'Franklin Protective'!NE_FINANCIAL</vt:lpstr>
      <vt:lpstr>'Freelancers CO-OP'!NE_FINANCIAL</vt:lpstr>
      <vt:lpstr>Freestone!NE_FINANCIAL</vt:lpstr>
      <vt:lpstr>'George Washington'!NE_FINANCIAL</vt:lpstr>
      <vt:lpstr>'Golden State'!NE_FINANCIAL</vt:lpstr>
      <vt:lpstr>'Guarantee Security'!NE_FINANCIAL</vt:lpstr>
      <vt:lpstr>HealthyCT!NE_FINANCIAL</vt:lpstr>
      <vt:lpstr>Imerica!NE_FINANCIAL</vt:lpstr>
      <vt:lpstr>'Inter-American'!NE_FINANCIAL</vt:lpstr>
      <vt:lpstr>'International Fin'!NE_FINANCIAL</vt:lpstr>
      <vt:lpstr>'Investment Life of America'!NE_FINANCIAL</vt:lpstr>
      <vt:lpstr>'Investors Equity'!NE_FINANCIAL</vt:lpstr>
      <vt:lpstr>'Kentucky Central'!NE_FINANCIAL</vt:lpstr>
      <vt:lpstr>'Land of Lincoln'!NE_FINANCIAL</vt:lpstr>
      <vt:lpstr>Legion!NE_FINANCIAL</vt:lpstr>
      <vt:lpstr>'Life Health America'!NE_FINANCIAL</vt:lpstr>
      <vt:lpstr>'Lincoln Memorial'!NE_FINANCIAL</vt:lpstr>
      <vt:lpstr>'London Pac'!NE_FINANCIAL</vt:lpstr>
      <vt:lpstr>Lumbermens!NE_FINANCIAL</vt:lpstr>
      <vt:lpstr>'Medical Savings'!NE_FINANCIAL</vt:lpstr>
      <vt:lpstr>'Memorial Service'!NE_FINANCIAL</vt:lpstr>
      <vt:lpstr>Midcontinent!NE_FINANCIAL</vt:lpstr>
      <vt:lpstr>'Midwest Life'!NE_FINANCIAL</vt:lpstr>
      <vt:lpstr>'Monarch Life'!NE_FINANCIAL</vt:lpstr>
      <vt:lpstr>'Mutual Benefit'!NE_FINANCIAL</vt:lpstr>
      <vt:lpstr>'Mutual Security'!NE_FINANCIAL</vt:lpstr>
      <vt:lpstr>'National Affiliated'!NE_FINANCIAL</vt:lpstr>
      <vt:lpstr>'National Heritage'!NE_FINANCIAL</vt:lpstr>
      <vt:lpstr>'National States'!NE_FINANCIAL</vt:lpstr>
      <vt:lpstr>'Natl American'!NE_FINANCIAL</vt:lpstr>
      <vt:lpstr>'New Jersey Life'!NE_FINANCIAL</vt:lpstr>
      <vt:lpstr>NNIC!NE_FINANCIAL</vt:lpstr>
      <vt:lpstr>'North Carolina Mutual'!NE_FINANCIAL</vt:lpstr>
      <vt:lpstr>'Old Colony Life'!NE_FINANCIAL</vt:lpstr>
      <vt:lpstr>'Old Faithful'!NE_FINANCIAL</vt:lpstr>
      <vt:lpstr>'Pacific Standard'!NE_FINANCIAL</vt:lpstr>
      <vt:lpstr>'Pavonia Life'!NE_FINANCIAL</vt:lpstr>
      <vt:lpstr>'Pen  Treaty'!NE_FINANCIAL</vt:lpstr>
      <vt:lpstr>'Red Rock'!NE_FINANCIAL</vt:lpstr>
      <vt:lpstr>Reliance!NE_FINANCIAL</vt:lpstr>
      <vt:lpstr>SeeChange!NE_FINANCIAL</vt:lpstr>
      <vt:lpstr>'Senior American'!NE_FINANCIAL</vt:lpstr>
      <vt:lpstr>Settlers!NE_FINANCIAL</vt:lpstr>
      <vt:lpstr>Shenandoah!NE_FINANCIAL</vt:lpstr>
      <vt:lpstr>'Southland National Life'!NE_FINANCIAL</vt:lpstr>
      <vt:lpstr>'Standard Life IN'!NE_FINANCIAL</vt:lpstr>
      <vt:lpstr>'States General'!NE_FINANCIAL</vt:lpstr>
      <vt:lpstr>Statesman!NE_FINANCIAL</vt:lpstr>
      <vt:lpstr>'Summit National'!NE_FINANCIAL</vt:lpstr>
      <vt:lpstr>Supreme!NE_FINANCIAL</vt:lpstr>
      <vt:lpstr>Time!NE_FINANCIAL</vt:lpstr>
      <vt:lpstr>'Total Summary'!NE_FINANCIAL</vt:lpstr>
      <vt:lpstr>Underwriters!NE_FINANCIAL</vt:lpstr>
      <vt:lpstr>Unison!NE_FINANCIAL</vt:lpstr>
      <vt:lpstr>'United Republic'!NE_FINANCIAL</vt:lpstr>
      <vt:lpstr>'Universal Health Care'!NE_FINANCIAL</vt:lpstr>
      <vt:lpstr>'Universal Life'!NE_FINANCIAL</vt:lpstr>
      <vt:lpstr>Universe!NE_FINANCIAL</vt:lpstr>
      <vt:lpstr>Villanova!NE_FINANCIAL</vt:lpstr>
      <vt:lpstr>'Alabama Life'!NH_FINANCIAL</vt:lpstr>
      <vt:lpstr>'Amer Life Asr'!NH_FINANCIAL</vt:lpstr>
      <vt:lpstr>'Amer Std Life Acc'!NH_FINANCIAL</vt:lpstr>
      <vt:lpstr>'American Chambers'!NH_FINANCIAL</vt:lpstr>
      <vt:lpstr>'American Community'!NH_FINANCIAL</vt:lpstr>
      <vt:lpstr>'American Educators'!NH_FINANCIAL</vt:lpstr>
      <vt:lpstr>'American Integrity'!NH_FINANCIAL</vt:lpstr>
      <vt:lpstr>'American Medical'!NH_FINANCIAL</vt:lpstr>
      <vt:lpstr>'American Network'!NH_FINANCIAL</vt:lpstr>
      <vt:lpstr>AmerWstrn!NH_FINANCIAL</vt:lpstr>
      <vt:lpstr>'AMS Life'!NH_FINANCIAL</vt:lpstr>
      <vt:lpstr>'Andrew Jackson'!NH_FINANCIAL</vt:lpstr>
      <vt:lpstr>'Bankers Commercial'!NH_FINANCIAL</vt:lpstr>
      <vt:lpstr>'Bankers Life'!NH_FINANCIAL</vt:lpstr>
      <vt:lpstr>Benicorp!NH_FINANCIAL</vt:lpstr>
      <vt:lpstr>'Booker T Washington'!NH_FINANCIAL</vt:lpstr>
      <vt:lpstr>Centennial!NH_FINANCIAL</vt:lpstr>
      <vt:lpstr>'CO Bankers'!NH_FINANCIAL</vt:lpstr>
      <vt:lpstr>'Coastal States'!NH_FINANCIAL</vt:lpstr>
      <vt:lpstr>'Colorado Health'!NH_FINANCIAL</vt:lpstr>
      <vt:lpstr>'Compass (dbs Meritus)'!NH_FINANCIAL</vt:lpstr>
      <vt:lpstr>'Confed Life &amp; Annty (CLIAC)'!NH_FINANCIAL</vt:lpstr>
      <vt:lpstr>'Confed Life (CLIC)'!NH_FINANCIAL</vt:lpstr>
      <vt:lpstr>'Consolidated National'!NH_FINANCIAL</vt:lpstr>
      <vt:lpstr>'Consumers Choice'!NH_FINANCIAL</vt:lpstr>
      <vt:lpstr>'Consumers Mutual'!NH_FINANCIAL</vt:lpstr>
      <vt:lpstr>'Consumers United'!NH_FINANCIAL</vt:lpstr>
      <vt:lpstr>CoOportunity!NH_FINANCIAL</vt:lpstr>
      <vt:lpstr>'Coordinated Hlth'!NH_FINANCIAL</vt:lpstr>
      <vt:lpstr>'Corporate Life'!NH_FINANCIAL</vt:lpstr>
      <vt:lpstr>'Diamond Benefits'!NH_FINANCIAL</vt:lpstr>
      <vt:lpstr>'EBL Life'!NH_FINANCIAL</vt:lpstr>
      <vt:lpstr>ELNY!NH_FINANCIAL</vt:lpstr>
      <vt:lpstr>'Executive Life'!NH_FINANCIAL</vt:lpstr>
      <vt:lpstr>'Family Guaranty'!NH_FINANCIAL</vt:lpstr>
      <vt:lpstr>'Farmers &amp; Ranchers'!NH_FINANCIAL</vt:lpstr>
      <vt:lpstr>'Fidelity Bankers'!NH_FINANCIAL</vt:lpstr>
      <vt:lpstr>'Fidelity Mutual'!NH_FINANCIAL</vt:lpstr>
      <vt:lpstr>'First Capital'!NH_FINANCIAL</vt:lpstr>
      <vt:lpstr>'First Natl'!NH_FINANCIAL</vt:lpstr>
      <vt:lpstr>'First Natl (Thrnr)'!NH_FINANCIAL</vt:lpstr>
      <vt:lpstr>'Franklin American'!NH_FINANCIAL</vt:lpstr>
      <vt:lpstr>'Franklin Protective'!NH_FINANCIAL</vt:lpstr>
      <vt:lpstr>'Freelancers CO-OP'!NH_FINANCIAL</vt:lpstr>
      <vt:lpstr>Freestone!NH_FINANCIAL</vt:lpstr>
      <vt:lpstr>'George Washington'!NH_FINANCIAL</vt:lpstr>
      <vt:lpstr>'Golden State'!NH_FINANCIAL</vt:lpstr>
      <vt:lpstr>'Guarantee Security'!NH_FINANCIAL</vt:lpstr>
      <vt:lpstr>HealthyCT!NH_FINANCIAL</vt:lpstr>
      <vt:lpstr>Imerica!NH_FINANCIAL</vt:lpstr>
      <vt:lpstr>'Inter-American'!NH_FINANCIAL</vt:lpstr>
      <vt:lpstr>'International Fin'!NH_FINANCIAL</vt:lpstr>
      <vt:lpstr>'Investment Life of America'!NH_FINANCIAL</vt:lpstr>
      <vt:lpstr>'Investors Equity'!NH_FINANCIAL</vt:lpstr>
      <vt:lpstr>'Kentucky Central'!NH_FINANCIAL</vt:lpstr>
      <vt:lpstr>'Land of Lincoln'!NH_FINANCIAL</vt:lpstr>
      <vt:lpstr>Legion!NH_FINANCIAL</vt:lpstr>
      <vt:lpstr>'Life Health America'!NH_FINANCIAL</vt:lpstr>
      <vt:lpstr>'Lincoln Memorial'!NH_FINANCIAL</vt:lpstr>
      <vt:lpstr>'London Pac'!NH_FINANCIAL</vt:lpstr>
      <vt:lpstr>Lumbermens!NH_FINANCIAL</vt:lpstr>
      <vt:lpstr>'Medical Savings'!NH_FINANCIAL</vt:lpstr>
      <vt:lpstr>'Memorial Service'!NH_FINANCIAL</vt:lpstr>
      <vt:lpstr>Midcontinent!NH_FINANCIAL</vt:lpstr>
      <vt:lpstr>'Midwest Life'!NH_FINANCIAL</vt:lpstr>
      <vt:lpstr>'Monarch Life'!NH_FINANCIAL</vt:lpstr>
      <vt:lpstr>'Mutual Benefit'!NH_FINANCIAL</vt:lpstr>
      <vt:lpstr>'Mutual Security'!NH_FINANCIAL</vt:lpstr>
      <vt:lpstr>'National Affiliated'!NH_FINANCIAL</vt:lpstr>
      <vt:lpstr>'National Heritage'!NH_FINANCIAL</vt:lpstr>
      <vt:lpstr>'National States'!NH_FINANCIAL</vt:lpstr>
      <vt:lpstr>'Natl American'!NH_FINANCIAL</vt:lpstr>
      <vt:lpstr>'New Jersey Life'!NH_FINANCIAL</vt:lpstr>
      <vt:lpstr>NNIC!NH_FINANCIAL</vt:lpstr>
      <vt:lpstr>'North Carolina Mutual'!NH_FINANCIAL</vt:lpstr>
      <vt:lpstr>'Old Colony Life'!NH_FINANCIAL</vt:lpstr>
      <vt:lpstr>'Old Faithful'!NH_FINANCIAL</vt:lpstr>
      <vt:lpstr>'Pacific Standard'!NH_FINANCIAL</vt:lpstr>
      <vt:lpstr>'Pavonia Life'!NH_FINANCIAL</vt:lpstr>
      <vt:lpstr>'Pen  Treaty'!NH_FINANCIAL</vt:lpstr>
      <vt:lpstr>'Red Rock'!NH_FINANCIAL</vt:lpstr>
      <vt:lpstr>Reliance!NH_FINANCIAL</vt:lpstr>
      <vt:lpstr>SeeChange!NH_FINANCIAL</vt:lpstr>
      <vt:lpstr>'Senior American'!NH_FINANCIAL</vt:lpstr>
      <vt:lpstr>Settlers!NH_FINANCIAL</vt:lpstr>
      <vt:lpstr>Shenandoah!NH_FINANCIAL</vt:lpstr>
      <vt:lpstr>'Southland National Life'!NH_FINANCIAL</vt:lpstr>
      <vt:lpstr>'Standard Life IN'!NH_FINANCIAL</vt:lpstr>
      <vt:lpstr>'States General'!NH_FINANCIAL</vt:lpstr>
      <vt:lpstr>Statesman!NH_FINANCIAL</vt:lpstr>
      <vt:lpstr>'Summit National'!NH_FINANCIAL</vt:lpstr>
      <vt:lpstr>Supreme!NH_FINANCIAL</vt:lpstr>
      <vt:lpstr>Time!NH_FINANCIAL</vt:lpstr>
      <vt:lpstr>'Total Summary'!NH_FINANCIAL</vt:lpstr>
      <vt:lpstr>Underwriters!NH_FINANCIAL</vt:lpstr>
      <vt:lpstr>Unison!NH_FINANCIAL</vt:lpstr>
      <vt:lpstr>'United Republic'!NH_FINANCIAL</vt:lpstr>
      <vt:lpstr>'Universal Health Care'!NH_FINANCIAL</vt:lpstr>
      <vt:lpstr>'Universal Life'!NH_FINANCIAL</vt:lpstr>
      <vt:lpstr>Universe!NH_FINANCIAL</vt:lpstr>
      <vt:lpstr>Villanova!NH_FINANCIAL</vt:lpstr>
      <vt:lpstr>'Alabama Life'!NJ_FINANCIAL</vt:lpstr>
      <vt:lpstr>'Amer Life Asr'!NJ_FINANCIAL</vt:lpstr>
      <vt:lpstr>'Amer Std Life Acc'!NJ_FINANCIAL</vt:lpstr>
      <vt:lpstr>'American Chambers'!NJ_FINANCIAL</vt:lpstr>
      <vt:lpstr>'American Community'!NJ_FINANCIAL</vt:lpstr>
      <vt:lpstr>'American Educators'!NJ_FINANCIAL</vt:lpstr>
      <vt:lpstr>'American Integrity'!NJ_FINANCIAL</vt:lpstr>
      <vt:lpstr>'American Medical'!NJ_FINANCIAL</vt:lpstr>
      <vt:lpstr>'American Network'!NJ_FINANCIAL</vt:lpstr>
      <vt:lpstr>AmerWstrn!NJ_FINANCIAL</vt:lpstr>
      <vt:lpstr>'AMS Life'!NJ_FINANCIAL</vt:lpstr>
      <vt:lpstr>'Andrew Jackson'!NJ_FINANCIAL</vt:lpstr>
      <vt:lpstr>'Bankers Commercial'!NJ_FINANCIAL</vt:lpstr>
      <vt:lpstr>'Bankers Life'!NJ_FINANCIAL</vt:lpstr>
      <vt:lpstr>Benicorp!NJ_FINANCIAL</vt:lpstr>
      <vt:lpstr>'Booker T Washington'!NJ_FINANCIAL</vt:lpstr>
      <vt:lpstr>Centennial!NJ_FINANCIAL</vt:lpstr>
      <vt:lpstr>'CO Bankers'!NJ_FINANCIAL</vt:lpstr>
      <vt:lpstr>'Coastal States'!NJ_FINANCIAL</vt:lpstr>
      <vt:lpstr>'Colorado Health'!NJ_FINANCIAL</vt:lpstr>
      <vt:lpstr>'Compass (dbs Meritus)'!NJ_FINANCIAL</vt:lpstr>
      <vt:lpstr>'Confed Life &amp; Annty (CLIAC)'!NJ_FINANCIAL</vt:lpstr>
      <vt:lpstr>'Confed Life (CLIC)'!NJ_FINANCIAL</vt:lpstr>
      <vt:lpstr>'Consolidated National'!NJ_FINANCIAL</vt:lpstr>
      <vt:lpstr>'Consumers Choice'!NJ_FINANCIAL</vt:lpstr>
      <vt:lpstr>'Consumers Mutual'!NJ_FINANCIAL</vt:lpstr>
      <vt:lpstr>'Consumers United'!NJ_FINANCIAL</vt:lpstr>
      <vt:lpstr>CoOportunity!NJ_FINANCIAL</vt:lpstr>
      <vt:lpstr>'Coordinated Hlth'!NJ_FINANCIAL</vt:lpstr>
      <vt:lpstr>'Corporate Life'!NJ_FINANCIAL</vt:lpstr>
      <vt:lpstr>'Diamond Benefits'!NJ_FINANCIAL</vt:lpstr>
      <vt:lpstr>'EBL Life'!NJ_FINANCIAL</vt:lpstr>
      <vt:lpstr>ELNY!NJ_FINANCIAL</vt:lpstr>
      <vt:lpstr>'Executive Life'!NJ_FINANCIAL</vt:lpstr>
      <vt:lpstr>'Family Guaranty'!NJ_FINANCIAL</vt:lpstr>
      <vt:lpstr>'Farmers &amp; Ranchers'!NJ_FINANCIAL</vt:lpstr>
      <vt:lpstr>'Fidelity Bankers'!NJ_FINANCIAL</vt:lpstr>
      <vt:lpstr>'Fidelity Mutual'!NJ_FINANCIAL</vt:lpstr>
      <vt:lpstr>'First Capital'!NJ_FINANCIAL</vt:lpstr>
      <vt:lpstr>'First Natl'!NJ_FINANCIAL</vt:lpstr>
      <vt:lpstr>'First Natl (Thrnr)'!NJ_FINANCIAL</vt:lpstr>
      <vt:lpstr>'Franklin American'!NJ_FINANCIAL</vt:lpstr>
      <vt:lpstr>'Franklin Protective'!NJ_FINANCIAL</vt:lpstr>
      <vt:lpstr>'Freelancers CO-OP'!NJ_FINANCIAL</vt:lpstr>
      <vt:lpstr>Freestone!NJ_FINANCIAL</vt:lpstr>
      <vt:lpstr>'George Washington'!NJ_FINANCIAL</vt:lpstr>
      <vt:lpstr>'Golden State'!NJ_FINANCIAL</vt:lpstr>
      <vt:lpstr>'Guarantee Security'!NJ_FINANCIAL</vt:lpstr>
      <vt:lpstr>HealthyCT!NJ_FINANCIAL</vt:lpstr>
      <vt:lpstr>Imerica!NJ_FINANCIAL</vt:lpstr>
      <vt:lpstr>'Inter-American'!NJ_FINANCIAL</vt:lpstr>
      <vt:lpstr>'International Fin'!NJ_FINANCIAL</vt:lpstr>
      <vt:lpstr>'Investment Life of America'!NJ_FINANCIAL</vt:lpstr>
      <vt:lpstr>'Investors Equity'!NJ_FINANCIAL</vt:lpstr>
      <vt:lpstr>'Kentucky Central'!NJ_FINANCIAL</vt:lpstr>
      <vt:lpstr>'Land of Lincoln'!NJ_FINANCIAL</vt:lpstr>
      <vt:lpstr>Legion!NJ_FINANCIAL</vt:lpstr>
      <vt:lpstr>'Life Health America'!NJ_FINANCIAL</vt:lpstr>
      <vt:lpstr>'Lincoln Memorial'!NJ_FINANCIAL</vt:lpstr>
      <vt:lpstr>'London Pac'!NJ_FINANCIAL</vt:lpstr>
      <vt:lpstr>Lumbermens!NJ_FINANCIAL</vt:lpstr>
      <vt:lpstr>'Medical Savings'!NJ_FINANCIAL</vt:lpstr>
      <vt:lpstr>'Memorial Service'!NJ_FINANCIAL</vt:lpstr>
      <vt:lpstr>Midcontinent!NJ_FINANCIAL</vt:lpstr>
      <vt:lpstr>'Midwest Life'!NJ_FINANCIAL</vt:lpstr>
      <vt:lpstr>'Monarch Life'!NJ_FINANCIAL</vt:lpstr>
      <vt:lpstr>'Mutual Benefit'!NJ_FINANCIAL</vt:lpstr>
      <vt:lpstr>'Mutual Security'!NJ_FINANCIAL</vt:lpstr>
      <vt:lpstr>'National Affiliated'!NJ_FINANCIAL</vt:lpstr>
      <vt:lpstr>'National Heritage'!NJ_FINANCIAL</vt:lpstr>
      <vt:lpstr>'National States'!NJ_FINANCIAL</vt:lpstr>
      <vt:lpstr>'Natl American'!NJ_FINANCIAL</vt:lpstr>
      <vt:lpstr>'New Jersey Life'!NJ_FINANCIAL</vt:lpstr>
      <vt:lpstr>NNIC!NJ_FINANCIAL</vt:lpstr>
      <vt:lpstr>'North Carolina Mutual'!NJ_FINANCIAL</vt:lpstr>
      <vt:lpstr>'Old Colony Life'!NJ_FINANCIAL</vt:lpstr>
      <vt:lpstr>'Old Faithful'!NJ_FINANCIAL</vt:lpstr>
      <vt:lpstr>'Pacific Standard'!NJ_FINANCIAL</vt:lpstr>
      <vt:lpstr>'Pavonia Life'!NJ_FINANCIAL</vt:lpstr>
      <vt:lpstr>'Pen  Treaty'!NJ_FINANCIAL</vt:lpstr>
      <vt:lpstr>'Red Rock'!NJ_FINANCIAL</vt:lpstr>
      <vt:lpstr>Reliance!NJ_FINANCIAL</vt:lpstr>
      <vt:lpstr>SeeChange!NJ_FINANCIAL</vt:lpstr>
      <vt:lpstr>'Senior American'!NJ_FINANCIAL</vt:lpstr>
      <vt:lpstr>Settlers!NJ_FINANCIAL</vt:lpstr>
      <vt:lpstr>Shenandoah!NJ_FINANCIAL</vt:lpstr>
      <vt:lpstr>'Southland National Life'!NJ_FINANCIAL</vt:lpstr>
      <vt:lpstr>'Standard Life IN'!NJ_FINANCIAL</vt:lpstr>
      <vt:lpstr>'States General'!NJ_FINANCIAL</vt:lpstr>
      <vt:lpstr>Statesman!NJ_FINANCIAL</vt:lpstr>
      <vt:lpstr>'Summit National'!NJ_FINANCIAL</vt:lpstr>
      <vt:lpstr>Supreme!NJ_FINANCIAL</vt:lpstr>
      <vt:lpstr>Time!NJ_FINANCIAL</vt:lpstr>
      <vt:lpstr>'Total Summary'!NJ_FINANCIAL</vt:lpstr>
      <vt:lpstr>Underwriters!NJ_FINANCIAL</vt:lpstr>
      <vt:lpstr>Unison!NJ_FINANCIAL</vt:lpstr>
      <vt:lpstr>'United Republic'!NJ_FINANCIAL</vt:lpstr>
      <vt:lpstr>'Universal Health Care'!NJ_FINANCIAL</vt:lpstr>
      <vt:lpstr>'Universal Life'!NJ_FINANCIAL</vt:lpstr>
      <vt:lpstr>Universe!NJ_FINANCIAL</vt:lpstr>
      <vt:lpstr>Villanova!NJ_FINANCIAL</vt:lpstr>
      <vt:lpstr>'Alabama Life'!NM_FINANCIAL</vt:lpstr>
      <vt:lpstr>'Amer Life Asr'!NM_FINANCIAL</vt:lpstr>
      <vt:lpstr>'Amer Std Life Acc'!NM_FINANCIAL</vt:lpstr>
      <vt:lpstr>'American Chambers'!NM_FINANCIAL</vt:lpstr>
      <vt:lpstr>'American Community'!NM_FINANCIAL</vt:lpstr>
      <vt:lpstr>'American Educators'!NM_FINANCIAL</vt:lpstr>
      <vt:lpstr>'American Integrity'!NM_FINANCIAL</vt:lpstr>
      <vt:lpstr>'American Medical'!NM_FINANCIAL</vt:lpstr>
      <vt:lpstr>'American Network'!NM_FINANCIAL</vt:lpstr>
      <vt:lpstr>AmerWstrn!NM_FINANCIAL</vt:lpstr>
      <vt:lpstr>'AMS Life'!NM_FINANCIAL</vt:lpstr>
      <vt:lpstr>'Andrew Jackson'!NM_FINANCIAL</vt:lpstr>
      <vt:lpstr>'Bankers Commercial'!NM_FINANCIAL</vt:lpstr>
      <vt:lpstr>'Bankers Life'!NM_FINANCIAL</vt:lpstr>
      <vt:lpstr>Benicorp!NM_FINANCIAL</vt:lpstr>
      <vt:lpstr>'Booker T Washington'!NM_FINANCIAL</vt:lpstr>
      <vt:lpstr>Centennial!NM_FINANCIAL</vt:lpstr>
      <vt:lpstr>'CO Bankers'!NM_FINANCIAL</vt:lpstr>
      <vt:lpstr>'Coastal States'!NM_FINANCIAL</vt:lpstr>
      <vt:lpstr>'Colorado Health'!NM_FINANCIAL</vt:lpstr>
      <vt:lpstr>'Compass (dbs Meritus)'!NM_FINANCIAL</vt:lpstr>
      <vt:lpstr>'Confed Life &amp; Annty (CLIAC)'!NM_FINANCIAL</vt:lpstr>
      <vt:lpstr>'Confed Life (CLIC)'!NM_FINANCIAL</vt:lpstr>
      <vt:lpstr>'Consolidated National'!NM_FINANCIAL</vt:lpstr>
      <vt:lpstr>'Consumers Choice'!NM_FINANCIAL</vt:lpstr>
      <vt:lpstr>'Consumers Mutual'!NM_FINANCIAL</vt:lpstr>
      <vt:lpstr>'Consumers United'!NM_FINANCIAL</vt:lpstr>
      <vt:lpstr>CoOportunity!NM_FINANCIAL</vt:lpstr>
      <vt:lpstr>'Coordinated Hlth'!NM_FINANCIAL</vt:lpstr>
      <vt:lpstr>'Corporate Life'!NM_FINANCIAL</vt:lpstr>
      <vt:lpstr>'Diamond Benefits'!NM_FINANCIAL</vt:lpstr>
      <vt:lpstr>'EBL Life'!NM_FINANCIAL</vt:lpstr>
      <vt:lpstr>ELNY!NM_FINANCIAL</vt:lpstr>
      <vt:lpstr>'Executive Life'!NM_FINANCIAL</vt:lpstr>
      <vt:lpstr>'Family Guaranty'!NM_FINANCIAL</vt:lpstr>
      <vt:lpstr>'Farmers &amp; Ranchers'!NM_FINANCIAL</vt:lpstr>
      <vt:lpstr>'Fidelity Bankers'!NM_FINANCIAL</vt:lpstr>
      <vt:lpstr>'Fidelity Mutual'!NM_FINANCIAL</vt:lpstr>
      <vt:lpstr>'First Capital'!NM_FINANCIAL</vt:lpstr>
      <vt:lpstr>'First Natl'!NM_FINANCIAL</vt:lpstr>
      <vt:lpstr>'First Natl (Thrnr)'!NM_FINANCIAL</vt:lpstr>
      <vt:lpstr>'Franklin American'!NM_FINANCIAL</vt:lpstr>
      <vt:lpstr>'Franklin Protective'!NM_FINANCIAL</vt:lpstr>
      <vt:lpstr>'Freelancers CO-OP'!NM_FINANCIAL</vt:lpstr>
      <vt:lpstr>Freestone!NM_FINANCIAL</vt:lpstr>
      <vt:lpstr>'George Washington'!NM_FINANCIAL</vt:lpstr>
      <vt:lpstr>'Golden State'!NM_FINANCIAL</vt:lpstr>
      <vt:lpstr>'Guarantee Security'!NM_FINANCIAL</vt:lpstr>
      <vt:lpstr>HealthyCT!NM_FINANCIAL</vt:lpstr>
      <vt:lpstr>Imerica!NM_FINANCIAL</vt:lpstr>
      <vt:lpstr>'Inter-American'!NM_FINANCIAL</vt:lpstr>
      <vt:lpstr>'International Fin'!NM_FINANCIAL</vt:lpstr>
      <vt:lpstr>'Investment Life of America'!NM_FINANCIAL</vt:lpstr>
      <vt:lpstr>'Investors Equity'!NM_FINANCIAL</vt:lpstr>
      <vt:lpstr>'Kentucky Central'!NM_FINANCIAL</vt:lpstr>
      <vt:lpstr>'Land of Lincoln'!NM_FINANCIAL</vt:lpstr>
      <vt:lpstr>Legion!NM_FINANCIAL</vt:lpstr>
      <vt:lpstr>'Life Health America'!NM_FINANCIAL</vt:lpstr>
      <vt:lpstr>'Lincoln Memorial'!NM_FINANCIAL</vt:lpstr>
      <vt:lpstr>'London Pac'!NM_FINANCIAL</vt:lpstr>
      <vt:lpstr>Lumbermens!NM_FINANCIAL</vt:lpstr>
      <vt:lpstr>'Medical Savings'!NM_FINANCIAL</vt:lpstr>
      <vt:lpstr>'Memorial Service'!NM_FINANCIAL</vt:lpstr>
      <vt:lpstr>Midcontinent!NM_FINANCIAL</vt:lpstr>
      <vt:lpstr>'Midwest Life'!NM_FINANCIAL</vt:lpstr>
      <vt:lpstr>'Monarch Life'!NM_FINANCIAL</vt:lpstr>
      <vt:lpstr>'Mutual Benefit'!NM_FINANCIAL</vt:lpstr>
      <vt:lpstr>'Mutual Security'!NM_FINANCIAL</vt:lpstr>
      <vt:lpstr>'National Affiliated'!NM_FINANCIAL</vt:lpstr>
      <vt:lpstr>'National Heritage'!NM_FINANCIAL</vt:lpstr>
      <vt:lpstr>'National States'!NM_FINANCIAL</vt:lpstr>
      <vt:lpstr>'Natl American'!NM_FINANCIAL</vt:lpstr>
      <vt:lpstr>'New Jersey Life'!NM_FINANCIAL</vt:lpstr>
      <vt:lpstr>NNIC!NM_FINANCIAL</vt:lpstr>
      <vt:lpstr>'North Carolina Mutual'!NM_FINANCIAL</vt:lpstr>
      <vt:lpstr>'Old Colony Life'!NM_FINANCIAL</vt:lpstr>
      <vt:lpstr>'Old Faithful'!NM_FINANCIAL</vt:lpstr>
      <vt:lpstr>'Pacific Standard'!NM_FINANCIAL</vt:lpstr>
      <vt:lpstr>'Pavonia Life'!NM_FINANCIAL</vt:lpstr>
      <vt:lpstr>'Pen  Treaty'!NM_FINANCIAL</vt:lpstr>
      <vt:lpstr>'Red Rock'!NM_FINANCIAL</vt:lpstr>
      <vt:lpstr>Reliance!NM_FINANCIAL</vt:lpstr>
      <vt:lpstr>SeeChange!NM_FINANCIAL</vt:lpstr>
      <vt:lpstr>'Senior American'!NM_FINANCIAL</vt:lpstr>
      <vt:lpstr>Settlers!NM_FINANCIAL</vt:lpstr>
      <vt:lpstr>Shenandoah!NM_FINANCIAL</vt:lpstr>
      <vt:lpstr>'Southland National Life'!NM_FINANCIAL</vt:lpstr>
      <vt:lpstr>'Standard Life IN'!NM_FINANCIAL</vt:lpstr>
      <vt:lpstr>'States General'!NM_FINANCIAL</vt:lpstr>
      <vt:lpstr>Statesman!NM_FINANCIAL</vt:lpstr>
      <vt:lpstr>'Summit National'!NM_FINANCIAL</vt:lpstr>
      <vt:lpstr>Supreme!NM_FINANCIAL</vt:lpstr>
      <vt:lpstr>Time!NM_FINANCIAL</vt:lpstr>
      <vt:lpstr>'Total Summary'!NM_FINANCIAL</vt:lpstr>
      <vt:lpstr>Underwriters!NM_FINANCIAL</vt:lpstr>
      <vt:lpstr>Unison!NM_FINANCIAL</vt:lpstr>
      <vt:lpstr>'United Republic'!NM_FINANCIAL</vt:lpstr>
      <vt:lpstr>'Universal Health Care'!NM_FINANCIAL</vt:lpstr>
      <vt:lpstr>'Universal Life'!NM_FINANCIAL</vt:lpstr>
      <vt:lpstr>Universe!NM_FINANCIAL</vt:lpstr>
      <vt:lpstr>Villanova!NM_FINANCIAL</vt:lpstr>
      <vt:lpstr>'Alabama Life'!NV_FINANCIAL</vt:lpstr>
      <vt:lpstr>'Amer Life Asr'!NV_FINANCIAL</vt:lpstr>
      <vt:lpstr>'Amer Std Life Acc'!NV_FINANCIAL</vt:lpstr>
      <vt:lpstr>'American Chambers'!NV_FINANCIAL</vt:lpstr>
      <vt:lpstr>'American Community'!NV_FINANCIAL</vt:lpstr>
      <vt:lpstr>'American Educators'!NV_FINANCIAL</vt:lpstr>
      <vt:lpstr>'American Integrity'!NV_FINANCIAL</vt:lpstr>
      <vt:lpstr>'American Medical'!NV_FINANCIAL</vt:lpstr>
      <vt:lpstr>'American Network'!NV_FINANCIAL</vt:lpstr>
      <vt:lpstr>AmerWstrn!NV_FINANCIAL</vt:lpstr>
      <vt:lpstr>'AMS Life'!NV_FINANCIAL</vt:lpstr>
      <vt:lpstr>'Andrew Jackson'!NV_FINANCIAL</vt:lpstr>
      <vt:lpstr>'Bankers Commercial'!NV_FINANCIAL</vt:lpstr>
      <vt:lpstr>'Bankers Life'!NV_FINANCIAL</vt:lpstr>
      <vt:lpstr>Benicorp!NV_FINANCIAL</vt:lpstr>
      <vt:lpstr>'Booker T Washington'!NV_FINANCIAL</vt:lpstr>
      <vt:lpstr>Centennial!NV_FINANCIAL</vt:lpstr>
      <vt:lpstr>'CO Bankers'!NV_FINANCIAL</vt:lpstr>
      <vt:lpstr>'Coastal States'!NV_FINANCIAL</vt:lpstr>
      <vt:lpstr>'Colorado Health'!NV_FINANCIAL</vt:lpstr>
      <vt:lpstr>'Compass (dbs Meritus)'!NV_FINANCIAL</vt:lpstr>
      <vt:lpstr>'Confed Life &amp; Annty (CLIAC)'!NV_FINANCIAL</vt:lpstr>
      <vt:lpstr>'Confed Life (CLIC)'!NV_FINANCIAL</vt:lpstr>
      <vt:lpstr>'Consolidated National'!NV_FINANCIAL</vt:lpstr>
      <vt:lpstr>'Consumers Choice'!NV_FINANCIAL</vt:lpstr>
      <vt:lpstr>'Consumers Mutual'!NV_FINANCIAL</vt:lpstr>
      <vt:lpstr>'Consumers United'!NV_FINANCIAL</vt:lpstr>
      <vt:lpstr>CoOportunity!NV_FINANCIAL</vt:lpstr>
      <vt:lpstr>'Coordinated Hlth'!NV_FINANCIAL</vt:lpstr>
      <vt:lpstr>'Corporate Life'!NV_FINANCIAL</vt:lpstr>
      <vt:lpstr>'Diamond Benefits'!NV_FINANCIAL</vt:lpstr>
      <vt:lpstr>'EBL Life'!NV_FINANCIAL</vt:lpstr>
      <vt:lpstr>ELNY!NV_FINANCIAL</vt:lpstr>
      <vt:lpstr>'Executive Life'!NV_FINANCIAL</vt:lpstr>
      <vt:lpstr>'Family Guaranty'!NV_FINANCIAL</vt:lpstr>
      <vt:lpstr>'Farmers &amp; Ranchers'!NV_FINANCIAL</vt:lpstr>
      <vt:lpstr>'Fidelity Bankers'!NV_FINANCIAL</vt:lpstr>
      <vt:lpstr>'Fidelity Mutual'!NV_FINANCIAL</vt:lpstr>
      <vt:lpstr>'First Capital'!NV_FINANCIAL</vt:lpstr>
      <vt:lpstr>'First Natl'!NV_FINANCIAL</vt:lpstr>
      <vt:lpstr>'First Natl (Thrnr)'!NV_FINANCIAL</vt:lpstr>
      <vt:lpstr>'Franklin American'!NV_FINANCIAL</vt:lpstr>
      <vt:lpstr>'Franklin Protective'!NV_FINANCIAL</vt:lpstr>
      <vt:lpstr>'Freelancers CO-OP'!NV_FINANCIAL</vt:lpstr>
      <vt:lpstr>Freestone!NV_FINANCIAL</vt:lpstr>
      <vt:lpstr>'George Washington'!NV_FINANCIAL</vt:lpstr>
      <vt:lpstr>'Golden State'!NV_FINANCIAL</vt:lpstr>
      <vt:lpstr>'Guarantee Security'!NV_FINANCIAL</vt:lpstr>
      <vt:lpstr>HealthyCT!NV_FINANCIAL</vt:lpstr>
      <vt:lpstr>Imerica!NV_FINANCIAL</vt:lpstr>
      <vt:lpstr>'Inter-American'!NV_FINANCIAL</vt:lpstr>
      <vt:lpstr>'International Fin'!NV_FINANCIAL</vt:lpstr>
      <vt:lpstr>'Investment Life of America'!NV_FINANCIAL</vt:lpstr>
      <vt:lpstr>'Investors Equity'!NV_FINANCIAL</vt:lpstr>
      <vt:lpstr>'Kentucky Central'!NV_FINANCIAL</vt:lpstr>
      <vt:lpstr>'Land of Lincoln'!NV_FINANCIAL</vt:lpstr>
      <vt:lpstr>Legion!NV_FINANCIAL</vt:lpstr>
      <vt:lpstr>'Life Health America'!NV_FINANCIAL</vt:lpstr>
      <vt:lpstr>'Lincoln Memorial'!NV_FINANCIAL</vt:lpstr>
      <vt:lpstr>'London Pac'!NV_FINANCIAL</vt:lpstr>
      <vt:lpstr>Lumbermens!NV_FINANCIAL</vt:lpstr>
      <vt:lpstr>'Medical Savings'!NV_FINANCIAL</vt:lpstr>
      <vt:lpstr>'Memorial Service'!NV_FINANCIAL</vt:lpstr>
      <vt:lpstr>Midcontinent!NV_FINANCIAL</vt:lpstr>
      <vt:lpstr>'Midwest Life'!NV_FINANCIAL</vt:lpstr>
      <vt:lpstr>'Monarch Life'!NV_FINANCIAL</vt:lpstr>
      <vt:lpstr>'Mutual Benefit'!NV_FINANCIAL</vt:lpstr>
      <vt:lpstr>'Mutual Security'!NV_FINANCIAL</vt:lpstr>
      <vt:lpstr>'National Affiliated'!NV_FINANCIAL</vt:lpstr>
      <vt:lpstr>'National Heritage'!NV_FINANCIAL</vt:lpstr>
      <vt:lpstr>'National States'!NV_FINANCIAL</vt:lpstr>
      <vt:lpstr>'Natl American'!NV_FINANCIAL</vt:lpstr>
      <vt:lpstr>'New Jersey Life'!NV_FINANCIAL</vt:lpstr>
      <vt:lpstr>NNIC!NV_FINANCIAL</vt:lpstr>
      <vt:lpstr>'North Carolina Mutual'!NV_FINANCIAL</vt:lpstr>
      <vt:lpstr>'Old Colony Life'!NV_FINANCIAL</vt:lpstr>
      <vt:lpstr>'Old Faithful'!NV_FINANCIAL</vt:lpstr>
      <vt:lpstr>'Pacific Standard'!NV_FINANCIAL</vt:lpstr>
      <vt:lpstr>'Pavonia Life'!NV_FINANCIAL</vt:lpstr>
      <vt:lpstr>'Pen  Treaty'!NV_FINANCIAL</vt:lpstr>
      <vt:lpstr>'Red Rock'!NV_FINANCIAL</vt:lpstr>
      <vt:lpstr>Reliance!NV_FINANCIAL</vt:lpstr>
      <vt:lpstr>SeeChange!NV_FINANCIAL</vt:lpstr>
      <vt:lpstr>'Senior American'!NV_FINANCIAL</vt:lpstr>
      <vt:lpstr>Settlers!NV_FINANCIAL</vt:lpstr>
      <vt:lpstr>Shenandoah!NV_FINANCIAL</vt:lpstr>
      <vt:lpstr>'Southland National Life'!NV_FINANCIAL</vt:lpstr>
      <vt:lpstr>'Standard Life IN'!NV_FINANCIAL</vt:lpstr>
      <vt:lpstr>'States General'!NV_FINANCIAL</vt:lpstr>
      <vt:lpstr>Statesman!NV_FINANCIAL</vt:lpstr>
      <vt:lpstr>'Summit National'!NV_FINANCIAL</vt:lpstr>
      <vt:lpstr>Supreme!NV_FINANCIAL</vt:lpstr>
      <vt:lpstr>Time!NV_FINANCIAL</vt:lpstr>
      <vt:lpstr>'Total Summary'!NV_FINANCIAL</vt:lpstr>
      <vt:lpstr>Underwriters!NV_FINANCIAL</vt:lpstr>
      <vt:lpstr>Unison!NV_FINANCIAL</vt:lpstr>
      <vt:lpstr>'United Republic'!NV_FINANCIAL</vt:lpstr>
      <vt:lpstr>'Universal Health Care'!NV_FINANCIAL</vt:lpstr>
      <vt:lpstr>'Universal Life'!NV_FINANCIAL</vt:lpstr>
      <vt:lpstr>Universe!NV_FINANCIAL</vt:lpstr>
      <vt:lpstr>Villanova!NV_FINANCIAL</vt:lpstr>
      <vt:lpstr>'Alabama Life'!NY_FINANCIAL</vt:lpstr>
      <vt:lpstr>'Amer Life Asr'!NY_FINANCIAL</vt:lpstr>
      <vt:lpstr>'Amer Std Life Acc'!NY_FINANCIAL</vt:lpstr>
      <vt:lpstr>'American Chambers'!NY_FINANCIAL</vt:lpstr>
      <vt:lpstr>'American Community'!NY_FINANCIAL</vt:lpstr>
      <vt:lpstr>'American Educators'!NY_FINANCIAL</vt:lpstr>
      <vt:lpstr>'American Integrity'!NY_FINANCIAL</vt:lpstr>
      <vt:lpstr>'American Medical'!NY_FINANCIAL</vt:lpstr>
      <vt:lpstr>'American Network'!NY_FINANCIAL</vt:lpstr>
      <vt:lpstr>AmerWstrn!NY_FINANCIAL</vt:lpstr>
      <vt:lpstr>'AMS Life'!NY_FINANCIAL</vt:lpstr>
      <vt:lpstr>'Andrew Jackson'!NY_FINANCIAL</vt:lpstr>
      <vt:lpstr>'Bankers Commercial'!NY_FINANCIAL</vt:lpstr>
      <vt:lpstr>'Bankers Life'!NY_FINANCIAL</vt:lpstr>
      <vt:lpstr>Benicorp!NY_FINANCIAL</vt:lpstr>
      <vt:lpstr>'Booker T Washington'!NY_FINANCIAL</vt:lpstr>
      <vt:lpstr>Centennial!NY_FINANCIAL</vt:lpstr>
      <vt:lpstr>'CO Bankers'!NY_FINANCIAL</vt:lpstr>
      <vt:lpstr>'Coastal States'!NY_FINANCIAL</vt:lpstr>
      <vt:lpstr>'Colorado Health'!NY_FINANCIAL</vt:lpstr>
      <vt:lpstr>'Compass (dbs Meritus)'!NY_FINANCIAL</vt:lpstr>
      <vt:lpstr>'Confed Life &amp; Annty (CLIAC)'!NY_FINANCIAL</vt:lpstr>
      <vt:lpstr>'Confed Life (CLIC)'!NY_FINANCIAL</vt:lpstr>
      <vt:lpstr>'Consolidated National'!NY_FINANCIAL</vt:lpstr>
      <vt:lpstr>'Consumers Choice'!NY_FINANCIAL</vt:lpstr>
      <vt:lpstr>'Consumers Mutual'!NY_FINANCIAL</vt:lpstr>
      <vt:lpstr>'Consumers United'!NY_FINANCIAL</vt:lpstr>
      <vt:lpstr>CoOportunity!NY_FINANCIAL</vt:lpstr>
      <vt:lpstr>'Coordinated Hlth'!NY_FINANCIAL</vt:lpstr>
      <vt:lpstr>'Corporate Life'!NY_FINANCIAL</vt:lpstr>
      <vt:lpstr>'Diamond Benefits'!NY_FINANCIAL</vt:lpstr>
      <vt:lpstr>'EBL Life'!NY_FINANCIAL</vt:lpstr>
      <vt:lpstr>ELNY!NY_FINANCIAL</vt:lpstr>
      <vt:lpstr>'Executive Life'!NY_FINANCIAL</vt:lpstr>
      <vt:lpstr>'Family Guaranty'!NY_FINANCIAL</vt:lpstr>
      <vt:lpstr>'Farmers &amp; Ranchers'!NY_FINANCIAL</vt:lpstr>
      <vt:lpstr>'Fidelity Bankers'!NY_FINANCIAL</vt:lpstr>
      <vt:lpstr>'Fidelity Mutual'!NY_FINANCIAL</vt:lpstr>
      <vt:lpstr>'First Capital'!NY_FINANCIAL</vt:lpstr>
      <vt:lpstr>'First Natl'!NY_FINANCIAL</vt:lpstr>
      <vt:lpstr>'First Natl (Thrnr)'!NY_FINANCIAL</vt:lpstr>
      <vt:lpstr>'Franklin American'!NY_FINANCIAL</vt:lpstr>
      <vt:lpstr>'Franklin Protective'!NY_FINANCIAL</vt:lpstr>
      <vt:lpstr>'Freelancers CO-OP'!NY_FINANCIAL</vt:lpstr>
      <vt:lpstr>Freestone!NY_FINANCIAL</vt:lpstr>
      <vt:lpstr>'George Washington'!NY_FINANCIAL</vt:lpstr>
      <vt:lpstr>'Golden State'!NY_FINANCIAL</vt:lpstr>
      <vt:lpstr>'Guarantee Security'!NY_FINANCIAL</vt:lpstr>
      <vt:lpstr>HealthyCT!NY_FINANCIAL</vt:lpstr>
      <vt:lpstr>Imerica!NY_FINANCIAL</vt:lpstr>
      <vt:lpstr>'Inter-American'!NY_FINANCIAL</vt:lpstr>
      <vt:lpstr>'International Fin'!NY_FINANCIAL</vt:lpstr>
      <vt:lpstr>'Investment Life of America'!NY_FINANCIAL</vt:lpstr>
      <vt:lpstr>'Investors Equity'!NY_FINANCIAL</vt:lpstr>
      <vt:lpstr>'Kentucky Central'!NY_FINANCIAL</vt:lpstr>
      <vt:lpstr>'Land of Lincoln'!NY_FINANCIAL</vt:lpstr>
      <vt:lpstr>Legion!NY_FINANCIAL</vt:lpstr>
      <vt:lpstr>'Life Health America'!NY_FINANCIAL</vt:lpstr>
      <vt:lpstr>'Lincoln Memorial'!NY_FINANCIAL</vt:lpstr>
      <vt:lpstr>'London Pac'!NY_FINANCIAL</vt:lpstr>
      <vt:lpstr>Lumbermens!NY_FINANCIAL</vt:lpstr>
      <vt:lpstr>'Medical Savings'!NY_FINANCIAL</vt:lpstr>
      <vt:lpstr>'Memorial Service'!NY_FINANCIAL</vt:lpstr>
      <vt:lpstr>Midcontinent!NY_FINANCIAL</vt:lpstr>
      <vt:lpstr>'Midwest Life'!NY_FINANCIAL</vt:lpstr>
      <vt:lpstr>'Monarch Life'!NY_FINANCIAL</vt:lpstr>
      <vt:lpstr>'Mutual Benefit'!NY_FINANCIAL</vt:lpstr>
      <vt:lpstr>'Mutual Security'!NY_FINANCIAL</vt:lpstr>
      <vt:lpstr>'National Affiliated'!NY_FINANCIAL</vt:lpstr>
      <vt:lpstr>'National Heritage'!NY_FINANCIAL</vt:lpstr>
      <vt:lpstr>'National States'!NY_FINANCIAL</vt:lpstr>
      <vt:lpstr>'Natl American'!NY_FINANCIAL</vt:lpstr>
      <vt:lpstr>'New Jersey Life'!NY_FINANCIAL</vt:lpstr>
      <vt:lpstr>NNIC!NY_FINANCIAL</vt:lpstr>
      <vt:lpstr>'North Carolina Mutual'!NY_FINANCIAL</vt:lpstr>
      <vt:lpstr>'Old Colony Life'!NY_FINANCIAL</vt:lpstr>
      <vt:lpstr>'Old Faithful'!NY_FINANCIAL</vt:lpstr>
      <vt:lpstr>'Pacific Standard'!NY_FINANCIAL</vt:lpstr>
      <vt:lpstr>'Pavonia Life'!NY_FINANCIAL</vt:lpstr>
      <vt:lpstr>'Pen  Treaty'!NY_FINANCIAL</vt:lpstr>
      <vt:lpstr>'Red Rock'!NY_FINANCIAL</vt:lpstr>
      <vt:lpstr>Reliance!NY_FINANCIAL</vt:lpstr>
      <vt:lpstr>SeeChange!NY_FINANCIAL</vt:lpstr>
      <vt:lpstr>'Senior American'!NY_FINANCIAL</vt:lpstr>
      <vt:lpstr>Settlers!NY_FINANCIAL</vt:lpstr>
      <vt:lpstr>Shenandoah!NY_FINANCIAL</vt:lpstr>
      <vt:lpstr>'Southland National Life'!NY_FINANCIAL</vt:lpstr>
      <vt:lpstr>'Standard Life IN'!NY_FINANCIAL</vt:lpstr>
      <vt:lpstr>'States General'!NY_FINANCIAL</vt:lpstr>
      <vt:lpstr>Statesman!NY_FINANCIAL</vt:lpstr>
      <vt:lpstr>'Summit National'!NY_FINANCIAL</vt:lpstr>
      <vt:lpstr>Supreme!NY_FINANCIAL</vt:lpstr>
      <vt:lpstr>Time!NY_FINANCIAL</vt:lpstr>
      <vt:lpstr>'Total Summary'!NY_FINANCIAL</vt:lpstr>
      <vt:lpstr>Underwriters!NY_FINANCIAL</vt:lpstr>
      <vt:lpstr>Unison!NY_FINANCIAL</vt:lpstr>
      <vt:lpstr>'United Republic'!NY_FINANCIAL</vt:lpstr>
      <vt:lpstr>'Universal Health Care'!NY_FINANCIAL</vt:lpstr>
      <vt:lpstr>'Universal Life'!NY_FINANCIAL</vt:lpstr>
      <vt:lpstr>Universe!NY_FINANCIAL</vt:lpstr>
      <vt:lpstr>Villanova!NY_FINANCIAL</vt:lpstr>
      <vt:lpstr>'Alabama Life'!OH_FINANCIAL</vt:lpstr>
      <vt:lpstr>'Amer Life Asr'!OH_FINANCIAL</vt:lpstr>
      <vt:lpstr>'Amer Std Life Acc'!OH_FINANCIAL</vt:lpstr>
      <vt:lpstr>'American Chambers'!OH_FINANCIAL</vt:lpstr>
      <vt:lpstr>'American Community'!OH_FINANCIAL</vt:lpstr>
      <vt:lpstr>'American Educators'!OH_FINANCIAL</vt:lpstr>
      <vt:lpstr>'American Integrity'!OH_FINANCIAL</vt:lpstr>
      <vt:lpstr>'American Medical'!OH_FINANCIAL</vt:lpstr>
      <vt:lpstr>'American Network'!OH_FINANCIAL</vt:lpstr>
      <vt:lpstr>AmerWstrn!OH_FINANCIAL</vt:lpstr>
      <vt:lpstr>'AMS Life'!OH_FINANCIAL</vt:lpstr>
      <vt:lpstr>'Andrew Jackson'!OH_FINANCIAL</vt:lpstr>
      <vt:lpstr>'Bankers Commercial'!OH_FINANCIAL</vt:lpstr>
      <vt:lpstr>'Bankers Life'!OH_FINANCIAL</vt:lpstr>
      <vt:lpstr>Benicorp!OH_FINANCIAL</vt:lpstr>
      <vt:lpstr>'Booker T Washington'!OH_FINANCIAL</vt:lpstr>
      <vt:lpstr>Centennial!OH_FINANCIAL</vt:lpstr>
      <vt:lpstr>'CO Bankers'!OH_FINANCIAL</vt:lpstr>
      <vt:lpstr>'Coastal States'!OH_FINANCIAL</vt:lpstr>
      <vt:lpstr>'Colorado Health'!OH_FINANCIAL</vt:lpstr>
      <vt:lpstr>'Compass (dbs Meritus)'!OH_FINANCIAL</vt:lpstr>
      <vt:lpstr>'Confed Life &amp; Annty (CLIAC)'!OH_FINANCIAL</vt:lpstr>
      <vt:lpstr>'Confed Life (CLIC)'!OH_FINANCIAL</vt:lpstr>
      <vt:lpstr>'Consolidated National'!OH_FINANCIAL</vt:lpstr>
      <vt:lpstr>'Consumers Choice'!OH_FINANCIAL</vt:lpstr>
      <vt:lpstr>'Consumers Mutual'!OH_FINANCIAL</vt:lpstr>
      <vt:lpstr>'Consumers United'!OH_FINANCIAL</vt:lpstr>
      <vt:lpstr>CoOportunity!OH_FINANCIAL</vt:lpstr>
      <vt:lpstr>'Coordinated Hlth'!OH_FINANCIAL</vt:lpstr>
      <vt:lpstr>'Corporate Life'!OH_FINANCIAL</vt:lpstr>
      <vt:lpstr>'Diamond Benefits'!OH_FINANCIAL</vt:lpstr>
      <vt:lpstr>'EBL Life'!OH_FINANCIAL</vt:lpstr>
      <vt:lpstr>ELNY!OH_FINANCIAL</vt:lpstr>
      <vt:lpstr>'Executive Life'!OH_FINANCIAL</vt:lpstr>
      <vt:lpstr>'Family Guaranty'!OH_FINANCIAL</vt:lpstr>
      <vt:lpstr>'Farmers &amp; Ranchers'!OH_FINANCIAL</vt:lpstr>
      <vt:lpstr>'Fidelity Bankers'!OH_FINANCIAL</vt:lpstr>
      <vt:lpstr>'Fidelity Mutual'!OH_FINANCIAL</vt:lpstr>
      <vt:lpstr>'First Capital'!OH_FINANCIAL</vt:lpstr>
      <vt:lpstr>'First Natl'!OH_FINANCIAL</vt:lpstr>
      <vt:lpstr>'First Natl (Thrnr)'!OH_FINANCIAL</vt:lpstr>
      <vt:lpstr>'Franklin American'!OH_FINANCIAL</vt:lpstr>
      <vt:lpstr>'Franklin Protective'!OH_FINANCIAL</vt:lpstr>
      <vt:lpstr>'Freelancers CO-OP'!OH_FINANCIAL</vt:lpstr>
      <vt:lpstr>Freestone!OH_FINANCIAL</vt:lpstr>
      <vt:lpstr>'George Washington'!OH_FINANCIAL</vt:lpstr>
      <vt:lpstr>'Golden State'!OH_FINANCIAL</vt:lpstr>
      <vt:lpstr>'Guarantee Security'!OH_FINANCIAL</vt:lpstr>
      <vt:lpstr>HealthyCT!OH_FINANCIAL</vt:lpstr>
      <vt:lpstr>Imerica!OH_FINANCIAL</vt:lpstr>
      <vt:lpstr>'Inter-American'!OH_FINANCIAL</vt:lpstr>
      <vt:lpstr>'International Fin'!OH_FINANCIAL</vt:lpstr>
      <vt:lpstr>'Investment Life of America'!OH_FINANCIAL</vt:lpstr>
      <vt:lpstr>'Investors Equity'!OH_FINANCIAL</vt:lpstr>
      <vt:lpstr>'Kentucky Central'!OH_FINANCIAL</vt:lpstr>
      <vt:lpstr>'Land of Lincoln'!OH_FINANCIAL</vt:lpstr>
      <vt:lpstr>Legion!OH_FINANCIAL</vt:lpstr>
      <vt:lpstr>'Life Health America'!OH_FINANCIAL</vt:lpstr>
      <vt:lpstr>'Lincoln Memorial'!OH_FINANCIAL</vt:lpstr>
      <vt:lpstr>'London Pac'!OH_FINANCIAL</vt:lpstr>
      <vt:lpstr>Lumbermens!OH_FINANCIAL</vt:lpstr>
      <vt:lpstr>'Medical Savings'!OH_FINANCIAL</vt:lpstr>
      <vt:lpstr>'Memorial Service'!OH_FINANCIAL</vt:lpstr>
      <vt:lpstr>Midcontinent!OH_FINANCIAL</vt:lpstr>
      <vt:lpstr>'Midwest Life'!OH_FINANCIAL</vt:lpstr>
      <vt:lpstr>'Monarch Life'!OH_FINANCIAL</vt:lpstr>
      <vt:lpstr>'Mutual Benefit'!OH_FINANCIAL</vt:lpstr>
      <vt:lpstr>'Mutual Security'!OH_FINANCIAL</vt:lpstr>
      <vt:lpstr>'National Affiliated'!OH_FINANCIAL</vt:lpstr>
      <vt:lpstr>'National Heritage'!OH_FINANCIAL</vt:lpstr>
      <vt:lpstr>'National States'!OH_FINANCIAL</vt:lpstr>
      <vt:lpstr>'Natl American'!OH_FINANCIAL</vt:lpstr>
      <vt:lpstr>'New Jersey Life'!OH_FINANCIAL</vt:lpstr>
      <vt:lpstr>NNIC!OH_FINANCIAL</vt:lpstr>
      <vt:lpstr>'North Carolina Mutual'!OH_FINANCIAL</vt:lpstr>
      <vt:lpstr>'Old Colony Life'!OH_FINANCIAL</vt:lpstr>
      <vt:lpstr>'Old Faithful'!OH_FINANCIAL</vt:lpstr>
      <vt:lpstr>'Pacific Standard'!OH_FINANCIAL</vt:lpstr>
      <vt:lpstr>'Pavonia Life'!OH_FINANCIAL</vt:lpstr>
      <vt:lpstr>'Pen  Treaty'!OH_FINANCIAL</vt:lpstr>
      <vt:lpstr>'Red Rock'!OH_FINANCIAL</vt:lpstr>
      <vt:lpstr>Reliance!OH_FINANCIAL</vt:lpstr>
      <vt:lpstr>SeeChange!OH_FINANCIAL</vt:lpstr>
      <vt:lpstr>'Senior American'!OH_FINANCIAL</vt:lpstr>
      <vt:lpstr>Settlers!OH_FINANCIAL</vt:lpstr>
      <vt:lpstr>Shenandoah!OH_FINANCIAL</vt:lpstr>
      <vt:lpstr>'Southland National Life'!OH_FINANCIAL</vt:lpstr>
      <vt:lpstr>'Standard Life IN'!OH_FINANCIAL</vt:lpstr>
      <vt:lpstr>'States General'!OH_FINANCIAL</vt:lpstr>
      <vt:lpstr>Statesman!OH_FINANCIAL</vt:lpstr>
      <vt:lpstr>'Summit National'!OH_FINANCIAL</vt:lpstr>
      <vt:lpstr>Supreme!OH_FINANCIAL</vt:lpstr>
      <vt:lpstr>Time!OH_FINANCIAL</vt:lpstr>
      <vt:lpstr>'Total Summary'!OH_FINANCIAL</vt:lpstr>
      <vt:lpstr>Underwriters!OH_FINANCIAL</vt:lpstr>
      <vt:lpstr>Unison!OH_FINANCIAL</vt:lpstr>
      <vt:lpstr>'United Republic'!OH_FINANCIAL</vt:lpstr>
      <vt:lpstr>'Universal Health Care'!OH_FINANCIAL</vt:lpstr>
      <vt:lpstr>'Universal Life'!OH_FINANCIAL</vt:lpstr>
      <vt:lpstr>Universe!OH_FINANCIAL</vt:lpstr>
      <vt:lpstr>Villanova!OH_FINANCIAL</vt:lpstr>
      <vt:lpstr>'Alabama Life'!OK_FINANCIAL</vt:lpstr>
      <vt:lpstr>'Amer Life Asr'!OK_FINANCIAL</vt:lpstr>
      <vt:lpstr>'Amer Std Life Acc'!OK_FINANCIAL</vt:lpstr>
      <vt:lpstr>'American Chambers'!OK_FINANCIAL</vt:lpstr>
      <vt:lpstr>'American Community'!OK_FINANCIAL</vt:lpstr>
      <vt:lpstr>'American Educators'!OK_FINANCIAL</vt:lpstr>
      <vt:lpstr>'American Integrity'!OK_FINANCIAL</vt:lpstr>
      <vt:lpstr>'American Medical'!OK_FINANCIAL</vt:lpstr>
      <vt:lpstr>'American Network'!OK_FINANCIAL</vt:lpstr>
      <vt:lpstr>AmerWstrn!OK_FINANCIAL</vt:lpstr>
      <vt:lpstr>'AMS Life'!OK_FINANCIAL</vt:lpstr>
      <vt:lpstr>'Andrew Jackson'!OK_FINANCIAL</vt:lpstr>
      <vt:lpstr>'Bankers Commercial'!OK_FINANCIAL</vt:lpstr>
      <vt:lpstr>'Bankers Life'!OK_FINANCIAL</vt:lpstr>
      <vt:lpstr>Benicorp!OK_FINANCIAL</vt:lpstr>
      <vt:lpstr>'Booker T Washington'!OK_FINANCIAL</vt:lpstr>
      <vt:lpstr>Centennial!OK_FINANCIAL</vt:lpstr>
      <vt:lpstr>'CO Bankers'!OK_FINANCIAL</vt:lpstr>
      <vt:lpstr>'Coastal States'!OK_FINANCIAL</vt:lpstr>
      <vt:lpstr>'Colorado Health'!OK_FINANCIAL</vt:lpstr>
      <vt:lpstr>'Compass (dbs Meritus)'!OK_FINANCIAL</vt:lpstr>
      <vt:lpstr>'Confed Life &amp; Annty (CLIAC)'!OK_FINANCIAL</vt:lpstr>
      <vt:lpstr>'Confed Life (CLIC)'!OK_FINANCIAL</vt:lpstr>
      <vt:lpstr>'Consolidated National'!OK_FINANCIAL</vt:lpstr>
      <vt:lpstr>'Consumers Choice'!OK_FINANCIAL</vt:lpstr>
      <vt:lpstr>'Consumers Mutual'!OK_FINANCIAL</vt:lpstr>
      <vt:lpstr>'Consumers United'!OK_FINANCIAL</vt:lpstr>
      <vt:lpstr>CoOportunity!OK_FINANCIAL</vt:lpstr>
      <vt:lpstr>'Coordinated Hlth'!OK_FINANCIAL</vt:lpstr>
      <vt:lpstr>'Corporate Life'!OK_FINANCIAL</vt:lpstr>
      <vt:lpstr>'Diamond Benefits'!OK_FINANCIAL</vt:lpstr>
      <vt:lpstr>'EBL Life'!OK_FINANCIAL</vt:lpstr>
      <vt:lpstr>ELNY!OK_FINANCIAL</vt:lpstr>
      <vt:lpstr>'Executive Life'!OK_FINANCIAL</vt:lpstr>
      <vt:lpstr>'Family Guaranty'!OK_FINANCIAL</vt:lpstr>
      <vt:lpstr>'Farmers &amp; Ranchers'!OK_FINANCIAL</vt:lpstr>
      <vt:lpstr>'Fidelity Bankers'!OK_FINANCIAL</vt:lpstr>
      <vt:lpstr>'Fidelity Mutual'!OK_FINANCIAL</vt:lpstr>
      <vt:lpstr>'First Capital'!OK_FINANCIAL</vt:lpstr>
      <vt:lpstr>'First Natl'!OK_FINANCIAL</vt:lpstr>
      <vt:lpstr>'First Natl (Thrnr)'!OK_FINANCIAL</vt:lpstr>
      <vt:lpstr>'Franklin American'!OK_FINANCIAL</vt:lpstr>
      <vt:lpstr>'Franklin Protective'!OK_FINANCIAL</vt:lpstr>
      <vt:lpstr>'Freelancers CO-OP'!OK_FINANCIAL</vt:lpstr>
      <vt:lpstr>Freestone!OK_FINANCIAL</vt:lpstr>
      <vt:lpstr>'George Washington'!OK_FINANCIAL</vt:lpstr>
      <vt:lpstr>'Golden State'!OK_FINANCIAL</vt:lpstr>
      <vt:lpstr>'Guarantee Security'!OK_FINANCIAL</vt:lpstr>
      <vt:lpstr>HealthyCT!OK_FINANCIAL</vt:lpstr>
      <vt:lpstr>Imerica!OK_FINANCIAL</vt:lpstr>
      <vt:lpstr>'Inter-American'!OK_FINANCIAL</vt:lpstr>
      <vt:lpstr>'International Fin'!OK_FINANCIAL</vt:lpstr>
      <vt:lpstr>'Investment Life of America'!OK_FINANCIAL</vt:lpstr>
      <vt:lpstr>'Investors Equity'!OK_FINANCIAL</vt:lpstr>
      <vt:lpstr>'Kentucky Central'!OK_FINANCIAL</vt:lpstr>
      <vt:lpstr>'Land of Lincoln'!OK_FINANCIAL</vt:lpstr>
      <vt:lpstr>Legion!OK_FINANCIAL</vt:lpstr>
      <vt:lpstr>'Life Health America'!OK_FINANCIAL</vt:lpstr>
      <vt:lpstr>'Lincoln Memorial'!OK_FINANCIAL</vt:lpstr>
      <vt:lpstr>'London Pac'!OK_FINANCIAL</vt:lpstr>
      <vt:lpstr>Lumbermens!OK_FINANCIAL</vt:lpstr>
      <vt:lpstr>'Medical Savings'!OK_FINANCIAL</vt:lpstr>
      <vt:lpstr>'Memorial Service'!OK_FINANCIAL</vt:lpstr>
      <vt:lpstr>Midcontinent!OK_FINANCIAL</vt:lpstr>
      <vt:lpstr>'Midwest Life'!OK_FINANCIAL</vt:lpstr>
      <vt:lpstr>'Monarch Life'!OK_FINANCIAL</vt:lpstr>
      <vt:lpstr>'Mutual Benefit'!OK_FINANCIAL</vt:lpstr>
      <vt:lpstr>'Mutual Security'!OK_FINANCIAL</vt:lpstr>
      <vt:lpstr>'National Affiliated'!OK_FINANCIAL</vt:lpstr>
      <vt:lpstr>'National Heritage'!OK_FINANCIAL</vt:lpstr>
      <vt:lpstr>'National States'!OK_FINANCIAL</vt:lpstr>
      <vt:lpstr>'Natl American'!OK_FINANCIAL</vt:lpstr>
      <vt:lpstr>'New Jersey Life'!OK_FINANCIAL</vt:lpstr>
      <vt:lpstr>NNIC!OK_FINANCIAL</vt:lpstr>
      <vt:lpstr>'North Carolina Mutual'!OK_FINANCIAL</vt:lpstr>
      <vt:lpstr>'Old Colony Life'!OK_FINANCIAL</vt:lpstr>
      <vt:lpstr>'Old Faithful'!OK_FINANCIAL</vt:lpstr>
      <vt:lpstr>'Pacific Standard'!OK_FINANCIAL</vt:lpstr>
      <vt:lpstr>'Pavonia Life'!OK_FINANCIAL</vt:lpstr>
      <vt:lpstr>'Pen  Treaty'!OK_FINANCIAL</vt:lpstr>
      <vt:lpstr>'Red Rock'!OK_FINANCIAL</vt:lpstr>
      <vt:lpstr>Reliance!OK_FINANCIAL</vt:lpstr>
      <vt:lpstr>SeeChange!OK_FINANCIAL</vt:lpstr>
      <vt:lpstr>'Senior American'!OK_FINANCIAL</vt:lpstr>
      <vt:lpstr>Settlers!OK_FINANCIAL</vt:lpstr>
      <vt:lpstr>Shenandoah!OK_FINANCIAL</vt:lpstr>
      <vt:lpstr>'Southland National Life'!OK_FINANCIAL</vt:lpstr>
      <vt:lpstr>'Standard Life IN'!OK_FINANCIAL</vt:lpstr>
      <vt:lpstr>'States General'!OK_FINANCIAL</vt:lpstr>
      <vt:lpstr>Statesman!OK_FINANCIAL</vt:lpstr>
      <vt:lpstr>'Summit National'!OK_FINANCIAL</vt:lpstr>
      <vt:lpstr>Supreme!OK_FINANCIAL</vt:lpstr>
      <vt:lpstr>Time!OK_FINANCIAL</vt:lpstr>
      <vt:lpstr>'Total Summary'!OK_FINANCIAL</vt:lpstr>
      <vt:lpstr>Underwriters!OK_FINANCIAL</vt:lpstr>
      <vt:lpstr>Unison!OK_FINANCIAL</vt:lpstr>
      <vt:lpstr>'United Republic'!OK_FINANCIAL</vt:lpstr>
      <vt:lpstr>'Universal Health Care'!OK_FINANCIAL</vt:lpstr>
      <vt:lpstr>'Universal Life'!OK_FINANCIAL</vt:lpstr>
      <vt:lpstr>Universe!OK_FINANCIAL</vt:lpstr>
      <vt:lpstr>Villanova!OK_FINANCIAL</vt:lpstr>
      <vt:lpstr>Summary!OP_ALLOC_CALLED</vt:lpstr>
      <vt:lpstr>Summary!OP_ALLOC_REFUNDED</vt:lpstr>
      <vt:lpstr>Summary!OP_ALLOCATED</vt:lpstr>
      <vt:lpstr>Summary!OP_CHANGE</vt:lpstr>
      <vt:lpstr>Summary!OP_HEALTH</vt:lpstr>
      <vt:lpstr>Summary!OP_HEALTH_CALLED</vt:lpstr>
      <vt:lpstr>Summary!OP_HEALTH_REFUNDED</vt:lpstr>
      <vt:lpstr>Summary!OP_LIFE</vt:lpstr>
      <vt:lpstr>Summary!OP_LIFE_CALLED</vt:lpstr>
      <vt:lpstr>Summary!OP_LIFE_REFUNDED</vt:lpstr>
      <vt:lpstr>Summary!OP_LTC</vt:lpstr>
      <vt:lpstr>Summary!OP_TOTAL</vt:lpstr>
      <vt:lpstr>Summary!OP_TOTAL_PREV</vt:lpstr>
      <vt:lpstr>Summary!OP_UNALLOC_CALLED</vt:lpstr>
      <vt:lpstr>Summary!OP_UNALLOC_REFUNDED</vt:lpstr>
      <vt:lpstr>Summary!OP_UNALLOCATED</vt:lpstr>
      <vt:lpstr>'Alabama Life'!OR_FINANCIAL</vt:lpstr>
      <vt:lpstr>'Amer Life Asr'!OR_FINANCIAL</vt:lpstr>
      <vt:lpstr>'Amer Std Life Acc'!OR_FINANCIAL</vt:lpstr>
      <vt:lpstr>'American Chambers'!OR_FINANCIAL</vt:lpstr>
      <vt:lpstr>'American Community'!OR_FINANCIAL</vt:lpstr>
      <vt:lpstr>'American Educators'!OR_FINANCIAL</vt:lpstr>
      <vt:lpstr>'American Integrity'!OR_FINANCIAL</vt:lpstr>
      <vt:lpstr>'American Medical'!OR_FINANCIAL</vt:lpstr>
      <vt:lpstr>'American Network'!OR_FINANCIAL</vt:lpstr>
      <vt:lpstr>AmerWstrn!OR_FINANCIAL</vt:lpstr>
      <vt:lpstr>'AMS Life'!OR_FINANCIAL</vt:lpstr>
      <vt:lpstr>'Andrew Jackson'!OR_FINANCIAL</vt:lpstr>
      <vt:lpstr>'Bankers Commercial'!OR_FINANCIAL</vt:lpstr>
      <vt:lpstr>'Bankers Life'!OR_FINANCIAL</vt:lpstr>
      <vt:lpstr>Benicorp!OR_FINANCIAL</vt:lpstr>
      <vt:lpstr>'Booker T Washington'!OR_FINANCIAL</vt:lpstr>
      <vt:lpstr>Centennial!OR_FINANCIAL</vt:lpstr>
      <vt:lpstr>'CO Bankers'!OR_FINANCIAL</vt:lpstr>
      <vt:lpstr>'Coastal States'!OR_FINANCIAL</vt:lpstr>
      <vt:lpstr>'Colorado Health'!OR_FINANCIAL</vt:lpstr>
      <vt:lpstr>'Compass (dbs Meritus)'!OR_FINANCIAL</vt:lpstr>
      <vt:lpstr>'Confed Life &amp; Annty (CLIAC)'!OR_FINANCIAL</vt:lpstr>
      <vt:lpstr>'Confed Life (CLIC)'!OR_FINANCIAL</vt:lpstr>
      <vt:lpstr>'Consolidated National'!OR_FINANCIAL</vt:lpstr>
      <vt:lpstr>'Consumers Choice'!OR_FINANCIAL</vt:lpstr>
      <vt:lpstr>'Consumers Mutual'!OR_FINANCIAL</vt:lpstr>
      <vt:lpstr>'Consumers United'!OR_FINANCIAL</vt:lpstr>
      <vt:lpstr>CoOportunity!OR_FINANCIAL</vt:lpstr>
      <vt:lpstr>'Coordinated Hlth'!OR_FINANCIAL</vt:lpstr>
      <vt:lpstr>'Corporate Life'!OR_FINANCIAL</vt:lpstr>
      <vt:lpstr>'Diamond Benefits'!OR_FINANCIAL</vt:lpstr>
      <vt:lpstr>'EBL Life'!OR_FINANCIAL</vt:lpstr>
      <vt:lpstr>ELNY!OR_FINANCIAL</vt:lpstr>
      <vt:lpstr>'Executive Life'!OR_FINANCIAL</vt:lpstr>
      <vt:lpstr>'Family Guaranty'!OR_FINANCIAL</vt:lpstr>
      <vt:lpstr>'Farmers &amp; Ranchers'!OR_FINANCIAL</vt:lpstr>
      <vt:lpstr>'Fidelity Bankers'!OR_FINANCIAL</vt:lpstr>
      <vt:lpstr>'Fidelity Mutual'!OR_FINANCIAL</vt:lpstr>
      <vt:lpstr>'First Capital'!OR_FINANCIAL</vt:lpstr>
      <vt:lpstr>'First Natl'!OR_FINANCIAL</vt:lpstr>
      <vt:lpstr>'First Natl (Thrnr)'!OR_FINANCIAL</vt:lpstr>
      <vt:lpstr>'Franklin American'!OR_FINANCIAL</vt:lpstr>
      <vt:lpstr>'Franklin Protective'!OR_FINANCIAL</vt:lpstr>
      <vt:lpstr>'Freelancers CO-OP'!OR_FINANCIAL</vt:lpstr>
      <vt:lpstr>Freestone!OR_FINANCIAL</vt:lpstr>
      <vt:lpstr>'George Washington'!OR_FINANCIAL</vt:lpstr>
      <vt:lpstr>'Golden State'!OR_FINANCIAL</vt:lpstr>
      <vt:lpstr>'Guarantee Security'!OR_FINANCIAL</vt:lpstr>
      <vt:lpstr>HealthyCT!OR_FINANCIAL</vt:lpstr>
      <vt:lpstr>Imerica!OR_FINANCIAL</vt:lpstr>
      <vt:lpstr>'Inter-American'!OR_FINANCIAL</vt:lpstr>
      <vt:lpstr>'International Fin'!OR_FINANCIAL</vt:lpstr>
      <vt:lpstr>'Investment Life of America'!OR_FINANCIAL</vt:lpstr>
      <vt:lpstr>'Investors Equity'!OR_FINANCIAL</vt:lpstr>
      <vt:lpstr>'Kentucky Central'!OR_FINANCIAL</vt:lpstr>
      <vt:lpstr>'Land of Lincoln'!OR_FINANCIAL</vt:lpstr>
      <vt:lpstr>Legion!OR_FINANCIAL</vt:lpstr>
      <vt:lpstr>'Life Health America'!OR_FINANCIAL</vt:lpstr>
      <vt:lpstr>'Lincoln Memorial'!OR_FINANCIAL</vt:lpstr>
      <vt:lpstr>'London Pac'!OR_FINANCIAL</vt:lpstr>
      <vt:lpstr>Lumbermens!OR_FINANCIAL</vt:lpstr>
      <vt:lpstr>'Medical Savings'!OR_FINANCIAL</vt:lpstr>
      <vt:lpstr>'Memorial Service'!OR_FINANCIAL</vt:lpstr>
      <vt:lpstr>Midcontinent!OR_FINANCIAL</vt:lpstr>
      <vt:lpstr>'Midwest Life'!OR_FINANCIAL</vt:lpstr>
      <vt:lpstr>'Monarch Life'!OR_FINANCIAL</vt:lpstr>
      <vt:lpstr>'Mutual Benefit'!OR_FINANCIAL</vt:lpstr>
      <vt:lpstr>'Mutual Security'!OR_FINANCIAL</vt:lpstr>
      <vt:lpstr>'National Affiliated'!OR_FINANCIAL</vt:lpstr>
      <vt:lpstr>'National Heritage'!OR_FINANCIAL</vt:lpstr>
      <vt:lpstr>'National States'!OR_FINANCIAL</vt:lpstr>
      <vt:lpstr>'Natl American'!OR_FINANCIAL</vt:lpstr>
      <vt:lpstr>'New Jersey Life'!OR_FINANCIAL</vt:lpstr>
      <vt:lpstr>NNIC!OR_FINANCIAL</vt:lpstr>
      <vt:lpstr>'North Carolina Mutual'!OR_FINANCIAL</vt:lpstr>
      <vt:lpstr>'Old Colony Life'!OR_FINANCIAL</vt:lpstr>
      <vt:lpstr>'Old Faithful'!OR_FINANCIAL</vt:lpstr>
      <vt:lpstr>'Pacific Standard'!OR_FINANCIAL</vt:lpstr>
      <vt:lpstr>'Pavonia Life'!OR_FINANCIAL</vt:lpstr>
      <vt:lpstr>'Pen  Treaty'!OR_FINANCIAL</vt:lpstr>
      <vt:lpstr>'Red Rock'!OR_FINANCIAL</vt:lpstr>
      <vt:lpstr>Reliance!OR_FINANCIAL</vt:lpstr>
      <vt:lpstr>SeeChange!OR_FINANCIAL</vt:lpstr>
      <vt:lpstr>'Senior American'!OR_FINANCIAL</vt:lpstr>
      <vt:lpstr>Settlers!OR_FINANCIAL</vt:lpstr>
      <vt:lpstr>Shenandoah!OR_FINANCIAL</vt:lpstr>
      <vt:lpstr>'Southland National Life'!OR_FINANCIAL</vt:lpstr>
      <vt:lpstr>'Standard Life IN'!OR_FINANCIAL</vt:lpstr>
      <vt:lpstr>'States General'!OR_FINANCIAL</vt:lpstr>
      <vt:lpstr>Statesman!OR_FINANCIAL</vt:lpstr>
      <vt:lpstr>'Summit National'!OR_FINANCIAL</vt:lpstr>
      <vt:lpstr>Supreme!OR_FINANCIAL</vt:lpstr>
      <vt:lpstr>Time!OR_FINANCIAL</vt:lpstr>
      <vt:lpstr>'Total Summary'!OR_FINANCIAL</vt:lpstr>
      <vt:lpstr>Underwriters!OR_FINANCIAL</vt:lpstr>
      <vt:lpstr>Unison!OR_FINANCIAL</vt:lpstr>
      <vt:lpstr>'United Republic'!OR_FINANCIAL</vt:lpstr>
      <vt:lpstr>'Universal Health Care'!OR_FINANCIAL</vt:lpstr>
      <vt:lpstr>'Universal Life'!OR_FINANCIAL</vt:lpstr>
      <vt:lpstr>Universe!OR_FINANCIAL</vt:lpstr>
      <vt:lpstr>Villanova!OR_FINANCIAL</vt:lpstr>
      <vt:lpstr>'Alabama Life'!OT_FINANCIAL</vt:lpstr>
      <vt:lpstr>'Amer Life Asr'!OT_FINANCIAL</vt:lpstr>
      <vt:lpstr>'Amer Std Life Acc'!OT_FINANCIAL</vt:lpstr>
      <vt:lpstr>'American Chambers'!OT_FINANCIAL</vt:lpstr>
      <vt:lpstr>'American Community'!OT_FINANCIAL</vt:lpstr>
      <vt:lpstr>'American Educators'!OT_FINANCIAL</vt:lpstr>
      <vt:lpstr>'American Integrity'!OT_FINANCIAL</vt:lpstr>
      <vt:lpstr>'American Medical'!OT_FINANCIAL</vt:lpstr>
      <vt:lpstr>'American Network'!OT_FINANCIAL</vt:lpstr>
      <vt:lpstr>AmerWstrn!OT_FINANCIAL</vt:lpstr>
      <vt:lpstr>'AMS Life'!OT_FINANCIAL</vt:lpstr>
      <vt:lpstr>'Andrew Jackson'!OT_FINANCIAL</vt:lpstr>
      <vt:lpstr>'Bankers Commercial'!OT_FINANCIAL</vt:lpstr>
      <vt:lpstr>'Bankers Life'!OT_FINANCIAL</vt:lpstr>
      <vt:lpstr>Benicorp!OT_FINANCIAL</vt:lpstr>
      <vt:lpstr>'Booker T Washington'!OT_FINANCIAL</vt:lpstr>
      <vt:lpstr>Centennial!OT_FINANCIAL</vt:lpstr>
      <vt:lpstr>'CO Bankers'!OT_FINANCIAL</vt:lpstr>
      <vt:lpstr>'Coastal States'!OT_FINANCIAL</vt:lpstr>
      <vt:lpstr>'Colorado Health'!OT_FINANCIAL</vt:lpstr>
      <vt:lpstr>'Compass (dbs Meritus)'!OT_FINANCIAL</vt:lpstr>
      <vt:lpstr>'Confed Life &amp; Annty (CLIAC)'!OT_FINANCIAL</vt:lpstr>
      <vt:lpstr>'Confed Life (CLIC)'!OT_FINANCIAL</vt:lpstr>
      <vt:lpstr>'Consolidated National'!OT_FINANCIAL</vt:lpstr>
      <vt:lpstr>'Consumers Choice'!OT_FINANCIAL</vt:lpstr>
      <vt:lpstr>'Consumers Mutual'!OT_FINANCIAL</vt:lpstr>
      <vt:lpstr>'Consumers United'!OT_FINANCIAL</vt:lpstr>
      <vt:lpstr>CoOportunity!OT_FINANCIAL</vt:lpstr>
      <vt:lpstr>'Coordinated Hlth'!OT_FINANCIAL</vt:lpstr>
      <vt:lpstr>'Corporate Life'!OT_FINANCIAL</vt:lpstr>
      <vt:lpstr>'Diamond Benefits'!OT_FINANCIAL</vt:lpstr>
      <vt:lpstr>'EBL Life'!OT_FINANCIAL</vt:lpstr>
      <vt:lpstr>ELNY!OT_FINANCIAL</vt:lpstr>
      <vt:lpstr>'Executive Life'!OT_FINANCIAL</vt:lpstr>
      <vt:lpstr>'Family Guaranty'!OT_FINANCIAL</vt:lpstr>
      <vt:lpstr>'Farmers &amp; Ranchers'!OT_FINANCIAL</vt:lpstr>
      <vt:lpstr>'Fidelity Bankers'!OT_FINANCIAL</vt:lpstr>
      <vt:lpstr>'Fidelity Mutual'!OT_FINANCIAL</vt:lpstr>
      <vt:lpstr>'First Capital'!OT_FINANCIAL</vt:lpstr>
      <vt:lpstr>'First Natl'!OT_FINANCIAL</vt:lpstr>
      <vt:lpstr>'First Natl (Thrnr)'!OT_FINANCIAL</vt:lpstr>
      <vt:lpstr>'Franklin American'!OT_FINANCIAL</vt:lpstr>
      <vt:lpstr>'Franklin Protective'!OT_FINANCIAL</vt:lpstr>
      <vt:lpstr>'Freelancers CO-OP'!OT_FINANCIAL</vt:lpstr>
      <vt:lpstr>Freestone!OT_FINANCIAL</vt:lpstr>
      <vt:lpstr>'George Washington'!OT_FINANCIAL</vt:lpstr>
      <vt:lpstr>'Golden State'!OT_FINANCIAL</vt:lpstr>
      <vt:lpstr>'Guarantee Security'!OT_FINANCIAL</vt:lpstr>
      <vt:lpstr>HealthyCT!OT_FINANCIAL</vt:lpstr>
      <vt:lpstr>Imerica!OT_FINANCIAL</vt:lpstr>
      <vt:lpstr>'Inter-American'!OT_FINANCIAL</vt:lpstr>
      <vt:lpstr>'International Fin'!OT_FINANCIAL</vt:lpstr>
      <vt:lpstr>'Investment Life of America'!OT_FINANCIAL</vt:lpstr>
      <vt:lpstr>'Investors Equity'!OT_FINANCIAL</vt:lpstr>
      <vt:lpstr>'Kentucky Central'!OT_FINANCIAL</vt:lpstr>
      <vt:lpstr>'Land of Lincoln'!OT_FINANCIAL</vt:lpstr>
      <vt:lpstr>Legion!OT_FINANCIAL</vt:lpstr>
      <vt:lpstr>'Life Health America'!OT_FINANCIAL</vt:lpstr>
      <vt:lpstr>'Lincoln Memorial'!OT_FINANCIAL</vt:lpstr>
      <vt:lpstr>'London Pac'!OT_FINANCIAL</vt:lpstr>
      <vt:lpstr>Lumbermens!OT_FINANCIAL</vt:lpstr>
      <vt:lpstr>'Medical Savings'!OT_FINANCIAL</vt:lpstr>
      <vt:lpstr>'Memorial Service'!OT_FINANCIAL</vt:lpstr>
      <vt:lpstr>Midcontinent!OT_FINANCIAL</vt:lpstr>
      <vt:lpstr>'Midwest Life'!OT_FINANCIAL</vt:lpstr>
      <vt:lpstr>'Monarch Life'!OT_FINANCIAL</vt:lpstr>
      <vt:lpstr>'Mutual Benefit'!OT_FINANCIAL</vt:lpstr>
      <vt:lpstr>'Mutual Security'!OT_FINANCIAL</vt:lpstr>
      <vt:lpstr>'National Affiliated'!OT_FINANCIAL</vt:lpstr>
      <vt:lpstr>'National Heritage'!OT_FINANCIAL</vt:lpstr>
      <vt:lpstr>'National States'!OT_FINANCIAL</vt:lpstr>
      <vt:lpstr>'Natl American'!OT_FINANCIAL</vt:lpstr>
      <vt:lpstr>'New Jersey Life'!OT_FINANCIAL</vt:lpstr>
      <vt:lpstr>NNIC!OT_FINANCIAL</vt:lpstr>
      <vt:lpstr>'North Carolina Mutual'!OT_FINANCIAL</vt:lpstr>
      <vt:lpstr>'Old Colony Life'!OT_FINANCIAL</vt:lpstr>
      <vt:lpstr>'Old Faithful'!OT_FINANCIAL</vt:lpstr>
      <vt:lpstr>'Pacific Standard'!OT_FINANCIAL</vt:lpstr>
      <vt:lpstr>'Pavonia Life'!OT_FINANCIAL</vt:lpstr>
      <vt:lpstr>'Pen  Treaty'!OT_FINANCIAL</vt:lpstr>
      <vt:lpstr>'Red Rock'!OT_FINANCIAL</vt:lpstr>
      <vt:lpstr>Reliance!OT_FINANCIAL</vt:lpstr>
      <vt:lpstr>SeeChange!OT_FINANCIAL</vt:lpstr>
      <vt:lpstr>'Senior American'!OT_FINANCIAL</vt:lpstr>
      <vt:lpstr>Settlers!OT_FINANCIAL</vt:lpstr>
      <vt:lpstr>Shenandoah!OT_FINANCIAL</vt:lpstr>
      <vt:lpstr>'Southland National Life'!OT_FINANCIAL</vt:lpstr>
      <vt:lpstr>'Standard Life IN'!OT_FINANCIAL</vt:lpstr>
      <vt:lpstr>'States General'!OT_FINANCIAL</vt:lpstr>
      <vt:lpstr>Statesman!OT_FINANCIAL</vt:lpstr>
      <vt:lpstr>'Summit National'!OT_FINANCIAL</vt:lpstr>
      <vt:lpstr>Supreme!OT_FINANCIAL</vt:lpstr>
      <vt:lpstr>Time!OT_FINANCIAL</vt:lpstr>
      <vt:lpstr>'Total Summary'!OT_FINANCIAL</vt:lpstr>
      <vt:lpstr>Underwriters!OT_FINANCIAL</vt:lpstr>
      <vt:lpstr>Unison!OT_FINANCIAL</vt:lpstr>
      <vt:lpstr>'United Republic'!OT_FINANCIAL</vt:lpstr>
      <vt:lpstr>'Universal Health Care'!OT_FINANCIAL</vt:lpstr>
      <vt:lpstr>'Universal Life'!OT_FINANCIAL</vt:lpstr>
      <vt:lpstr>Universe!OT_FINANCIAL</vt:lpstr>
      <vt:lpstr>Villanova!OT_FINANCIAL</vt:lpstr>
      <vt:lpstr>'Alabama Life'!PA_FINANCIAL</vt:lpstr>
      <vt:lpstr>'Amer Life Asr'!PA_FINANCIAL</vt:lpstr>
      <vt:lpstr>'Amer Std Life Acc'!PA_FINANCIAL</vt:lpstr>
      <vt:lpstr>'American Chambers'!PA_FINANCIAL</vt:lpstr>
      <vt:lpstr>'American Community'!PA_FINANCIAL</vt:lpstr>
      <vt:lpstr>'American Educators'!PA_FINANCIAL</vt:lpstr>
      <vt:lpstr>'American Integrity'!PA_FINANCIAL</vt:lpstr>
      <vt:lpstr>'American Medical'!PA_FINANCIAL</vt:lpstr>
      <vt:lpstr>'American Network'!PA_FINANCIAL</vt:lpstr>
      <vt:lpstr>AmerWstrn!PA_FINANCIAL</vt:lpstr>
      <vt:lpstr>'AMS Life'!PA_FINANCIAL</vt:lpstr>
      <vt:lpstr>'Andrew Jackson'!PA_FINANCIAL</vt:lpstr>
      <vt:lpstr>'Bankers Commercial'!PA_FINANCIAL</vt:lpstr>
      <vt:lpstr>'Bankers Life'!PA_FINANCIAL</vt:lpstr>
      <vt:lpstr>Benicorp!PA_FINANCIAL</vt:lpstr>
      <vt:lpstr>'Booker T Washington'!PA_FINANCIAL</vt:lpstr>
      <vt:lpstr>Centennial!PA_FINANCIAL</vt:lpstr>
      <vt:lpstr>'CO Bankers'!PA_FINANCIAL</vt:lpstr>
      <vt:lpstr>'Coastal States'!PA_FINANCIAL</vt:lpstr>
      <vt:lpstr>'Colorado Health'!PA_FINANCIAL</vt:lpstr>
      <vt:lpstr>'Compass (dbs Meritus)'!PA_FINANCIAL</vt:lpstr>
      <vt:lpstr>'Confed Life &amp; Annty (CLIAC)'!PA_FINANCIAL</vt:lpstr>
      <vt:lpstr>'Confed Life (CLIC)'!PA_FINANCIAL</vt:lpstr>
      <vt:lpstr>'Consolidated National'!PA_FINANCIAL</vt:lpstr>
      <vt:lpstr>'Consumers Choice'!PA_FINANCIAL</vt:lpstr>
      <vt:lpstr>'Consumers Mutual'!PA_FINANCIAL</vt:lpstr>
      <vt:lpstr>'Consumers United'!PA_FINANCIAL</vt:lpstr>
      <vt:lpstr>CoOportunity!PA_FINANCIAL</vt:lpstr>
      <vt:lpstr>'Coordinated Hlth'!PA_FINANCIAL</vt:lpstr>
      <vt:lpstr>'Corporate Life'!PA_FINANCIAL</vt:lpstr>
      <vt:lpstr>'Diamond Benefits'!PA_FINANCIAL</vt:lpstr>
      <vt:lpstr>'EBL Life'!PA_FINANCIAL</vt:lpstr>
      <vt:lpstr>ELNY!PA_FINANCIAL</vt:lpstr>
      <vt:lpstr>'Executive Life'!PA_FINANCIAL</vt:lpstr>
      <vt:lpstr>'Family Guaranty'!PA_FINANCIAL</vt:lpstr>
      <vt:lpstr>'Farmers &amp; Ranchers'!PA_FINANCIAL</vt:lpstr>
      <vt:lpstr>'Fidelity Bankers'!PA_FINANCIAL</vt:lpstr>
      <vt:lpstr>'Fidelity Mutual'!PA_FINANCIAL</vt:lpstr>
      <vt:lpstr>'First Capital'!PA_FINANCIAL</vt:lpstr>
      <vt:lpstr>'First Natl'!PA_FINANCIAL</vt:lpstr>
      <vt:lpstr>'First Natl (Thrnr)'!PA_FINANCIAL</vt:lpstr>
      <vt:lpstr>'Franklin American'!PA_FINANCIAL</vt:lpstr>
      <vt:lpstr>'Franklin Protective'!PA_FINANCIAL</vt:lpstr>
      <vt:lpstr>'Freelancers CO-OP'!PA_FINANCIAL</vt:lpstr>
      <vt:lpstr>Freestone!PA_FINANCIAL</vt:lpstr>
      <vt:lpstr>'George Washington'!PA_FINANCIAL</vt:lpstr>
      <vt:lpstr>'Golden State'!PA_FINANCIAL</vt:lpstr>
      <vt:lpstr>'Guarantee Security'!PA_FINANCIAL</vt:lpstr>
      <vt:lpstr>HealthyCT!PA_FINANCIAL</vt:lpstr>
      <vt:lpstr>Imerica!PA_FINANCIAL</vt:lpstr>
      <vt:lpstr>'Inter-American'!PA_FINANCIAL</vt:lpstr>
      <vt:lpstr>'International Fin'!PA_FINANCIAL</vt:lpstr>
      <vt:lpstr>'Investment Life of America'!PA_FINANCIAL</vt:lpstr>
      <vt:lpstr>'Investors Equity'!PA_FINANCIAL</vt:lpstr>
      <vt:lpstr>'Kentucky Central'!PA_FINANCIAL</vt:lpstr>
      <vt:lpstr>'Land of Lincoln'!PA_FINANCIAL</vt:lpstr>
      <vt:lpstr>Legion!PA_FINANCIAL</vt:lpstr>
      <vt:lpstr>'Life Health America'!PA_FINANCIAL</vt:lpstr>
      <vt:lpstr>'Lincoln Memorial'!PA_FINANCIAL</vt:lpstr>
      <vt:lpstr>'London Pac'!PA_FINANCIAL</vt:lpstr>
      <vt:lpstr>Lumbermens!PA_FINANCIAL</vt:lpstr>
      <vt:lpstr>'Medical Savings'!PA_FINANCIAL</vt:lpstr>
      <vt:lpstr>'Memorial Service'!PA_FINANCIAL</vt:lpstr>
      <vt:lpstr>Midcontinent!PA_FINANCIAL</vt:lpstr>
      <vt:lpstr>'Midwest Life'!PA_FINANCIAL</vt:lpstr>
      <vt:lpstr>'Monarch Life'!PA_FINANCIAL</vt:lpstr>
      <vt:lpstr>'Mutual Benefit'!PA_FINANCIAL</vt:lpstr>
      <vt:lpstr>'Mutual Security'!PA_FINANCIAL</vt:lpstr>
      <vt:lpstr>'National Affiliated'!PA_FINANCIAL</vt:lpstr>
      <vt:lpstr>'National Heritage'!PA_FINANCIAL</vt:lpstr>
      <vt:lpstr>'National States'!PA_FINANCIAL</vt:lpstr>
      <vt:lpstr>'Natl American'!PA_FINANCIAL</vt:lpstr>
      <vt:lpstr>'New Jersey Life'!PA_FINANCIAL</vt:lpstr>
      <vt:lpstr>NNIC!PA_FINANCIAL</vt:lpstr>
      <vt:lpstr>'North Carolina Mutual'!PA_FINANCIAL</vt:lpstr>
      <vt:lpstr>'Old Colony Life'!PA_FINANCIAL</vt:lpstr>
      <vt:lpstr>'Old Faithful'!PA_FINANCIAL</vt:lpstr>
      <vt:lpstr>'Pacific Standard'!PA_FINANCIAL</vt:lpstr>
      <vt:lpstr>'Pavonia Life'!PA_FINANCIAL</vt:lpstr>
      <vt:lpstr>'Pen  Treaty'!PA_FINANCIAL</vt:lpstr>
      <vt:lpstr>'Red Rock'!PA_FINANCIAL</vt:lpstr>
      <vt:lpstr>Reliance!PA_FINANCIAL</vt:lpstr>
      <vt:lpstr>SeeChange!PA_FINANCIAL</vt:lpstr>
      <vt:lpstr>'Senior American'!PA_FINANCIAL</vt:lpstr>
      <vt:lpstr>Settlers!PA_FINANCIAL</vt:lpstr>
      <vt:lpstr>Shenandoah!PA_FINANCIAL</vt:lpstr>
      <vt:lpstr>'Southland National Life'!PA_FINANCIAL</vt:lpstr>
      <vt:lpstr>'Standard Life IN'!PA_FINANCIAL</vt:lpstr>
      <vt:lpstr>'States General'!PA_FINANCIAL</vt:lpstr>
      <vt:lpstr>Statesman!PA_FINANCIAL</vt:lpstr>
      <vt:lpstr>'Summit National'!PA_FINANCIAL</vt:lpstr>
      <vt:lpstr>Supreme!PA_FINANCIAL</vt:lpstr>
      <vt:lpstr>Time!PA_FINANCIAL</vt:lpstr>
      <vt:lpstr>'Total Summary'!PA_FINANCIAL</vt:lpstr>
      <vt:lpstr>Underwriters!PA_FINANCIAL</vt:lpstr>
      <vt:lpstr>Unison!PA_FINANCIAL</vt:lpstr>
      <vt:lpstr>'United Republic'!PA_FINANCIAL</vt:lpstr>
      <vt:lpstr>'Universal Health Care'!PA_FINANCIAL</vt:lpstr>
      <vt:lpstr>'Universal Life'!PA_FINANCIAL</vt:lpstr>
      <vt:lpstr>Universe!PA_FINANCIAL</vt:lpstr>
      <vt:lpstr>Villanova!PA_FINANCIAL</vt:lpstr>
      <vt:lpstr>Summary!PL_ALLOC_CALLED</vt:lpstr>
      <vt:lpstr>Summary!PL_ALLOC_REFUNDED</vt:lpstr>
      <vt:lpstr>Summary!PL_ALLOCATED</vt:lpstr>
      <vt:lpstr>Summary!PL_CHANGE</vt:lpstr>
      <vt:lpstr>Summary!PL_HEALTH</vt:lpstr>
      <vt:lpstr>Summary!PL_HEALTH_CALLED</vt:lpstr>
      <vt:lpstr>Summary!PL_HEALTH_REFUNDED</vt:lpstr>
      <vt:lpstr>Summary!PL_LIFE</vt:lpstr>
      <vt:lpstr>Summary!PL_LIFE_CALLED</vt:lpstr>
      <vt:lpstr>Summary!PL_LIFE_REFUNDED</vt:lpstr>
      <vt:lpstr>Summary!PL_LTC</vt:lpstr>
      <vt:lpstr>Summary!PL_TOTAL</vt:lpstr>
      <vt:lpstr>Summary!PL_TOTAL_PREV</vt:lpstr>
      <vt:lpstr>Summary!PL_UNALLOC_CALLED</vt:lpstr>
      <vt:lpstr>Summary!PL_UNALLOC_REFUNDED</vt:lpstr>
      <vt:lpstr>Summary!PL_UNALLOCATED</vt:lpstr>
      <vt:lpstr>'Alabama Life'!PR_FINANCIAL</vt:lpstr>
      <vt:lpstr>'Amer Life Asr'!PR_FINANCIAL</vt:lpstr>
      <vt:lpstr>'Amer Std Life Acc'!PR_FINANCIAL</vt:lpstr>
      <vt:lpstr>'American Chambers'!PR_FINANCIAL</vt:lpstr>
      <vt:lpstr>'American Community'!PR_FINANCIAL</vt:lpstr>
      <vt:lpstr>'American Educators'!PR_FINANCIAL</vt:lpstr>
      <vt:lpstr>'American Integrity'!PR_FINANCIAL</vt:lpstr>
      <vt:lpstr>'American Medical'!PR_FINANCIAL</vt:lpstr>
      <vt:lpstr>'American Network'!PR_FINANCIAL</vt:lpstr>
      <vt:lpstr>AmerWstrn!PR_FINANCIAL</vt:lpstr>
      <vt:lpstr>'AMS Life'!PR_FINANCIAL</vt:lpstr>
      <vt:lpstr>'Andrew Jackson'!PR_FINANCIAL</vt:lpstr>
      <vt:lpstr>'Bankers Commercial'!PR_FINANCIAL</vt:lpstr>
      <vt:lpstr>'Bankers Life'!PR_FINANCIAL</vt:lpstr>
      <vt:lpstr>Benicorp!PR_FINANCIAL</vt:lpstr>
      <vt:lpstr>'Booker T Washington'!PR_FINANCIAL</vt:lpstr>
      <vt:lpstr>Centennial!PR_FINANCIAL</vt:lpstr>
      <vt:lpstr>'CO Bankers'!PR_FINANCIAL</vt:lpstr>
      <vt:lpstr>'Coastal States'!PR_FINANCIAL</vt:lpstr>
      <vt:lpstr>'Colorado Health'!PR_FINANCIAL</vt:lpstr>
      <vt:lpstr>'Compass (dbs Meritus)'!PR_FINANCIAL</vt:lpstr>
      <vt:lpstr>'Confed Life &amp; Annty (CLIAC)'!PR_FINANCIAL</vt:lpstr>
      <vt:lpstr>'Confed Life (CLIC)'!PR_FINANCIAL</vt:lpstr>
      <vt:lpstr>'Consolidated National'!PR_FINANCIAL</vt:lpstr>
      <vt:lpstr>'Consumers Choice'!PR_FINANCIAL</vt:lpstr>
      <vt:lpstr>'Consumers Mutual'!PR_FINANCIAL</vt:lpstr>
      <vt:lpstr>'Consumers United'!PR_FINANCIAL</vt:lpstr>
      <vt:lpstr>CoOportunity!PR_FINANCIAL</vt:lpstr>
      <vt:lpstr>'Coordinated Hlth'!PR_FINANCIAL</vt:lpstr>
      <vt:lpstr>'Corporate Life'!PR_FINANCIAL</vt:lpstr>
      <vt:lpstr>'Diamond Benefits'!PR_FINANCIAL</vt:lpstr>
      <vt:lpstr>'EBL Life'!PR_FINANCIAL</vt:lpstr>
      <vt:lpstr>ELNY!PR_FINANCIAL</vt:lpstr>
      <vt:lpstr>'Executive Life'!PR_FINANCIAL</vt:lpstr>
      <vt:lpstr>'Family Guaranty'!PR_FINANCIAL</vt:lpstr>
      <vt:lpstr>'Farmers &amp; Ranchers'!PR_FINANCIAL</vt:lpstr>
      <vt:lpstr>'Fidelity Bankers'!PR_FINANCIAL</vt:lpstr>
      <vt:lpstr>'Fidelity Mutual'!PR_FINANCIAL</vt:lpstr>
      <vt:lpstr>'First Capital'!PR_FINANCIAL</vt:lpstr>
      <vt:lpstr>'First Natl'!PR_FINANCIAL</vt:lpstr>
      <vt:lpstr>'First Natl (Thrnr)'!PR_FINANCIAL</vt:lpstr>
      <vt:lpstr>'Franklin American'!PR_FINANCIAL</vt:lpstr>
      <vt:lpstr>'Franklin Protective'!PR_FINANCIAL</vt:lpstr>
      <vt:lpstr>'Freelancers CO-OP'!PR_FINANCIAL</vt:lpstr>
      <vt:lpstr>Freestone!PR_FINANCIAL</vt:lpstr>
      <vt:lpstr>'George Washington'!PR_FINANCIAL</vt:lpstr>
      <vt:lpstr>'Golden State'!PR_FINANCIAL</vt:lpstr>
      <vt:lpstr>'Guarantee Security'!PR_FINANCIAL</vt:lpstr>
      <vt:lpstr>HealthyCT!PR_FINANCIAL</vt:lpstr>
      <vt:lpstr>Imerica!PR_FINANCIAL</vt:lpstr>
      <vt:lpstr>'Inter-American'!PR_FINANCIAL</vt:lpstr>
      <vt:lpstr>'International Fin'!PR_FINANCIAL</vt:lpstr>
      <vt:lpstr>'Investment Life of America'!PR_FINANCIAL</vt:lpstr>
      <vt:lpstr>'Investors Equity'!PR_FINANCIAL</vt:lpstr>
      <vt:lpstr>'Kentucky Central'!PR_FINANCIAL</vt:lpstr>
      <vt:lpstr>'Land of Lincoln'!PR_FINANCIAL</vt:lpstr>
      <vt:lpstr>Legion!PR_FINANCIAL</vt:lpstr>
      <vt:lpstr>'Life Health America'!PR_FINANCIAL</vt:lpstr>
      <vt:lpstr>'Lincoln Memorial'!PR_FINANCIAL</vt:lpstr>
      <vt:lpstr>'London Pac'!PR_FINANCIAL</vt:lpstr>
      <vt:lpstr>Lumbermens!PR_FINANCIAL</vt:lpstr>
      <vt:lpstr>'Medical Savings'!PR_FINANCIAL</vt:lpstr>
      <vt:lpstr>'Memorial Service'!PR_FINANCIAL</vt:lpstr>
      <vt:lpstr>Midcontinent!PR_FINANCIAL</vt:lpstr>
      <vt:lpstr>'Midwest Life'!PR_FINANCIAL</vt:lpstr>
      <vt:lpstr>'Monarch Life'!PR_FINANCIAL</vt:lpstr>
      <vt:lpstr>'Mutual Benefit'!PR_FINANCIAL</vt:lpstr>
      <vt:lpstr>'Mutual Security'!PR_FINANCIAL</vt:lpstr>
      <vt:lpstr>'National Affiliated'!PR_FINANCIAL</vt:lpstr>
      <vt:lpstr>'National Heritage'!PR_FINANCIAL</vt:lpstr>
      <vt:lpstr>'National States'!PR_FINANCIAL</vt:lpstr>
      <vt:lpstr>'Natl American'!PR_FINANCIAL</vt:lpstr>
      <vt:lpstr>'New Jersey Life'!PR_FINANCIAL</vt:lpstr>
      <vt:lpstr>NNIC!PR_FINANCIAL</vt:lpstr>
      <vt:lpstr>'North Carolina Mutual'!PR_FINANCIAL</vt:lpstr>
      <vt:lpstr>'Old Colony Life'!PR_FINANCIAL</vt:lpstr>
      <vt:lpstr>'Old Faithful'!PR_FINANCIAL</vt:lpstr>
      <vt:lpstr>'Pacific Standard'!PR_FINANCIAL</vt:lpstr>
      <vt:lpstr>'Pavonia Life'!PR_FINANCIAL</vt:lpstr>
      <vt:lpstr>'Pen  Treaty'!PR_FINANCIAL</vt:lpstr>
      <vt:lpstr>'Red Rock'!PR_FINANCIAL</vt:lpstr>
      <vt:lpstr>Reliance!PR_FINANCIAL</vt:lpstr>
      <vt:lpstr>SeeChange!PR_FINANCIAL</vt:lpstr>
      <vt:lpstr>'Senior American'!PR_FINANCIAL</vt:lpstr>
      <vt:lpstr>Settlers!PR_FINANCIAL</vt:lpstr>
      <vt:lpstr>Shenandoah!PR_FINANCIAL</vt:lpstr>
      <vt:lpstr>'Southland National Life'!PR_FINANCIAL</vt:lpstr>
      <vt:lpstr>'Standard Life IN'!PR_FINANCIAL</vt:lpstr>
      <vt:lpstr>'States General'!PR_FINANCIAL</vt:lpstr>
      <vt:lpstr>Statesman!PR_FINANCIAL</vt:lpstr>
      <vt:lpstr>'Summit National'!PR_FINANCIAL</vt:lpstr>
      <vt:lpstr>Supreme!PR_FINANCIAL</vt:lpstr>
      <vt:lpstr>Time!PR_FINANCIAL</vt:lpstr>
      <vt:lpstr>'Total Summary'!PR_FINANCIAL</vt:lpstr>
      <vt:lpstr>Underwriters!PR_FINANCIAL</vt:lpstr>
      <vt:lpstr>Unison!PR_FINANCIAL</vt:lpstr>
      <vt:lpstr>'United Republic'!PR_FINANCIAL</vt:lpstr>
      <vt:lpstr>'Universal Health Care'!PR_FINANCIAL</vt:lpstr>
      <vt:lpstr>'Universal Life'!PR_FINANCIAL</vt:lpstr>
      <vt:lpstr>Universe!PR_FINANCIAL</vt:lpstr>
      <vt:lpstr>Villanova!PR_FINANCIAL</vt:lpstr>
      <vt:lpstr>'Assessable Premiums'!Print_Titles</vt:lpstr>
      <vt:lpstr>Summary!Print_Titles</vt:lpstr>
      <vt:lpstr>Summary!RE_ALLOC_CALLED</vt:lpstr>
      <vt:lpstr>Summary!RE_ALLOC_REFUNDED</vt:lpstr>
      <vt:lpstr>Summary!RE_ALLOCATED</vt:lpstr>
      <vt:lpstr>Summary!RE_CHANGE</vt:lpstr>
      <vt:lpstr>Summary!RE_HEALTH</vt:lpstr>
      <vt:lpstr>Summary!RE_HEALTH_CALLED</vt:lpstr>
      <vt:lpstr>Summary!RE_HEALTH_REFUNDED</vt:lpstr>
      <vt:lpstr>Summary!RE_LIFE</vt:lpstr>
      <vt:lpstr>Summary!RE_LIFE_CALLED</vt:lpstr>
      <vt:lpstr>Summary!RE_LIFE_REFUNDED</vt:lpstr>
      <vt:lpstr>Summary!RE_LTC</vt:lpstr>
      <vt:lpstr>Summary!RE_TOTAL</vt:lpstr>
      <vt:lpstr>Summary!RE_TOTAL_PREV</vt:lpstr>
      <vt:lpstr>Summary!RE_UNALLOC_CALLED</vt:lpstr>
      <vt:lpstr>Summary!RE_UNALLOC_REFUNDED</vt:lpstr>
      <vt:lpstr>Summary!RE_UNALLOCATED</vt:lpstr>
      <vt:lpstr>'Closed Summary'!REC_TOTAL</vt:lpstr>
      <vt:lpstr>'Estate Closed Summary'!REC_TOTAL</vt:lpstr>
      <vt:lpstr>'Open Summary'!REC_TOTAL</vt:lpstr>
      <vt:lpstr>'Pre-Liquidation Summary'!REC_TOTAL</vt:lpstr>
      <vt:lpstr>'Released from Oversight Summary'!REC_TOTAL</vt:lpstr>
      <vt:lpstr>'Closed Summary'!RECON</vt:lpstr>
      <vt:lpstr>'Estate Closed Summary'!RECON</vt:lpstr>
      <vt:lpstr>'Open Summary'!RECON</vt:lpstr>
      <vt:lpstr>'Pre-Liquidation Summary'!RECON</vt:lpstr>
      <vt:lpstr>'Released from Oversight Summary'!RECON</vt:lpstr>
      <vt:lpstr>'Alabama Life'!RI_FINANCIAL</vt:lpstr>
      <vt:lpstr>'Amer Life Asr'!RI_FINANCIAL</vt:lpstr>
      <vt:lpstr>'Amer Std Life Acc'!RI_FINANCIAL</vt:lpstr>
      <vt:lpstr>'American Chambers'!RI_FINANCIAL</vt:lpstr>
      <vt:lpstr>'American Community'!RI_FINANCIAL</vt:lpstr>
      <vt:lpstr>'American Educators'!RI_FINANCIAL</vt:lpstr>
      <vt:lpstr>'American Integrity'!RI_FINANCIAL</vt:lpstr>
      <vt:lpstr>'American Medical'!RI_FINANCIAL</vt:lpstr>
      <vt:lpstr>'American Network'!RI_FINANCIAL</vt:lpstr>
      <vt:lpstr>AmerWstrn!RI_FINANCIAL</vt:lpstr>
      <vt:lpstr>'AMS Life'!RI_FINANCIAL</vt:lpstr>
      <vt:lpstr>'Andrew Jackson'!RI_FINANCIAL</vt:lpstr>
      <vt:lpstr>'Bankers Commercial'!RI_FINANCIAL</vt:lpstr>
      <vt:lpstr>'Bankers Life'!RI_FINANCIAL</vt:lpstr>
      <vt:lpstr>Benicorp!RI_FINANCIAL</vt:lpstr>
      <vt:lpstr>'Booker T Washington'!RI_FINANCIAL</vt:lpstr>
      <vt:lpstr>Centennial!RI_FINANCIAL</vt:lpstr>
      <vt:lpstr>'CO Bankers'!RI_FINANCIAL</vt:lpstr>
      <vt:lpstr>'Coastal States'!RI_FINANCIAL</vt:lpstr>
      <vt:lpstr>'Colorado Health'!RI_FINANCIAL</vt:lpstr>
      <vt:lpstr>'Compass (dbs Meritus)'!RI_FINANCIAL</vt:lpstr>
      <vt:lpstr>'Confed Life &amp; Annty (CLIAC)'!RI_FINANCIAL</vt:lpstr>
      <vt:lpstr>'Confed Life (CLIC)'!RI_FINANCIAL</vt:lpstr>
      <vt:lpstr>'Consolidated National'!RI_FINANCIAL</vt:lpstr>
      <vt:lpstr>'Consumers Choice'!RI_FINANCIAL</vt:lpstr>
      <vt:lpstr>'Consumers Mutual'!RI_FINANCIAL</vt:lpstr>
      <vt:lpstr>'Consumers United'!RI_FINANCIAL</vt:lpstr>
      <vt:lpstr>CoOportunity!RI_FINANCIAL</vt:lpstr>
      <vt:lpstr>'Coordinated Hlth'!RI_FINANCIAL</vt:lpstr>
      <vt:lpstr>'Corporate Life'!RI_FINANCIAL</vt:lpstr>
      <vt:lpstr>'Diamond Benefits'!RI_FINANCIAL</vt:lpstr>
      <vt:lpstr>'EBL Life'!RI_FINANCIAL</vt:lpstr>
      <vt:lpstr>ELNY!RI_FINANCIAL</vt:lpstr>
      <vt:lpstr>'Executive Life'!RI_FINANCIAL</vt:lpstr>
      <vt:lpstr>'Family Guaranty'!RI_FINANCIAL</vt:lpstr>
      <vt:lpstr>'Farmers &amp; Ranchers'!RI_FINANCIAL</vt:lpstr>
      <vt:lpstr>'Fidelity Bankers'!RI_FINANCIAL</vt:lpstr>
      <vt:lpstr>'Fidelity Mutual'!RI_FINANCIAL</vt:lpstr>
      <vt:lpstr>'First Capital'!RI_FINANCIAL</vt:lpstr>
      <vt:lpstr>'First Natl'!RI_FINANCIAL</vt:lpstr>
      <vt:lpstr>'First Natl (Thrnr)'!RI_FINANCIAL</vt:lpstr>
      <vt:lpstr>'Franklin American'!RI_FINANCIAL</vt:lpstr>
      <vt:lpstr>'Franklin Protective'!RI_FINANCIAL</vt:lpstr>
      <vt:lpstr>'Freelancers CO-OP'!RI_FINANCIAL</vt:lpstr>
      <vt:lpstr>Freestone!RI_FINANCIAL</vt:lpstr>
      <vt:lpstr>'George Washington'!RI_FINANCIAL</vt:lpstr>
      <vt:lpstr>'Golden State'!RI_FINANCIAL</vt:lpstr>
      <vt:lpstr>'Guarantee Security'!RI_FINANCIAL</vt:lpstr>
      <vt:lpstr>HealthyCT!RI_FINANCIAL</vt:lpstr>
      <vt:lpstr>Imerica!RI_FINANCIAL</vt:lpstr>
      <vt:lpstr>'Inter-American'!RI_FINANCIAL</vt:lpstr>
      <vt:lpstr>'International Fin'!RI_FINANCIAL</vt:lpstr>
      <vt:lpstr>'Investment Life of America'!RI_FINANCIAL</vt:lpstr>
      <vt:lpstr>'Investors Equity'!RI_FINANCIAL</vt:lpstr>
      <vt:lpstr>'Kentucky Central'!RI_FINANCIAL</vt:lpstr>
      <vt:lpstr>'Land of Lincoln'!RI_FINANCIAL</vt:lpstr>
      <vt:lpstr>Legion!RI_FINANCIAL</vt:lpstr>
      <vt:lpstr>'Life Health America'!RI_FINANCIAL</vt:lpstr>
      <vt:lpstr>'Lincoln Memorial'!RI_FINANCIAL</vt:lpstr>
      <vt:lpstr>'London Pac'!RI_FINANCIAL</vt:lpstr>
      <vt:lpstr>Lumbermens!RI_FINANCIAL</vt:lpstr>
      <vt:lpstr>'Medical Savings'!RI_FINANCIAL</vt:lpstr>
      <vt:lpstr>'Memorial Service'!RI_FINANCIAL</vt:lpstr>
      <vt:lpstr>Midcontinent!RI_FINANCIAL</vt:lpstr>
      <vt:lpstr>'Midwest Life'!RI_FINANCIAL</vt:lpstr>
      <vt:lpstr>'Monarch Life'!RI_FINANCIAL</vt:lpstr>
      <vt:lpstr>'Mutual Benefit'!RI_FINANCIAL</vt:lpstr>
      <vt:lpstr>'Mutual Security'!RI_FINANCIAL</vt:lpstr>
      <vt:lpstr>'National Affiliated'!RI_FINANCIAL</vt:lpstr>
      <vt:lpstr>'National Heritage'!RI_FINANCIAL</vt:lpstr>
      <vt:lpstr>'National States'!RI_FINANCIAL</vt:lpstr>
      <vt:lpstr>'Natl American'!RI_FINANCIAL</vt:lpstr>
      <vt:lpstr>'New Jersey Life'!RI_FINANCIAL</vt:lpstr>
      <vt:lpstr>NNIC!RI_FINANCIAL</vt:lpstr>
      <vt:lpstr>'North Carolina Mutual'!RI_FINANCIAL</vt:lpstr>
      <vt:lpstr>'Old Colony Life'!RI_FINANCIAL</vt:lpstr>
      <vt:lpstr>'Old Faithful'!RI_FINANCIAL</vt:lpstr>
      <vt:lpstr>'Pacific Standard'!RI_FINANCIAL</vt:lpstr>
      <vt:lpstr>'Pavonia Life'!RI_FINANCIAL</vt:lpstr>
      <vt:lpstr>'Pen  Treaty'!RI_FINANCIAL</vt:lpstr>
      <vt:lpstr>'Red Rock'!RI_FINANCIAL</vt:lpstr>
      <vt:lpstr>Reliance!RI_FINANCIAL</vt:lpstr>
      <vt:lpstr>SeeChange!RI_FINANCIAL</vt:lpstr>
      <vt:lpstr>'Senior American'!RI_FINANCIAL</vt:lpstr>
      <vt:lpstr>Settlers!RI_FINANCIAL</vt:lpstr>
      <vt:lpstr>Shenandoah!RI_FINANCIAL</vt:lpstr>
      <vt:lpstr>'Southland National Life'!RI_FINANCIAL</vt:lpstr>
      <vt:lpstr>'Standard Life IN'!RI_FINANCIAL</vt:lpstr>
      <vt:lpstr>'States General'!RI_FINANCIAL</vt:lpstr>
      <vt:lpstr>Statesman!RI_FINANCIAL</vt:lpstr>
      <vt:lpstr>'Summit National'!RI_FINANCIAL</vt:lpstr>
      <vt:lpstr>Supreme!RI_FINANCIAL</vt:lpstr>
      <vt:lpstr>Time!RI_FINANCIAL</vt:lpstr>
      <vt:lpstr>'Total Summary'!RI_FINANCIAL</vt:lpstr>
      <vt:lpstr>Underwriters!RI_FINANCIAL</vt:lpstr>
      <vt:lpstr>Unison!RI_FINANCIAL</vt:lpstr>
      <vt:lpstr>'United Republic'!RI_FINANCIAL</vt:lpstr>
      <vt:lpstr>'Universal Health Care'!RI_FINANCIAL</vt:lpstr>
      <vt:lpstr>'Universal Life'!RI_FINANCIAL</vt:lpstr>
      <vt:lpstr>Universe!RI_FINANCIAL</vt:lpstr>
      <vt:lpstr>Villanova!RI_FINANCIAL</vt:lpstr>
      <vt:lpstr>'Alabama Life'!SC_FINANCIAL</vt:lpstr>
      <vt:lpstr>'Amer Life Asr'!SC_FINANCIAL</vt:lpstr>
      <vt:lpstr>'Amer Std Life Acc'!SC_FINANCIAL</vt:lpstr>
      <vt:lpstr>'American Chambers'!SC_FINANCIAL</vt:lpstr>
      <vt:lpstr>'American Community'!SC_FINANCIAL</vt:lpstr>
      <vt:lpstr>'American Educators'!SC_FINANCIAL</vt:lpstr>
      <vt:lpstr>'American Integrity'!SC_FINANCIAL</vt:lpstr>
      <vt:lpstr>'American Medical'!SC_FINANCIAL</vt:lpstr>
      <vt:lpstr>'American Network'!SC_FINANCIAL</vt:lpstr>
      <vt:lpstr>AmerWstrn!SC_FINANCIAL</vt:lpstr>
      <vt:lpstr>'AMS Life'!SC_FINANCIAL</vt:lpstr>
      <vt:lpstr>'Andrew Jackson'!SC_FINANCIAL</vt:lpstr>
      <vt:lpstr>'Bankers Commercial'!SC_FINANCIAL</vt:lpstr>
      <vt:lpstr>'Bankers Life'!SC_FINANCIAL</vt:lpstr>
      <vt:lpstr>Benicorp!SC_FINANCIAL</vt:lpstr>
      <vt:lpstr>'Booker T Washington'!SC_FINANCIAL</vt:lpstr>
      <vt:lpstr>Centennial!SC_FINANCIAL</vt:lpstr>
      <vt:lpstr>'CO Bankers'!SC_FINANCIAL</vt:lpstr>
      <vt:lpstr>'Coastal States'!SC_FINANCIAL</vt:lpstr>
      <vt:lpstr>'Colorado Health'!SC_FINANCIAL</vt:lpstr>
      <vt:lpstr>'Compass (dbs Meritus)'!SC_FINANCIAL</vt:lpstr>
      <vt:lpstr>'Confed Life &amp; Annty (CLIAC)'!SC_FINANCIAL</vt:lpstr>
      <vt:lpstr>'Confed Life (CLIC)'!SC_FINANCIAL</vt:lpstr>
      <vt:lpstr>'Consolidated National'!SC_FINANCIAL</vt:lpstr>
      <vt:lpstr>'Consumers Choice'!SC_FINANCIAL</vt:lpstr>
      <vt:lpstr>'Consumers Mutual'!SC_FINANCIAL</vt:lpstr>
      <vt:lpstr>'Consumers United'!SC_FINANCIAL</vt:lpstr>
      <vt:lpstr>CoOportunity!SC_FINANCIAL</vt:lpstr>
      <vt:lpstr>'Coordinated Hlth'!SC_FINANCIAL</vt:lpstr>
      <vt:lpstr>'Corporate Life'!SC_FINANCIAL</vt:lpstr>
      <vt:lpstr>'Diamond Benefits'!SC_FINANCIAL</vt:lpstr>
      <vt:lpstr>'EBL Life'!SC_FINANCIAL</vt:lpstr>
      <vt:lpstr>ELNY!SC_FINANCIAL</vt:lpstr>
      <vt:lpstr>'Executive Life'!SC_FINANCIAL</vt:lpstr>
      <vt:lpstr>'Family Guaranty'!SC_FINANCIAL</vt:lpstr>
      <vt:lpstr>'Farmers &amp; Ranchers'!SC_FINANCIAL</vt:lpstr>
      <vt:lpstr>'Fidelity Bankers'!SC_FINANCIAL</vt:lpstr>
      <vt:lpstr>'Fidelity Mutual'!SC_FINANCIAL</vt:lpstr>
      <vt:lpstr>'First Capital'!SC_FINANCIAL</vt:lpstr>
      <vt:lpstr>'First Natl'!SC_FINANCIAL</vt:lpstr>
      <vt:lpstr>'First Natl (Thrnr)'!SC_FINANCIAL</vt:lpstr>
      <vt:lpstr>'Franklin American'!SC_FINANCIAL</vt:lpstr>
      <vt:lpstr>'Franklin Protective'!SC_FINANCIAL</vt:lpstr>
      <vt:lpstr>'Freelancers CO-OP'!SC_FINANCIAL</vt:lpstr>
      <vt:lpstr>Freestone!SC_FINANCIAL</vt:lpstr>
      <vt:lpstr>'George Washington'!SC_FINANCIAL</vt:lpstr>
      <vt:lpstr>'Golden State'!SC_FINANCIAL</vt:lpstr>
      <vt:lpstr>'Guarantee Security'!SC_FINANCIAL</vt:lpstr>
      <vt:lpstr>HealthyCT!SC_FINANCIAL</vt:lpstr>
      <vt:lpstr>Imerica!SC_FINANCIAL</vt:lpstr>
      <vt:lpstr>'Inter-American'!SC_FINANCIAL</vt:lpstr>
      <vt:lpstr>'International Fin'!SC_FINANCIAL</vt:lpstr>
      <vt:lpstr>'Investment Life of America'!SC_FINANCIAL</vt:lpstr>
      <vt:lpstr>'Investors Equity'!SC_FINANCIAL</vt:lpstr>
      <vt:lpstr>'Kentucky Central'!SC_FINANCIAL</vt:lpstr>
      <vt:lpstr>'Land of Lincoln'!SC_FINANCIAL</vt:lpstr>
      <vt:lpstr>Legion!SC_FINANCIAL</vt:lpstr>
      <vt:lpstr>'Life Health America'!SC_FINANCIAL</vt:lpstr>
      <vt:lpstr>'Lincoln Memorial'!SC_FINANCIAL</vt:lpstr>
      <vt:lpstr>'London Pac'!SC_FINANCIAL</vt:lpstr>
      <vt:lpstr>Lumbermens!SC_FINANCIAL</vt:lpstr>
      <vt:lpstr>'Medical Savings'!SC_FINANCIAL</vt:lpstr>
      <vt:lpstr>'Memorial Service'!SC_FINANCIAL</vt:lpstr>
      <vt:lpstr>Midcontinent!SC_FINANCIAL</vt:lpstr>
      <vt:lpstr>'Midwest Life'!SC_FINANCIAL</vt:lpstr>
      <vt:lpstr>'Monarch Life'!SC_FINANCIAL</vt:lpstr>
      <vt:lpstr>'Mutual Benefit'!SC_FINANCIAL</vt:lpstr>
      <vt:lpstr>'Mutual Security'!SC_FINANCIAL</vt:lpstr>
      <vt:lpstr>'National Affiliated'!SC_FINANCIAL</vt:lpstr>
      <vt:lpstr>'National Heritage'!SC_FINANCIAL</vt:lpstr>
      <vt:lpstr>'National States'!SC_FINANCIAL</vt:lpstr>
      <vt:lpstr>'Natl American'!SC_FINANCIAL</vt:lpstr>
      <vt:lpstr>'New Jersey Life'!SC_FINANCIAL</vt:lpstr>
      <vt:lpstr>NNIC!SC_FINANCIAL</vt:lpstr>
      <vt:lpstr>'North Carolina Mutual'!SC_FINANCIAL</vt:lpstr>
      <vt:lpstr>'Old Colony Life'!SC_FINANCIAL</vt:lpstr>
      <vt:lpstr>'Old Faithful'!SC_FINANCIAL</vt:lpstr>
      <vt:lpstr>'Pacific Standard'!SC_FINANCIAL</vt:lpstr>
      <vt:lpstr>'Pavonia Life'!SC_FINANCIAL</vt:lpstr>
      <vt:lpstr>'Pen  Treaty'!SC_FINANCIAL</vt:lpstr>
      <vt:lpstr>'Red Rock'!SC_FINANCIAL</vt:lpstr>
      <vt:lpstr>Reliance!SC_FINANCIAL</vt:lpstr>
      <vt:lpstr>SeeChange!SC_FINANCIAL</vt:lpstr>
      <vt:lpstr>'Senior American'!SC_FINANCIAL</vt:lpstr>
      <vt:lpstr>Settlers!SC_FINANCIAL</vt:lpstr>
      <vt:lpstr>Shenandoah!SC_FINANCIAL</vt:lpstr>
      <vt:lpstr>'Southland National Life'!SC_FINANCIAL</vt:lpstr>
      <vt:lpstr>'Standard Life IN'!SC_FINANCIAL</vt:lpstr>
      <vt:lpstr>'States General'!SC_FINANCIAL</vt:lpstr>
      <vt:lpstr>Statesman!SC_FINANCIAL</vt:lpstr>
      <vt:lpstr>'Summit National'!SC_FINANCIAL</vt:lpstr>
      <vt:lpstr>Supreme!SC_FINANCIAL</vt:lpstr>
      <vt:lpstr>Time!SC_FINANCIAL</vt:lpstr>
      <vt:lpstr>'Total Summary'!SC_FINANCIAL</vt:lpstr>
      <vt:lpstr>Underwriters!SC_FINANCIAL</vt:lpstr>
      <vt:lpstr>Unison!SC_FINANCIAL</vt:lpstr>
      <vt:lpstr>'United Republic'!SC_FINANCIAL</vt:lpstr>
      <vt:lpstr>'Universal Health Care'!SC_FINANCIAL</vt:lpstr>
      <vt:lpstr>'Universal Life'!SC_FINANCIAL</vt:lpstr>
      <vt:lpstr>Universe!SC_FINANCIAL</vt:lpstr>
      <vt:lpstr>Villanova!SC_FINANCIAL</vt:lpstr>
      <vt:lpstr>'Alabama Life'!SD_FINANCIAL</vt:lpstr>
      <vt:lpstr>'Amer Life Asr'!SD_FINANCIAL</vt:lpstr>
      <vt:lpstr>'Amer Std Life Acc'!SD_FINANCIAL</vt:lpstr>
      <vt:lpstr>'American Chambers'!SD_FINANCIAL</vt:lpstr>
      <vt:lpstr>'American Community'!SD_FINANCIAL</vt:lpstr>
      <vt:lpstr>'American Educators'!SD_FINANCIAL</vt:lpstr>
      <vt:lpstr>'American Integrity'!SD_FINANCIAL</vt:lpstr>
      <vt:lpstr>'American Medical'!SD_FINANCIAL</vt:lpstr>
      <vt:lpstr>'American Network'!SD_FINANCIAL</vt:lpstr>
      <vt:lpstr>AmerWstrn!SD_FINANCIAL</vt:lpstr>
      <vt:lpstr>'AMS Life'!SD_FINANCIAL</vt:lpstr>
      <vt:lpstr>'Andrew Jackson'!SD_FINANCIAL</vt:lpstr>
      <vt:lpstr>'Bankers Commercial'!SD_FINANCIAL</vt:lpstr>
      <vt:lpstr>'Bankers Life'!SD_FINANCIAL</vt:lpstr>
      <vt:lpstr>Benicorp!SD_FINANCIAL</vt:lpstr>
      <vt:lpstr>'Booker T Washington'!SD_FINANCIAL</vt:lpstr>
      <vt:lpstr>Centennial!SD_FINANCIAL</vt:lpstr>
      <vt:lpstr>'CO Bankers'!SD_FINANCIAL</vt:lpstr>
      <vt:lpstr>'Coastal States'!SD_FINANCIAL</vt:lpstr>
      <vt:lpstr>'Colorado Health'!SD_FINANCIAL</vt:lpstr>
      <vt:lpstr>'Compass (dbs Meritus)'!SD_FINANCIAL</vt:lpstr>
      <vt:lpstr>'Confed Life &amp; Annty (CLIAC)'!SD_FINANCIAL</vt:lpstr>
      <vt:lpstr>'Confed Life (CLIC)'!SD_FINANCIAL</vt:lpstr>
      <vt:lpstr>'Consolidated National'!SD_FINANCIAL</vt:lpstr>
      <vt:lpstr>'Consumers Choice'!SD_FINANCIAL</vt:lpstr>
      <vt:lpstr>'Consumers Mutual'!SD_FINANCIAL</vt:lpstr>
      <vt:lpstr>'Consumers United'!SD_FINANCIAL</vt:lpstr>
      <vt:lpstr>CoOportunity!SD_FINANCIAL</vt:lpstr>
      <vt:lpstr>'Coordinated Hlth'!SD_FINANCIAL</vt:lpstr>
      <vt:lpstr>'Corporate Life'!SD_FINANCIAL</vt:lpstr>
      <vt:lpstr>'Diamond Benefits'!SD_FINANCIAL</vt:lpstr>
      <vt:lpstr>'EBL Life'!SD_FINANCIAL</vt:lpstr>
      <vt:lpstr>ELNY!SD_FINANCIAL</vt:lpstr>
      <vt:lpstr>'Executive Life'!SD_FINANCIAL</vt:lpstr>
      <vt:lpstr>'Family Guaranty'!SD_FINANCIAL</vt:lpstr>
      <vt:lpstr>'Farmers &amp; Ranchers'!SD_FINANCIAL</vt:lpstr>
      <vt:lpstr>'Fidelity Bankers'!SD_FINANCIAL</vt:lpstr>
      <vt:lpstr>'Fidelity Mutual'!SD_FINANCIAL</vt:lpstr>
      <vt:lpstr>'First Capital'!SD_FINANCIAL</vt:lpstr>
      <vt:lpstr>'First Natl'!SD_FINANCIAL</vt:lpstr>
      <vt:lpstr>'First Natl (Thrnr)'!SD_FINANCIAL</vt:lpstr>
      <vt:lpstr>'Franklin American'!SD_FINANCIAL</vt:lpstr>
      <vt:lpstr>'Franklin Protective'!SD_FINANCIAL</vt:lpstr>
      <vt:lpstr>'Freelancers CO-OP'!SD_FINANCIAL</vt:lpstr>
      <vt:lpstr>Freestone!SD_FINANCIAL</vt:lpstr>
      <vt:lpstr>'George Washington'!SD_FINANCIAL</vt:lpstr>
      <vt:lpstr>'Golden State'!SD_FINANCIAL</vt:lpstr>
      <vt:lpstr>'Guarantee Security'!SD_FINANCIAL</vt:lpstr>
      <vt:lpstr>HealthyCT!SD_FINANCIAL</vt:lpstr>
      <vt:lpstr>Imerica!SD_FINANCIAL</vt:lpstr>
      <vt:lpstr>'Inter-American'!SD_FINANCIAL</vt:lpstr>
      <vt:lpstr>'International Fin'!SD_FINANCIAL</vt:lpstr>
      <vt:lpstr>'Investment Life of America'!SD_FINANCIAL</vt:lpstr>
      <vt:lpstr>'Investors Equity'!SD_FINANCIAL</vt:lpstr>
      <vt:lpstr>'Kentucky Central'!SD_FINANCIAL</vt:lpstr>
      <vt:lpstr>'Land of Lincoln'!SD_FINANCIAL</vt:lpstr>
      <vt:lpstr>Legion!SD_FINANCIAL</vt:lpstr>
      <vt:lpstr>'Life Health America'!SD_FINANCIAL</vt:lpstr>
      <vt:lpstr>'Lincoln Memorial'!SD_FINANCIAL</vt:lpstr>
      <vt:lpstr>'London Pac'!SD_FINANCIAL</vt:lpstr>
      <vt:lpstr>Lumbermens!SD_FINANCIAL</vt:lpstr>
      <vt:lpstr>'Medical Savings'!SD_FINANCIAL</vt:lpstr>
      <vt:lpstr>'Memorial Service'!SD_FINANCIAL</vt:lpstr>
      <vt:lpstr>Midcontinent!SD_FINANCIAL</vt:lpstr>
      <vt:lpstr>'Midwest Life'!SD_FINANCIAL</vt:lpstr>
      <vt:lpstr>'Monarch Life'!SD_FINANCIAL</vt:lpstr>
      <vt:lpstr>'Mutual Benefit'!SD_FINANCIAL</vt:lpstr>
      <vt:lpstr>'Mutual Security'!SD_FINANCIAL</vt:lpstr>
      <vt:lpstr>'National Affiliated'!SD_FINANCIAL</vt:lpstr>
      <vt:lpstr>'National Heritage'!SD_FINANCIAL</vt:lpstr>
      <vt:lpstr>'National States'!SD_FINANCIAL</vt:lpstr>
      <vt:lpstr>'Natl American'!SD_FINANCIAL</vt:lpstr>
      <vt:lpstr>'New Jersey Life'!SD_FINANCIAL</vt:lpstr>
      <vt:lpstr>NNIC!SD_FINANCIAL</vt:lpstr>
      <vt:lpstr>'North Carolina Mutual'!SD_FINANCIAL</vt:lpstr>
      <vt:lpstr>'Old Colony Life'!SD_FINANCIAL</vt:lpstr>
      <vt:lpstr>'Old Faithful'!SD_FINANCIAL</vt:lpstr>
      <vt:lpstr>'Pacific Standard'!SD_FINANCIAL</vt:lpstr>
      <vt:lpstr>'Pavonia Life'!SD_FINANCIAL</vt:lpstr>
      <vt:lpstr>'Pen  Treaty'!SD_FINANCIAL</vt:lpstr>
      <vt:lpstr>'Red Rock'!SD_FINANCIAL</vt:lpstr>
      <vt:lpstr>Reliance!SD_FINANCIAL</vt:lpstr>
      <vt:lpstr>SeeChange!SD_FINANCIAL</vt:lpstr>
      <vt:lpstr>'Senior American'!SD_FINANCIAL</vt:lpstr>
      <vt:lpstr>Settlers!SD_FINANCIAL</vt:lpstr>
      <vt:lpstr>Shenandoah!SD_FINANCIAL</vt:lpstr>
      <vt:lpstr>'Southland National Life'!SD_FINANCIAL</vt:lpstr>
      <vt:lpstr>'Standard Life IN'!SD_FINANCIAL</vt:lpstr>
      <vt:lpstr>'States General'!SD_FINANCIAL</vt:lpstr>
      <vt:lpstr>Statesman!SD_FINANCIAL</vt:lpstr>
      <vt:lpstr>'Summit National'!SD_FINANCIAL</vt:lpstr>
      <vt:lpstr>Supreme!SD_FINANCIAL</vt:lpstr>
      <vt:lpstr>Time!SD_FINANCIAL</vt:lpstr>
      <vt:lpstr>'Total Summary'!SD_FINANCIAL</vt:lpstr>
      <vt:lpstr>Underwriters!SD_FINANCIAL</vt:lpstr>
      <vt:lpstr>Unison!SD_FINANCIAL</vt:lpstr>
      <vt:lpstr>'United Republic'!SD_FINANCIAL</vt:lpstr>
      <vt:lpstr>'Universal Health Care'!SD_FINANCIAL</vt:lpstr>
      <vt:lpstr>'Universal Life'!SD_FINANCIAL</vt:lpstr>
      <vt:lpstr>Universe!SD_FINANCIAL</vt:lpstr>
      <vt:lpstr>Villanova!SD_FINANCIAL</vt:lpstr>
      <vt:lpstr>'Alabama Life'!TN_FINANCIAL</vt:lpstr>
      <vt:lpstr>'Amer Life Asr'!TN_FINANCIAL</vt:lpstr>
      <vt:lpstr>'Amer Std Life Acc'!TN_FINANCIAL</vt:lpstr>
      <vt:lpstr>'American Chambers'!TN_FINANCIAL</vt:lpstr>
      <vt:lpstr>'American Community'!TN_FINANCIAL</vt:lpstr>
      <vt:lpstr>'American Educators'!TN_FINANCIAL</vt:lpstr>
      <vt:lpstr>'American Integrity'!TN_FINANCIAL</vt:lpstr>
      <vt:lpstr>'American Medical'!TN_FINANCIAL</vt:lpstr>
      <vt:lpstr>'American Network'!TN_FINANCIAL</vt:lpstr>
      <vt:lpstr>AmerWstrn!TN_FINANCIAL</vt:lpstr>
      <vt:lpstr>'AMS Life'!TN_FINANCIAL</vt:lpstr>
      <vt:lpstr>'Andrew Jackson'!TN_FINANCIAL</vt:lpstr>
      <vt:lpstr>'Bankers Commercial'!TN_FINANCIAL</vt:lpstr>
      <vt:lpstr>'Bankers Life'!TN_FINANCIAL</vt:lpstr>
      <vt:lpstr>Benicorp!TN_FINANCIAL</vt:lpstr>
      <vt:lpstr>'Booker T Washington'!TN_FINANCIAL</vt:lpstr>
      <vt:lpstr>Centennial!TN_FINANCIAL</vt:lpstr>
      <vt:lpstr>'CO Bankers'!TN_FINANCIAL</vt:lpstr>
      <vt:lpstr>'Coastal States'!TN_FINANCIAL</vt:lpstr>
      <vt:lpstr>'Colorado Health'!TN_FINANCIAL</vt:lpstr>
      <vt:lpstr>'Compass (dbs Meritus)'!TN_FINANCIAL</vt:lpstr>
      <vt:lpstr>'Confed Life &amp; Annty (CLIAC)'!TN_FINANCIAL</vt:lpstr>
      <vt:lpstr>'Confed Life (CLIC)'!TN_FINANCIAL</vt:lpstr>
      <vt:lpstr>'Consolidated National'!TN_FINANCIAL</vt:lpstr>
      <vt:lpstr>'Consumers Choice'!TN_FINANCIAL</vt:lpstr>
      <vt:lpstr>'Consumers Mutual'!TN_FINANCIAL</vt:lpstr>
      <vt:lpstr>'Consumers United'!TN_FINANCIAL</vt:lpstr>
      <vt:lpstr>CoOportunity!TN_FINANCIAL</vt:lpstr>
      <vt:lpstr>'Coordinated Hlth'!TN_FINANCIAL</vt:lpstr>
      <vt:lpstr>'Corporate Life'!TN_FINANCIAL</vt:lpstr>
      <vt:lpstr>'Diamond Benefits'!TN_FINANCIAL</vt:lpstr>
      <vt:lpstr>'EBL Life'!TN_FINANCIAL</vt:lpstr>
      <vt:lpstr>ELNY!TN_FINANCIAL</vt:lpstr>
      <vt:lpstr>'Executive Life'!TN_FINANCIAL</vt:lpstr>
      <vt:lpstr>'Family Guaranty'!TN_FINANCIAL</vt:lpstr>
      <vt:lpstr>'Farmers &amp; Ranchers'!TN_FINANCIAL</vt:lpstr>
      <vt:lpstr>'Fidelity Bankers'!TN_FINANCIAL</vt:lpstr>
      <vt:lpstr>'Fidelity Mutual'!TN_FINANCIAL</vt:lpstr>
      <vt:lpstr>'First Capital'!TN_FINANCIAL</vt:lpstr>
      <vt:lpstr>'First Natl'!TN_FINANCIAL</vt:lpstr>
      <vt:lpstr>'First Natl (Thrnr)'!TN_FINANCIAL</vt:lpstr>
      <vt:lpstr>'Franklin American'!TN_FINANCIAL</vt:lpstr>
      <vt:lpstr>'Franklin Protective'!TN_FINANCIAL</vt:lpstr>
      <vt:lpstr>'Freelancers CO-OP'!TN_FINANCIAL</vt:lpstr>
      <vt:lpstr>Freestone!TN_FINANCIAL</vt:lpstr>
      <vt:lpstr>'George Washington'!TN_FINANCIAL</vt:lpstr>
      <vt:lpstr>'Golden State'!TN_FINANCIAL</vt:lpstr>
      <vt:lpstr>'Guarantee Security'!TN_FINANCIAL</vt:lpstr>
      <vt:lpstr>HealthyCT!TN_FINANCIAL</vt:lpstr>
      <vt:lpstr>Imerica!TN_FINANCIAL</vt:lpstr>
      <vt:lpstr>'Inter-American'!TN_FINANCIAL</vt:lpstr>
      <vt:lpstr>'International Fin'!TN_FINANCIAL</vt:lpstr>
      <vt:lpstr>'Investment Life of America'!TN_FINANCIAL</vt:lpstr>
      <vt:lpstr>'Investors Equity'!TN_FINANCIAL</vt:lpstr>
      <vt:lpstr>'Kentucky Central'!TN_FINANCIAL</vt:lpstr>
      <vt:lpstr>'Land of Lincoln'!TN_FINANCIAL</vt:lpstr>
      <vt:lpstr>Legion!TN_FINANCIAL</vt:lpstr>
      <vt:lpstr>'Life Health America'!TN_FINANCIAL</vt:lpstr>
      <vt:lpstr>'Lincoln Memorial'!TN_FINANCIAL</vt:lpstr>
      <vt:lpstr>'London Pac'!TN_FINANCIAL</vt:lpstr>
      <vt:lpstr>Lumbermens!TN_FINANCIAL</vt:lpstr>
      <vt:lpstr>'Medical Savings'!TN_FINANCIAL</vt:lpstr>
      <vt:lpstr>'Memorial Service'!TN_FINANCIAL</vt:lpstr>
      <vt:lpstr>Midcontinent!TN_FINANCIAL</vt:lpstr>
      <vt:lpstr>'Midwest Life'!TN_FINANCIAL</vt:lpstr>
      <vt:lpstr>'Monarch Life'!TN_FINANCIAL</vt:lpstr>
      <vt:lpstr>'Mutual Benefit'!TN_FINANCIAL</vt:lpstr>
      <vt:lpstr>'Mutual Security'!TN_FINANCIAL</vt:lpstr>
      <vt:lpstr>'National Affiliated'!TN_FINANCIAL</vt:lpstr>
      <vt:lpstr>'National Heritage'!TN_FINANCIAL</vt:lpstr>
      <vt:lpstr>'National States'!TN_FINANCIAL</vt:lpstr>
      <vt:lpstr>'Natl American'!TN_FINANCIAL</vt:lpstr>
      <vt:lpstr>'New Jersey Life'!TN_FINANCIAL</vt:lpstr>
      <vt:lpstr>NNIC!TN_FINANCIAL</vt:lpstr>
      <vt:lpstr>'North Carolina Mutual'!TN_FINANCIAL</vt:lpstr>
      <vt:lpstr>'Old Colony Life'!TN_FINANCIAL</vt:lpstr>
      <vt:lpstr>'Old Faithful'!TN_FINANCIAL</vt:lpstr>
      <vt:lpstr>'Pacific Standard'!TN_FINANCIAL</vt:lpstr>
      <vt:lpstr>'Pavonia Life'!TN_FINANCIAL</vt:lpstr>
      <vt:lpstr>'Pen  Treaty'!TN_FINANCIAL</vt:lpstr>
      <vt:lpstr>'Red Rock'!TN_FINANCIAL</vt:lpstr>
      <vt:lpstr>Reliance!TN_FINANCIAL</vt:lpstr>
      <vt:lpstr>SeeChange!TN_FINANCIAL</vt:lpstr>
      <vt:lpstr>'Senior American'!TN_FINANCIAL</vt:lpstr>
      <vt:lpstr>Settlers!TN_FINANCIAL</vt:lpstr>
      <vt:lpstr>Shenandoah!TN_FINANCIAL</vt:lpstr>
      <vt:lpstr>'Southland National Life'!TN_FINANCIAL</vt:lpstr>
      <vt:lpstr>'Standard Life IN'!TN_FINANCIAL</vt:lpstr>
      <vt:lpstr>'States General'!TN_FINANCIAL</vt:lpstr>
      <vt:lpstr>Statesman!TN_FINANCIAL</vt:lpstr>
      <vt:lpstr>'Summit National'!TN_FINANCIAL</vt:lpstr>
      <vt:lpstr>Supreme!TN_FINANCIAL</vt:lpstr>
      <vt:lpstr>Time!TN_FINANCIAL</vt:lpstr>
      <vt:lpstr>'Total Summary'!TN_FINANCIAL</vt:lpstr>
      <vt:lpstr>Underwriters!TN_FINANCIAL</vt:lpstr>
      <vt:lpstr>Unison!TN_FINANCIAL</vt:lpstr>
      <vt:lpstr>'United Republic'!TN_FINANCIAL</vt:lpstr>
      <vt:lpstr>'Universal Health Care'!TN_FINANCIAL</vt:lpstr>
      <vt:lpstr>'Universal Life'!TN_FINANCIAL</vt:lpstr>
      <vt:lpstr>Universe!TN_FINANCIAL</vt:lpstr>
      <vt:lpstr>Villanova!TN_FINANCIAL</vt:lpstr>
      <vt:lpstr>'Closed Summary'!TOTAL</vt:lpstr>
      <vt:lpstr>'Estate Closed Summary'!TOTAL</vt:lpstr>
      <vt:lpstr>'Open Summary'!TOTAL</vt:lpstr>
      <vt:lpstr>'Pre-Liquidation Summary'!TOTAL</vt:lpstr>
      <vt:lpstr>'Released from Oversight Summary'!TOTAL</vt:lpstr>
      <vt:lpstr>Summary!TOTAL_10197</vt:lpstr>
      <vt:lpstr>Summary!TOTAL_12577</vt:lpstr>
      <vt:lpstr>Summary!TOTAL_15046</vt:lpstr>
      <vt:lpstr>Summary!TOTAL_15092</vt:lpstr>
      <vt:lpstr>Summary!TOTAL_15093</vt:lpstr>
      <vt:lpstr>Summary!TOTAL_15102</vt:lpstr>
      <vt:lpstr>Summary!TOTAL_15126</vt:lpstr>
      <vt:lpstr>Summary!TOTAL_15128</vt:lpstr>
      <vt:lpstr>Summary!TOTAL_15145</vt:lpstr>
      <vt:lpstr>Summary!TOTAL_15197</vt:lpstr>
      <vt:lpstr>Summary!TOTAL_15314</vt:lpstr>
      <vt:lpstr>Summary!TOTAL_18538</vt:lpstr>
      <vt:lpstr>Summary!TOTAL_19577</vt:lpstr>
      <vt:lpstr>Summary!TOTAL_22977</vt:lpstr>
      <vt:lpstr>Summary!TOTAL_23914</vt:lpstr>
      <vt:lpstr>Summary!TOTAL_24422</vt:lpstr>
      <vt:lpstr>Summary!TOTAL_24457</vt:lpstr>
      <vt:lpstr>Summary!TOTAL_60305</vt:lpstr>
      <vt:lpstr>Summary!TOTAL_60356</vt:lpstr>
      <vt:lpstr>Summary!TOTAL_60593</vt:lpstr>
      <vt:lpstr>Summary!TOTAL_60917</vt:lpstr>
      <vt:lpstr>Summary!TOTAL_60968</vt:lpstr>
      <vt:lpstr>Summary!TOTAL_61220</vt:lpstr>
      <vt:lpstr>Summary!TOTAL_61468</vt:lpstr>
      <vt:lpstr>Summary!TOTAL_61654</vt:lpstr>
      <vt:lpstr>Summary!TOTAL_61913</vt:lpstr>
      <vt:lpstr>Summary!TOTAL_61980</vt:lpstr>
      <vt:lpstr>Summary!TOTAL_62278</vt:lpstr>
      <vt:lpstr>Summary!TOTAL_63010</vt:lpstr>
      <vt:lpstr>Summary!TOTAL_63185</vt:lpstr>
      <vt:lpstr>Summary!TOTAL_63266</vt:lpstr>
      <vt:lpstr>Summary!TOTAL_63282</vt:lpstr>
      <vt:lpstr>Summary!TOTAL_63304</vt:lpstr>
      <vt:lpstr>Summary!TOTAL_63452</vt:lpstr>
      <vt:lpstr>Summary!TOTAL_63517</vt:lpstr>
      <vt:lpstr>Summary!TOTAL_63525</vt:lpstr>
      <vt:lpstr>Summary!TOTAL_63533</vt:lpstr>
      <vt:lpstr>Summary!TOTAL_63541</vt:lpstr>
      <vt:lpstr>Summary!TOTAL_63770</vt:lpstr>
      <vt:lpstr>Summary!TOTAL_63924</vt:lpstr>
      <vt:lpstr>Summary!TOTAL_64084</vt:lpstr>
      <vt:lpstr>Summary!TOTAL_64220</vt:lpstr>
      <vt:lpstr>Summary!TOTAL_64874</vt:lpstr>
      <vt:lpstr>Summary!TOTAL_65161</vt:lpstr>
      <vt:lpstr>Summary!TOTAL_65188</vt:lpstr>
      <vt:lpstr>Summary!TOTAL_65447</vt:lpstr>
      <vt:lpstr>Summary!TOTAL_66001</vt:lpstr>
      <vt:lpstr>Summary!TOTAL_66060</vt:lpstr>
      <vt:lpstr>Summary!TOTAL_66265</vt:lpstr>
      <vt:lpstr>Summary!TOTAL_66362</vt:lpstr>
      <vt:lpstr>Summary!TOTAL_66400</vt:lpstr>
      <vt:lpstr>Summary!TOTAL_66907</vt:lpstr>
      <vt:lpstr>Summary!TOTAL_67032</vt:lpstr>
      <vt:lpstr>Summary!TOTAL_67210</vt:lpstr>
      <vt:lpstr>Summary!TOTAL_67229</vt:lpstr>
      <vt:lpstr>Summary!TOTAL_68055</vt:lpstr>
      <vt:lpstr>Summary!TOTAL_68489</vt:lpstr>
      <vt:lpstr>Summary!TOTAL_68845</vt:lpstr>
      <vt:lpstr>Summary!TOTAL_68934</vt:lpstr>
      <vt:lpstr>Summary!TOTAL_69051</vt:lpstr>
      <vt:lpstr>Summary!TOTAL_69175</vt:lpstr>
      <vt:lpstr>Summary!TOTAL_69183</vt:lpstr>
      <vt:lpstr>Summary!TOTAL_69221</vt:lpstr>
      <vt:lpstr>Summary!TOTAL_69302</vt:lpstr>
      <vt:lpstr>Summary!TOTAL_69370</vt:lpstr>
      <vt:lpstr>Summary!TOTAL_69477</vt:lpstr>
      <vt:lpstr>Summary!TOTAL_69752</vt:lpstr>
      <vt:lpstr>Summary!TOTAL_69833</vt:lpstr>
      <vt:lpstr>Summary!TOTAL_70157</vt:lpstr>
      <vt:lpstr>Summary!TOTAL_70181</vt:lpstr>
      <vt:lpstr>Summary!TOTAL_71080</vt:lpstr>
      <vt:lpstr>Summary!TOTAL_71382</vt:lpstr>
      <vt:lpstr>Summary!TOTAL_72842</vt:lpstr>
      <vt:lpstr>Summary!TOTAL_74217A</vt:lpstr>
      <vt:lpstr>Summary!TOTAL_74705</vt:lpstr>
      <vt:lpstr>Summary!TOTAL_74926</vt:lpstr>
      <vt:lpstr>Summary!TOTAL_74969</vt:lpstr>
      <vt:lpstr>Summary!TOTAL_75302</vt:lpstr>
      <vt:lpstr>Summary!TOTAL_75914</vt:lpstr>
      <vt:lpstr>Summary!TOTAL_76015</vt:lpstr>
      <vt:lpstr>Summary!TOTAL_76759</vt:lpstr>
      <vt:lpstr>Summary!TOTAL_77887</vt:lpstr>
      <vt:lpstr>Summary!TOTAL_79057</vt:lpstr>
      <vt:lpstr>Summary!TOTAL_80667</vt:lpstr>
      <vt:lpstr>Summary!TOTAL_81043</vt:lpstr>
      <vt:lpstr>Summary!TOTAL_81078</vt:lpstr>
      <vt:lpstr>Summary!TOTAL_81418</vt:lpstr>
      <vt:lpstr>Summary!TOTAL_84271</vt:lpstr>
      <vt:lpstr>Summary!TOTAL_84786</vt:lpstr>
      <vt:lpstr>Summary!TOTAL_86142</vt:lpstr>
      <vt:lpstr>Summary!TOTAL_87033</vt:lpstr>
      <vt:lpstr>Summary!TOTAL_88161</vt:lpstr>
      <vt:lpstr>Summary!TOTAL_88188</vt:lpstr>
      <vt:lpstr>Summary!TOTAL_93238</vt:lpstr>
      <vt:lpstr>Summary!TOTAL_93777</vt:lpstr>
      <vt:lpstr>Summary!TOTAL_97284</vt:lpstr>
      <vt:lpstr>Summary!TOTAL_98655</vt:lpstr>
      <vt:lpstr>Summary!TOTAL_98825</vt:lpstr>
      <vt:lpstr>Summary!TOTAL_99384</vt:lpstr>
      <vt:lpstr>'Closed Summary'!TOTAL_CROSSCHECK</vt:lpstr>
      <vt:lpstr>'Estate Closed Summary'!TOTAL_CROSSCHECK</vt:lpstr>
      <vt:lpstr>'Open Summary'!TOTAL_CROSSCHECK</vt:lpstr>
      <vt:lpstr>'Pre-Liquidation Summary'!TOTAL_CROSSCHECK</vt:lpstr>
      <vt:lpstr>'Released from Oversight Summary'!TOTAL_CROSSCHECK</vt:lpstr>
      <vt:lpstr>'Alabama Life'!TX_FINANCIAL</vt:lpstr>
      <vt:lpstr>'Amer Life Asr'!TX_FINANCIAL</vt:lpstr>
      <vt:lpstr>'Amer Std Life Acc'!TX_FINANCIAL</vt:lpstr>
      <vt:lpstr>'American Chambers'!TX_FINANCIAL</vt:lpstr>
      <vt:lpstr>'American Community'!TX_FINANCIAL</vt:lpstr>
      <vt:lpstr>'American Educators'!TX_FINANCIAL</vt:lpstr>
      <vt:lpstr>'American Integrity'!TX_FINANCIAL</vt:lpstr>
      <vt:lpstr>'American Medical'!TX_FINANCIAL</vt:lpstr>
      <vt:lpstr>'American Network'!TX_FINANCIAL</vt:lpstr>
      <vt:lpstr>AmerWstrn!TX_FINANCIAL</vt:lpstr>
      <vt:lpstr>'AMS Life'!TX_FINANCIAL</vt:lpstr>
      <vt:lpstr>'Andrew Jackson'!TX_FINANCIAL</vt:lpstr>
      <vt:lpstr>'Bankers Commercial'!TX_FINANCIAL</vt:lpstr>
      <vt:lpstr>'Bankers Life'!TX_FINANCIAL</vt:lpstr>
      <vt:lpstr>Benicorp!TX_FINANCIAL</vt:lpstr>
      <vt:lpstr>'Booker T Washington'!TX_FINANCIAL</vt:lpstr>
      <vt:lpstr>Centennial!TX_FINANCIAL</vt:lpstr>
      <vt:lpstr>'CO Bankers'!TX_FINANCIAL</vt:lpstr>
      <vt:lpstr>'Coastal States'!TX_FINANCIAL</vt:lpstr>
      <vt:lpstr>'Colorado Health'!TX_FINANCIAL</vt:lpstr>
      <vt:lpstr>'Compass (dbs Meritus)'!TX_FINANCIAL</vt:lpstr>
      <vt:lpstr>'Confed Life &amp; Annty (CLIAC)'!TX_FINANCIAL</vt:lpstr>
      <vt:lpstr>'Confed Life (CLIC)'!TX_FINANCIAL</vt:lpstr>
      <vt:lpstr>'Consolidated National'!TX_FINANCIAL</vt:lpstr>
      <vt:lpstr>'Consumers Choice'!TX_FINANCIAL</vt:lpstr>
      <vt:lpstr>'Consumers Mutual'!TX_FINANCIAL</vt:lpstr>
      <vt:lpstr>'Consumers United'!TX_FINANCIAL</vt:lpstr>
      <vt:lpstr>CoOportunity!TX_FINANCIAL</vt:lpstr>
      <vt:lpstr>'Coordinated Hlth'!TX_FINANCIAL</vt:lpstr>
      <vt:lpstr>'Corporate Life'!TX_FINANCIAL</vt:lpstr>
      <vt:lpstr>'Diamond Benefits'!TX_FINANCIAL</vt:lpstr>
      <vt:lpstr>'EBL Life'!TX_FINANCIAL</vt:lpstr>
      <vt:lpstr>ELNY!TX_FINANCIAL</vt:lpstr>
      <vt:lpstr>'Executive Life'!TX_FINANCIAL</vt:lpstr>
      <vt:lpstr>'Family Guaranty'!TX_FINANCIAL</vt:lpstr>
      <vt:lpstr>'Farmers &amp; Ranchers'!TX_FINANCIAL</vt:lpstr>
      <vt:lpstr>'Fidelity Bankers'!TX_FINANCIAL</vt:lpstr>
      <vt:lpstr>'Fidelity Mutual'!TX_FINANCIAL</vt:lpstr>
      <vt:lpstr>'First Capital'!TX_FINANCIAL</vt:lpstr>
      <vt:lpstr>'First Natl'!TX_FINANCIAL</vt:lpstr>
      <vt:lpstr>'First Natl (Thrnr)'!TX_FINANCIAL</vt:lpstr>
      <vt:lpstr>'Franklin American'!TX_FINANCIAL</vt:lpstr>
      <vt:lpstr>'Franklin Protective'!TX_FINANCIAL</vt:lpstr>
      <vt:lpstr>'Freelancers CO-OP'!TX_FINANCIAL</vt:lpstr>
      <vt:lpstr>Freestone!TX_FINANCIAL</vt:lpstr>
      <vt:lpstr>'George Washington'!TX_FINANCIAL</vt:lpstr>
      <vt:lpstr>'Golden State'!TX_FINANCIAL</vt:lpstr>
      <vt:lpstr>'Guarantee Security'!TX_FINANCIAL</vt:lpstr>
      <vt:lpstr>HealthyCT!TX_FINANCIAL</vt:lpstr>
      <vt:lpstr>Imerica!TX_FINANCIAL</vt:lpstr>
      <vt:lpstr>'Inter-American'!TX_FINANCIAL</vt:lpstr>
      <vt:lpstr>'International Fin'!TX_FINANCIAL</vt:lpstr>
      <vt:lpstr>'Investment Life of America'!TX_FINANCIAL</vt:lpstr>
      <vt:lpstr>'Investors Equity'!TX_FINANCIAL</vt:lpstr>
      <vt:lpstr>'Kentucky Central'!TX_FINANCIAL</vt:lpstr>
      <vt:lpstr>'Land of Lincoln'!TX_FINANCIAL</vt:lpstr>
      <vt:lpstr>Legion!TX_FINANCIAL</vt:lpstr>
      <vt:lpstr>'Life Health America'!TX_FINANCIAL</vt:lpstr>
      <vt:lpstr>'Lincoln Memorial'!TX_FINANCIAL</vt:lpstr>
      <vt:lpstr>'London Pac'!TX_FINANCIAL</vt:lpstr>
      <vt:lpstr>Lumbermens!TX_FINANCIAL</vt:lpstr>
      <vt:lpstr>'Medical Savings'!TX_FINANCIAL</vt:lpstr>
      <vt:lpstr>'Memorial Service'!TX_FINANCIAL</vt:lpstr>
      <vt:lpstr>Midcontinent!TX_FINANCIAL</vt:lpstr>
      <vt:lpstr>'Midwest Life'!TX_FINANCIAL</vt:lpstr>
      <vt:lpstr>'Monarch Life'!TX_FINANCIAL</vt:lpstr>
      <vt:lpstr>'Mutual Benefit'!TX_FINANCIAL</vt:lpstr>
      <vt:lpstr>'Mutual Security'!TX_FINANCIAL</vt:lpstr>
      <vt:lpstr>'National Affiliated'!TX_FINANCIAL</vt:lpstr>
      <vt:lpstr>'National Heritage'!TX_FINANCIAL</vt:lpstr>
      <vt:lpstr>'National States'!TX_FINANCIAL</vt:lpstr>
      <vt:lpstr>'Natl American'!TX_FINANCIAL</vt:lpstr>
      <vt:lpstr>'New Jersey Life'!TX_FINANCIAL</vt:lpstr>
      <vt:lpstr>NNIC!TX_FINANCIAL</vt:lpstr>
      <vt:lpstr>'North Carolina Mutual'!TX_FINANCIAL</vt:lpstr>
      <vt:lpstr>'Old Colony Life'!TX_FINANCIAL</vt:lpstr>
      <vt:lpstr>'Old Faithful'!TX_FINANCIAL</vt:lpstr>
      <vt:lpstr>'Pacific Standard'!TX_FINANCIAL</vt:lpstr>
      <vt:lpstr>'Pavonia Life'!TX_FINANCIAL</vt:lpstr>
      <vt:lpstr>'Pen  Treaty'!TX_FINANCIAL</vt:lpstr>
      <vt:lpstr>'Red Rock'!TX_FINANCIAL</vt:lpstr>
      <vt:lpstr>Reliance!TX_FINANCIAL</vt:lpstr>
      <vt:lpstr>SeeChange!TX_FINANCIAL</vt:lpstr>
      <vt:lpstr>'Senior American'!TX_FINANCIAL</vt:lpstr>
      <vt:lpstr>Settlers!TX_FINANCIAL</vt:lpstr>
      <vt:lpstr>Shenandoah!TX_FINANCIAL</vt:lpstr>
      <vt:lpstr>'Southland National Life'!TX_FINANCIAL</vt:lpstr>
      <vt:lpstr>'Standard Life IN'!TX_FINANCIAL</vt:lpstr>
      <vt:lpstr>'States General'!TX_FINANCIAL</vt:lpstr>
      <vt:lpstr>Statesman!TX_FINANCIAL</vt:lpstr>
      <vt:lpstr>'Summit National'!TX_FINANCIAL</vt:lpstr>
      <vt:lpstr>Supreme!TX_FINANCIAL</vt:lpstr>
      <vt:lpstr>Time!TX_FINANCIAL</vt:lpstr>
      <vt:lpstr>'Total Summary'!TX_FINANCIAL</vt:lpstr>
      <vt:lpstr>Underwriters!TX_FINANCIAL</vt:lpstr>
      <vt:lpstr>Unison!TX_FINANCIAL</vt:lpstr>
      <vt:lpstr>'United Republic'!TX_FINANCIAL</vt:lpstr>
      <vt:lpstr>'Universal Health Care'!TX_FINANCIAL</vt:lpstr>
      <vt:lpstr>'Universal Life'!TX_FINANCIAL</vt:lpstr>
      <vt:lpstr>Universe!TX_FINANCIAL</vt:lpstr>
      <vt:lpstr>Villanova!TX_FINANCIAL</vt:lpstr>
      <vt:lpstr>'Alabama Life'!UNALLOC_CALLED</vt:lpstr>
      <vt:lpstr>'Amer Life Asr'!UNALLOC_CALLED</vt:lpstr>
      <vt:lpstr>'Amer Std Life Acc'!UNALLOC_CALLED</vt:lpstr>
      <vt:lpstr>'American Chambers'!UNALLOC_CALLED</vt:lpstr>
      <vt:lpstr>'American Community'!UNALLOC_CALLED</vt:lpstr>
      <vt:lpstr>'American Educators'!UNALLOC_CALLED</vt:lpstr>
      <vt:lpstr>'American Integrity'!UNALLOC_CALLED</vt:lpstr>
      <vt:lpstr>'American Medical'!UNALLOC_CALLED</vt:lpstr>
      <vt:lpstr>'American Network'!UNALLOC_CALLED</vt:lpstr>
      <vt:lpstr>AmerWstrn!UNALLOC_CALLED</vt:lpstr>
      <vt:lpstr>'AMS Life'!UNALLOC_CALLED</vt:lpstr>
      <vt:lpstr>'Andrew Jackson'!UNALLOC_CALLED</vt:lpstr>
      <vt:lpstr>'Bankers Commercial'!UNALLOC_CALLED</vt:lpstr>
      <vt:lpstr>'Bankers Life'!UNALLOC_CALLED</vt:lpstr>
      <vt:lpstr>Benicorp!UNALLOC_CALLED</vt:lpstr>
      <vt:lpstr>'Booker T Washington'!UNALLOC_CALLED</vt:lpstr>
      <vt:lpstr>Centennial!UNALLOC_CALLED</vt:lpstr>
      <vt:lpstr>'CO Bankers'!UNALLOC_CALLED</vt:lpstr>
      <vt:lpstr>'Coastal States'!UNALLOC_CALLED</vt:lpstr>
      <vt:lpstr>'Colorado Health'!UNALLOC_CALLED</vt:lpstr>
      <vt:lpstr>'Compass (dbs Meritus)'!UNALLOC_CALLED</vt:lpstr>
      <vt:lpstr>'Confed Life &amp; Annty (CLIAC)'!UNALLOC_CALLED</vt:lpstr>
      <vt:lpstr>'Confed Life (CLIC)'!UNALLOC_CALLED</vt:lpstr>
      <vt:lpstr>'Consolidated National'!UNALLOC_CALLED</vt:lpstr>
      <vt:lpstr>'Consumers Choice'!UNALLOC_CALLED</vt:lpstr>
      <vt:lpstr>'Consumers Mutual'!UNALLOC_CALLED</vt:lpstr>
      <vt:lpstr>'Consumers United'!UNALLOC_CALLED</vt:lpstr>
      <vt:lpstr>CoOportunity!UNALLOC_CALLED</vt:lpstr>
      <vt:lpstr>'Coordinated Hlth'!UNALLOC_CALLED</vt:lpstr>
      <vt:lpstr>'Corporate Life'!UNALLOC_CALLED</vt:lpstr>
      <vt:lpstr>'Diamond Benefits'!UNALLOC_CALLED</vt:lpstr>
      <vt:lpstr>'EBL Life'!UNALLOC_CALLED</vt:lpstr>
      <vt:lpstr>ELNY!UNALLOC_CALLED</vt:lpstr>
      <vt:lpstr>'Executive Life'!UNALLOC_CALLED</vt:lpstr>
      <vt:lpstr>'Family Guaranty'!UNALLOC_CALLED</vt:lpstr>
      <vt:lpstr>'Farmers &amp; Ranchers'!UNALLOC_CALLED</vt:lpstr>
      <vt:lpstr>'Fidelity Bankers'!UNALLOC_CALLED</vt:lpstr>
      <vt:lpstr>'Fidelity Mutual'!UNALLOC_CALLED</vt:lpstr>
      <vt:lpstr>'First Capital'!UNALLOC_CALLED</vt:lpstr>
      <vt:lpstr>'First Natl'!UNALLOC_CALLED</vt:lpstr>
      <vt:lpstr>'First Natl (Thrnr)'!UNALLOC_CALLED</vt:lpstr>
      <vt:lpstr>'Franklin American'!UNALLOC_CALLED</vt:lpstr>
      <vt:lpstr>'Franklin Protective'!UNALLOC_CALLED</vt:lpstr>
      <vt:lpstr>'Freelancers CO-OP'!UNALLOC_CALLED</vt:lpstr>
      <vt:lpstr>Freestone!UNALLOC_CALLED</vt:lpstr>
      <vt:lpstr>'George Washington'!UNALLOC_CALLED</vt:lpstr>
      <vt:lpstr>'Golden State'!UNALLOC_CALLED</vt:lpstr>
      <vt:lpstr>'Guarantee Security'!UNALLOC_CALLED</vt:lpstr>
      <vt:lpstr>HealthyCT!UNALLOC_CALLED</vt:lpstr>
      <vt:lpstr>Imerica!UNALLOC_CALLED</vt:lpstr>
      <vt:lpstr>'Inter-American'!UNALLOC_CALLED</vt:lpstr>
      <vt:lpstr>'International Fin'!UNALLOC_CALLED</vt:lpstr>
      <vt:lpstr>'Investment Life of America'!UNALLOC_CALLED</vt:lpstr>
      <vt:lpstr>'Investors Equity'!UNALLOC_CALLED</vt:lpstr>
      <vt:lpstr>'Kentucky Central'!UNALLOC_CALLED</vt:lpstr>
      <vt:lpstr>'Land of Lincoln'!UNALLOC_CALLED</vt:lpstr>
      <vt:lpstr>Legion!UNALLOC_CALLED</vt:lpstr>
      <vt:lpstr>'Life Health America'!UNALLOC_CALLED</vt:lpstr>
      <vt:lpstr>'Lincoln Memorial'!UNALLOC_CALLED</vt:lpstr>
      <vt:lpstr>'London Pac'!UNALLOC_CALLED</vt:lpstr>
      <vt:lpstr>Lumbermens!UNALLOC_CALLED</vt:lpstr>
      <vt:lpstr>'Medical Savings'!UNALLOC_CALLED</vt:lpstr>
      <vt:lpstr>'Memorial Service'!UNALLOC_CALLED</vt:lpstr>
      <vt:lpstr>Midcontinent!UNALLOC_CALLED</vt:lpstr>
      <vt:lpstr>'Midwest Life'!UNALLOC_CALLED</vt:lpstr>
      <vt:lpstr>'Monarch Life'!UNALLOC_CALLED</vt:lpstr>
      <vt:lpstr>'Mutual Benefit'!UNALLOC_CALLED</vt:lpstr>
      <vt:lpstr>'Mutual Security'!UNALLOC_CALLED</vt:lpstr>
      <vt:lpstr>'National Affiliated'!UNALLOC_CALLED</vt:lpstr>
      <vt:lpstr>'National Heritage'!UNALLOC_CALLED</vt:lpstr>
      <vt:lpstr>'National States'!UNALLOC_CALLED</vt:lpstr>
      <vt:lpstr>'Natl American'!UNALLOC_CALLED</vt:lpstr>
      <vt:lpstr>'New Jersey Life'!UNALLOC_CALLED</vt:lpstr>
      <vt:lpstr>NNIC!UNALLOC_CALLED</vt:lpstr>
      <vt:lpstr>'North Carolina Mutual'!UNALLOC_CALLED</vt:lpstr>
      <vt:lpstr>'Old Colony Life'!UNALLOC_CALLED</vt:lpstr>
      <vt:lpstr>'Old Faithful'!UNALLOC_CALLED</vt:lpstr>
      <vt:lpstr>'Pacific Standard'!UNALLOC_CALLED</vt:lpstr>
      <vt:lpstr>'Pavonia Life'!UNALLOC_CALLED</vt:lpstr>
      <vt:lpstr>'Pen  Treaty'!UNALLOC_CALLED</vt:lpstr>
      <vt:lpstr>'Red Rock'!UNALLOC_CALLED</vt:lpstr>
      <vt:lpstr>Reliance!UNALLOC_CALLED</vt:lpstr>
      <vt:lpstr>SeeChange!UNALLOC_CALLED</vt:lpstr>
      <vt:lpstr>'Senior American'!UNALLOC_CALLED</vt:lpstr>
      <vt:lpstr>Settlers!UNALLOC_CALLED</vt:lpstr>
      <vt:lpstr>Shenandoah!UNALLOC_CALLED</vt:lpstr>
      <vt:lpstr>'Southland National Life'!UNALLOC_CALLED</vt:lpstr>
      <vt:lpstr>'Standard Life IN'!UNALLOC_CALLED</vt:lpstr>
      <vt:lpstr>'States General'!UNALLOC_CALLED</vt:lpstr>
      <vt:lpstr>Statesman!UNALLOC_CALLED</vt:lpstr>
      <vt:lpstr>'Summit National'!UNALLOC_CALLED</vt:lpstr>
      <vt:lpstr>Supreme!UNALLOC_CALLED</vt:lpstr>
      <vt:lpstr>Time!UNALLOC_CALLED</vt:lpstr>
      <vt:lpstr>'Total Summary'!UNALLOC_CALLED</vt:lpstr>
      <vt:lpstr>Underwriters!UNALLOC_CALLED</vt:lpstr>
      <vt:lpstr>Unison!UNALLOC_CALLED</vt:lpstr>
      <vt:lpstr>'United Republic'!UNALLOC_CALLED</vt:lpstr>
      <vt:lpstr>'Universal Health Care'!UNALLOC_CALLED</vt:lpstr>
      <vt:lpstr>'Universal Life'!UNALLOC_CALLED</vt:lpstr>
      <vt:lpstr>Universe!UNALLOC_CALLED</vt:lpstr>
      <vt:lpstr>Villanova!UNALLOC_CALLED</vt:lpstr>
      <vt:lpstr>'Alabama Life'!UNALLOC_REFUNDED</vt:lpstr>
      <vt:lpstr>'Amer Life Asr'!UNALLOC_REFUNDED</vt:lpstr>
      <vt:lpstr>'Amer Std Life Acc'!UNALLOC_REFUNDED</vt:lpstr>
      <vt:lpstr>'American Chambers'!UNALLOC_REFUNDED</vt:lpstr>
      <vt:lpstr>'American Community'!UNALLOC_REFUNDED</vt:lpstr>
      <vt:lpstr>'American Educators'!UNALLOC_REFUNDED</vt:lpstr>
      <vt:lpstr>'American Integrity'!UNALLOC_REFUNDED</vt:lpstr>
      <vt:lpstr>'American Medical'!UNALLOC_REFUNDED</vt:lpstr>
      <vt:lpstr>'American Network'!UNALLOC_REFUNDED</vt:lpstr>
      <vt:lpstr>AmerWstrn!UNALLOC_REFUNDED</vt:lpstr>
      <vt:lpstr>'AMS Life'!UNALLOC_REFUNDED</vt:lpstr>
      <vt:lpstr>'Andrew Jackson'!UNALLOC_REFUNDED</vt:lpstr>
      <vt:lpstr>'Bankers Commercial'!UNALLOC_REFUNDED</vt:lpstr>
      <vt:lpstr>'Bankers Life'!UNALLOC_REFUNDED</vt:lpstr>
      <vt:lpstr>Benicorp!UNALLOC_REFUNDED</vt:lpstr>
      <vt:lpstr>'Booker T Washington'!UNALLOC_REFUNDED</vt:lpstr>
      <vt:lpstr>Centennial!UNALLOC_REFUNDED</vt:lpstr>
      <vt:lpstr>'CO Bankers'!UNALLOC_REFUNDED</vt:lpstr>
      <vt:lpstr>'Coastal States'!UNALLOC_REFUNDED</vt:lpstr>
      <vt:lpstr>'Colorado Health'!UNALLOC_REFUNDED</vt:lpstr>
      <vt:lpstr>'Compass (dbs Meritus)'!UNALLOC_REFUNDED</vt:lpstr>
      <vt:lpstr>'Confed Life &amp; Annty (CLIAC)'!UNALLOC_REFUNDED</vt:lpstr>
      <vt:lpstr>'Confed Life (CLIC)'!UNALLOC_REFUNDED</vt:lpstr>
      <vt:lpstr>'Consolidated National'!UNALLOC_REFUNDED</vt:lpstr>
      <vt:lpstr>'Consumers Choice'!UNALLOC_REFUNDED</vt:lpstr>
      <vt:lpstr>'Consumers Mutual'!UNALLOC_REFUNDED</vt:lpstr>
      <vt:lpstr>'Consumers United'!UNALLOC_REFUNDED</vt:lpstr>
      <vt:lpstr>CoOportunity!UNALLOC_REFUNDED</vt:lpstr>
      <vt:lpstr>'Coordinated Hlth'!UNALLOC_REFUNDED</vt:lpstr>
      <vt:lpstr>'Corporate Life'!UNALLOC_REFUNDED</vt:lpstr>
      <vt:lpstr>'Diamond Benefits'!UNALLOC_REFUNDED</vt:lpstr>
      <vt:lpstr>'EBL Life'!UNALLOC_REFUNDED</vt:lpstr>
      <vt:lpstr>ELNY!UNALLOC_REFUNDED</vt:lpstr>
      <vt:lpstr>'Executive Life'!UNALLOC_REFUNDED</vt:lpstr>
      <vt:lpstr>'Family Guaranty'!UNALLOC_REFUNDED</vt:lpstr>
      <vt:lpstr>'Farmers &amp; Ranchers'!UNALLOC_REFUNDED</vt:lpstr>
      <vt:lpstr>'Fidelity Bankers'!UNALLOC_REFUNDED</vt:lpstr>
      <vt:lpstr>'Fidelity Mutual'!UNALLOC_REFUNDED</vt:lpstr>
      <vt:lpstr>'First Capital'!UNALLOC_REFUNDED</vt:lpstr>
      <vt:lpstr>'First Natl'!UNALLOC_REFUNDED</vt:lpstr>
      <vt:lpstr>'First Natl (Thrnr)'!UNALLOC_REFUNDED</vt:lpstr>
      <vt:lpstr>'Franklin American'!UNALLOC_REFUNDED</vt:lpstr>
      <vt:lpstr>'Franklin Protective'!UNALLOC_REFUNDED</vt:lpstr>
      <vt:lpstr>'Freelancers CO-OP'!UNALLOC_REFUNDED</vt:lpstr>
      <vt:lpstr>Freestone!UNALLOC_REFUNDED</vt:lpstr>
      <vt:lpstr>'George Washington'!UNALLOC_REFUNDED</vt:lpstr>
      <vt:lpstr>'Golden State'!UNALLOC_REFUNDED</vt:lpstr>
      <vt:lpstr>'Guarantee Security'!UNALLOC_REFUNDED</vt:lpstr>
      <vt:lpstr>HealthyCT!UNALLOC_REFUNDED</vt:lpstr>
      <vt:lpstr>Imerica!UNALLOC_REFUNDED</vt:lpstr>
      <vt:lpstr>'Inter-American'!UNALLOC_REFUNDED</vt:lpstr>
      <vt:lpstr>'International Fin'!UNALLOC_REFUNDED</vt:lpstr>
      <vt:lpstr>'Investment Life of America'!UNALLOC_REFUNDED</vt:lpstr>
      <vt:lpstr>'Investors Equity'!UNALLOC_REFUNDED</vt:lpstr>
      <vt:lpstr>'Kentucky Central'!UNALLOC_REFUNDED</vt:lpstr>
      <vt:lpstr>'Land of Lincoln'!UNALLOC_REFUNDED</vt:lpstr>
      <vt:lpstr>Legion!UNALLOC_REFUNDED</vt:lpstr>
      <vt:lpstr>'Life Health America'!UNALLOC_REFUNDED</vt:lpstr>
      <vt:lpstr>'Lincoln Memorial'!UNALLOC_REFUNDED</vt:lpstr>
      <vt:lpstr>'London Pac'!UNALLOC_REFUNDED</vt:lpstr>
      <vt:lpstr>Lumbermens!UNALLOC_REFUNDED</vt:lpstr>
      <vt:lpstr>'Medical Savings'!UNALLOC_REFUNDED</vt:lpstr>
      <vt:lpstr>'Memorial Service'!UNALLOC_REFUNDED</vt:lpstr>
      <vt:lpstr>Midcontinent!UNALLOC_REFUNDED</vt:lpstr>
      <vt:lpstr>'Midwest Life'!UNALLOC_REFUNDED</vt:lpstr>
      <vt:lpstr>'Monarch Life'!UNALLOC_REFUNDED</vt:lpstr>
      <vt:lpstr>'Mutual Benefit'!UNALLOC_REFUNDED</vt:lpstr>
      <vt:lpstr>'Mutual Security'!UNALLOC_REFUNDED</vt:lpstr>
      <vt:lpstr>'National Affiliated'!UNALLOC_REFUNDED</vt:lpstr>
      <vt:lpstr>'National Heritage'!UNALLOC_REFUNDED</vt:lpstr>
      <vt:lpstr>'National States'!UNALLOC_REFUNDED</vt:lpstr>
      <vt:lpstr>'Natl American'!UNALLOC_REFUNDED</vt:lpstr>
      <vt:lpstr>'New Jersey Life'!UNALLOC_REFUNDED</vt:lpstr>
      <vt:lpstr>NNIC!UNALLOC_REFUNDED</vt:lpstr>
      <vt:lpstr>'North Carolina Mutual'!UNALLOC_REFUNDED</vt:lpstr>
      <vt:lpstr>'Old Colony Life'!UNALLOC_REFUNDED</vt:lpstr>
      <vt:lpstr>'Old Faithful'!UNALLOC_REFUNDED</vt:lpstr>
      <vt:lpstr>'Pacific Standard'!UNALLOC_REFUNDED</vt:lpstr>
      <vt:lpstr>'Pavonia Life'!UNALLOC_REFUNDED</vt:lpstr>
      <vt:lpstr>'Pen  Treaty'!UNALLOC_REFUNDED</vt:lpstr>
      <vt:lpstr>'Red Rock'!UNALLOC_REFUNDED</vt:lpstr>
      <vt:lpstr>Reliance!UNALLOC_REFUNDED</vt:lpstr>
      <vt:lpstr>SeeChange!UNALLOC_REFUNDED</vt:lpstr>
      <vt:lpstr>'Senior American'!UNALLOC_REFUNDED</vt:lpstr>
      <vt:lpstr>Settlers!UNALLOC_REFUNDED</vt:lpstr>
      <vt:lpstr>Shenandoah!UNALLOC_REFUNDED</vt:lpstr>
      <vt:lpstr>'Southland National Life'!UNALLOC_REFUNDED</vt:lpstr>
      <vt:lpstr>'Standard Life IN'!UNALLOC_REFUNDED</vt:lpstr>
      <vt:lpstr>'States General'!UNALLOC_REFUNDED</vt:lpstr>
      <vt:lpstr>Statesman!UNALLOC_REFUNDED</vt:lpstr>
      <vt:lpstr>'Summit National'!UNALLOC_REFUNDED</vt:lpstr>
      <vt:lpstr>Supreme!UNALLOC_REFUNDED</vt:lpstr>
      <vt:lpstr>Time!UNALLOC_REFUNDED</vt:lpstr>
      <vt:lpstr>'Total Summary'!UNALLOC_REFUNDED</vt:lpstr>
      <vt:lpstr>Underwriters!UNALLOC_REFUNDED</vt:lpstr>
      <vt:lpstr>Unison!UNALLOC_REFUNDED</vt:lpstr>
      <vt:lpstr>'United Republic'!UNALLOC_REFUNDED</vt:lpstr>
      <vt:lpstr>'Universal Health Care'!UNALLOC_REFUNDED</vt:lpstr>
      <vt:lpstr>'Universal Life'!UNALLOC_REFUNDED</vt:lpstr>
      <vt:lpstr>Universe!UNALLOC_REFUNDED</vt:lpstr>
      <vt:lpstr>Villanova!UNALLOC_REFUNDED</vt:lpstr>
      <vt:lpstr>'Alabama Life'!UNALLOCATED</vt:lpstr>
      <vt:lpstr>'Amer Life Asr'!UNALLOCATED</vt:lpstr>
      <vt:lpstr>'Amer Std Life Acc'!UNALLOCATED</vt:lpstr>
      <vt:lpstr>'American Chambers'!UNALLOCATED</vt:lpstr>
      <vt:lpstr>'American Community'!UNALLOCATED</vt:lpstr>
      <vt:lpstr>'American Educators'!UNALLOCATED</vt:lpstr>
      <vt:lpstr>'American Integrity'!UNALLOCATED</vt:lpstr>
      <vt:lpstr>'American Medical'!UNALLOCATED</vt:lpstr>
      <vt:lpstr>'American Network'!UNALLOCATED</vt:lpstr>
      <vt:lpstr>AmerWstrn!UNALLOCATED</vt:lpstr>
      <vt:lpstr>'AMS Life'!UNALLOCATED</vt:lpstr>
      <vt:lpstr>'Andrew Jackson'!UNALLOCATED</vt:lpstr>
      <vt:lpstr>'Bankers Commercial'!UNALLOCATED</vt:lpstr>
      <vt:lpstr>'Bankers Life'!UNALLOCATED</vt:lpstr>
      <vt:lpstr>Benicorp!UNALLOCATED</vt:lpstr>
      <vt:lpstr>'Booker T Washington'!UNALLOCATED</vt:lpstr>
      <vt:lpstr>Centennial!UNALLOCATED</vt:lpstr>
      <vt:lpstr>'Closed Summary'!UNALLOCATED</vt:lpstr>
      <vt:lpstr>'CO Bankers'!UNALLOCATED</vt:lpstr>
      <vt:lpstr>'Coastal States'!UNALLOCATED</vt:lpstr>
      <vt:lpstr>'Colorado Health'!UNALLOCATED</vt:lpstr>
      <vt:lpstr>'Compass (dbs Meritus)'!UNALLOCATED</vt:lpstr>
      <vt:lpstr>'Confed Life &amp; Annty (CLIAC)'!UNALLOCATED</vt:lpstr>
      <vt:lpstr>'Confed Life (CLIC)'!UNALLOCATED</vt:lpstr>
      <vt:lpstr>'Consolidated National'!UNALLOCATED</vt:lpstr>
      <vt:lpstr>'Consumers Choice'!UNALLOCATED</vt:lpstr>
      <vt:lpstr>'Consumers Mutual'!UNALLOCATED</vt:lpstr>
      <vt:lpstr>'Consumers United'!UNALLOCATED</vt:lpstr>
      <vt:lpstr>CoOportunity!UNALLOCATED</vt:lpstr>
      <vt:lpstr>'Coordinated Hlth'!UNALLOCATED</vt:lpstr>
      <vt:lpstr>'Corporate Life'!UNALLOCATED</vt:lpstr>
      <vt:lpstr>'Diamond Benefits'!UNALLOCATED</vt:lpstr>
      <vt:lpstr>'EBL Life'!UNALLOCATED</vt:lpstr>
      <vt:lpstr>ELNY!UNALLOCATED</vt:lpstr>
      <vt:lpstr>'Estate Closed Summary'!UNALLOCATED</vt:lpstr>
      <vt:lpstr>'Executive Life'!UNALLOCATED</vt:lpstr>
      <vt:lpstr>'Family Guaranty'!UNALLOCATED</vt:lpstr>
      <vt:lpstr>'Farmers &amp; Ranchers'!UNALLOCATED</vt:lpstr>
      <vt:lpstr>'Fidelity Bankers'!UNALLOCATED</vt:lpstr>
      <vt:lpstr>'Fidelity Mutual'!UNALLOCATED</vt:lpstr>
      <vt:lpstr>'First Capital'!UNALLOCATED</vt:lpstr>
      <vt:lpstr>'First Natl'!UNALLOCATED</vt:lpstr>
      <vt:lpstr>'First Natl (Thrnr)'!UNALLOCATED</vt:lpstr>
      <vt:lpstr>'Franklin American'!UNALLOCATED</vt:lpstr>
      <vt:lpstr>'Franklin Protective'!UNALLOCATED</vt:lpstr>
      <vt:lpstr>'Freelancers CO-OP'!UNALLOCATED</vt:lpstr>
      <vt:lpstr>Freestone!UNALLOCATED</vt:lpstr>
      <vt:lpstr>'George Washington'!UNALLOCATED</vt:lpstr>
      <vt:lpstr>'Golden State'!UNALLOCATED</vt:lpstr>
      <vt:lpstr>'Guarantee Security'!UNALLOCATED</vt:lpstr>
      <vt:lpstr>HealthyCT!UNALLOCATED</vt:lpstr>
      <vt:lpstr>Imerica!UNALLOCATED</vt:lpstr>
      <vt:lpstr>'Inter-American'!UNALLOCATED</vt:lpstr>
      <vt:lpstr>'International Fin'!UNALLOCATED</vt:lpstr>
      <vt:lpstr>'Investment Life of America'!UNALLOCATED</vt:lpstr>
      <vt:lpstr>'Investors Equity'!UNALLOCATED</vt:lpstr>
      <vt:lpstr>'Kentucky Central'!UNALLOCATED</vt:lpstr>
      <vt:lpstr>'Land of Lincoln'!UNALLOCATED</vt:lpstr>
      <vt:lpstr>Legion!UNALLOCATED</vt:lpstr>
      <vt:lpstr>'Life Health America'!UNALLOCATED</vt:lpstr>
      <vt:lpstr>'Lincoln Memorial'!UNALLOCATED</vt:lpstr>
      <vt:lpstr>'London Pac'!UNALLOCATED</vt:lpstr>
      <vt:lpstr>Lumbermens!UNALLOCATED</vt:lpstr>
      <vt:lpstr>'Medical Savings'!UNALLOCATED</vt:lpstr>
      <vt:lpstr>'Memorial Service'!UNALLOCATED</vt:lpstr>
      <vt:lpstr>Midcontinent!UNALLOCATED</vt:lpstr>
      <vt:lpstr>'Midwest Life'!UNALLOCATED</vt:lpstr>
      <vt:lpstr>'Monarch Life'!UNALLOCATED</vt:lpstr>
      <vt:lpstr>'Mutual Benefit'!UNALLOCATED</vt:lpstr>
      <vt:lpstr>'Mutual Security'!UNALLOCATED</vt:lpstr>
      <vt:lpstr>'National Affiliated'!UNALLOCATED</vt:lpstr>
      <vt:lpstr>'National Heritage'!UNALLOCATED</vt:lpstr>
      <vt:lpstr>'National States'!UNALLOCATED</vt:lpstr>
      <vt:lpstr>'Natl American'!UNALLOCATED</vt:lpstr>
      <vt:lpstr>'New Jersey Life'!UNALLOCATED</vt:lpstr>
      <vt:lpstr>NNIC!UNALLOCATED</vt:lpstr>
      <vt:lpstr>'North Carolina Mutual'!UNALLOCATED</vt:lpstr>
      <vt:lpstr>'Old Colony Life'!UNALLOCATED</vt:lpstr>
      <vt:lpstr>'Old Faithful'!UNALLOCATED</vt:lpstr>
      <vt:lpstr>'Open Summary'!UNALLOCATED</vt:lpstr>
      <vt:lpstr>'Pacific Standard'!UNALLOCATED</vt:lpstr>
      <vt:lpstr>'Pavonia Life'!UNALLOCATED</vt:lpstr>
      <vt:lpstr>'Pen  Treaty'!UNALLOCATED</vt:lpstr>
      <vt:lpstr>'Pre-Liquidation Summary'!UNALLOCATED</vt:lpstr>
      <vt:lpstr>'Red Rock'!UNALLOCATED</vt:lpstr>
      <vt:lpstr>'Released from Oversight Summary'!UNALLOCATED</vt:lpstr>
      <vt:lpstr>Reliance!UNALLOCATED</vt:lpstr>
      <vt:lpstr>SeeChange!UNALLOCATED</vt:lpstr>
      <vt:lpstr>'Senior American'!UNALLOCATED</vt:lpstr>
      <vt:lpstr>Settlers!UNALLOCATED</vt:lpstr>
      <vt:lpstr>Shenandoah!UNALLOCATED</vt:lpstr>
      <vt:lpstr>'Southland National Life'!UNALLOCATED</vt:lpstr>
      <vt:lpstr>'Standard Life IN'!UNALLOCATED</vt:lpstr>
      <vt:lpstr>'States General'!UNALLOCATED</vt:lpstr>
      <vt:lpstr>Statesman!UNALLOCATED</vt:lpstr>
      <vt:lpstr>'Summit National'!UNALLOCATED</vt:lpstr>
      <vt:lpstr>Supreme!UNALLOCATED</vt:lpstr>
      <vt:lpstr>Time!UNALLOCATED</vt:lpstr>
      <vt:lpstr>'Total Summary'!UNALLOCATED</vt:lpstr>
      <vt:lpstr>Underwriters!UNALLOCATED</vt:lpstr>
      <vt:lpstr>Unison!UNALLOCATED</vt:lpstr>
      <vt:lpstr>'United Republic'!UNALLOCATED</vt:lpstr>
      <vt:lpstr>'Universal Health Care'!UNALLOCATED</vt:lpstr>
      <vt:lpstr>'Universal Life'!UNALLOCATED</vt:lpstr>
      <vt:lpstr>Universe!UNALLOCATED</vt:lpstr>
      <vt:lpstr>Villanova!UNALLOCATED</vt:lpstr>
      <vt:lpstr>'Alabama Life'!UT_FINANCIAL</vt:lpstr>
      <vt:lpstr>'Amer Life Asr'!UT_FINANCIAL</vt:lpstr>
      <vt:lpstr>'Amer Std Life Acc'!UT_FINANCIAL</vt:lpstr>
      <vt:lpstr>'American Chambers'!UT_FINANCIAL</vt:lpstr>
      <vt:lpstr>'American Community'!UT_FINANCIAL</vt:lpstr>
      <vt:lpstr>'American Educators'!UT_FINANCIAL</vt:lpstr>
      <vt:lpstr>'American Integrity'!UT_FINANCIAL</vt:lpstr>
      <vt:lpstr>'American Medical'!UT_FINANCIAL</vt:lpstr>
      <vt:lpstr>'American Network'!UT_FINANCIAL</vt:lpstr>
      <vt:lpstr>AmerWstrn!UT_FINANCIAL</vt:lpstr>
      <vt:lpstr>'AMS Life'!UT_FINANCIAL</vt:lpstr>
      <vt:lpstr>'Andrew Jackson'!UT_FINANCIAL</vt:lpstr>
      <vt:lpstr>'Bankers Commercial'!UT_FINANCIAL</vt:lpstr>
      <vt:lpstr>'Bankers Life'!UT_FINANCIAL</vt:lpstr>
      <vt:lpstr>Benicorp!UT_FINANCIAL</vt:lpstr>
      <vt:lpstr>'Booker T Washington'!UT_FINANCIAL</vt:lpstr>
      <vt:lpstr>Centennial!UT_FINANCIAL</vt:lpstr>
      <vt:lpstr>'CO Bankers'!UT_FINANCIAL</vt:lpstr>
      <vt:lpstr>'Coastal States'!UT_FINANCIAL</vt:lpstr>
      <vt:lpstr>'Colorado Health'!UT_FINANCIAL</vt:lpstr>
      <vt:lpstr>'Compass (dbs Meritus)'!UT_FINANCIAL</vt:lpstr>
      <vt:lpstr>'Confed Life &amp; Annty (CLIAC)'!UT_FINANCIAL</vt:lpstr>
      <vt:lpstr>'Confed Life (CLIC)'!UT_FINANCIAL</vt:lpstr>
      <vt:lpstr>'Consolidated National'!UT_FINANCIAL</vt:lpstr>
      <vt:lpstr>'Consumers Choice'!UT_FINANCIAL</vt:lpstr>
      <vt:lpstr>'Consumers Mutual'!UT_FINANCIAL</vt:lpstr>
      <vt:lpstr>'Consumers United'!UT_FINANCIAL</vt:lpstr>
      <vt:lpstr>CoOportunity!UT_FINANCIAL</vt:lpstr>
      <vt:lpstr>'Coordinated Hlth'!UT_FINANCIAL</vt:lpstr>
      <vt:lpstr>'Corporate Life'!UT_FINANCIAL</vt:lpstr>
      <vt:lpstr>'Diamond Benefits'!UT_FINANCIAL</vt:lpstr>
      <vt:lpstr>'EBL Life'!UT_FINANCIAL</vt:lpstr>
      <vt:lpstr>ELNY!UT_FINANCIAL</vt:lpstr>
      <vt:lpstr>'Executive Life'!UT_FINANCIAL</vt:lpstr>
      <vt:lpstr>'Family Guaranty'!UT_FINANCIAL</vt:lpstr>
      <vt:lpstr>'Farmers &amp; Ranchers'!UT_FINANCIAL</vt:lpstr>
      <vt:lpstr>'Fidelity Bankers'!UT_FINANCIAL</vt:lpstr>
      <vt:lpstr>'Fidelity Mutual'!UT_FINANCIAL</vt:lpstr>
      <vt:lpstr>'First Capital'!UT_FINANCIAL</vt:lpstr>
      <vt:lpstr>'First Natl'!UT_FINANCIAL</vt:lpstr>
      <vt:lpstr>'First Natl (Thrnr)'!UT_FINANCIAL</vt:lpstr>
      <vt:lpstr>'Franklin American'!UT_FINANCIAL</vt:lpstr>
      <vt:lpstr>'Franklin Protective'!UT_FINANCIAL</vt:lpstr>
      <vt:lpstr>'Freelancers CO-OP'!UT_FINANCIAL</vt:lpstr>
      <vt:lpstr>Freestone!UT_FINANCIAL</vt:lpstr>
      <vt:lpstr>'George Washington'!UT_FINANCIAL</vt:lpstr>
      <vt:lpstr>'Golden State'!UT_FINANCIAL</vt:lpstr>
      <vt:lpstr>'Guarantee Security'!UT_FINANCIAL</vt:lpstr>
      <vt:lpstr>HealthyCT!UT_FINANCIAL</vt:lpstr>
      <vt:lpstr>Imerica!UT_FINANCIAL</vt:lpstr>
      <vt:lpstr>'Inter-American'!UT_FINANCIAL</vt:lpstr>
      <vt:lpstr>'International Fin'!UT_FINANCIAL</vt:lpstr>
      <vt:lpstr>'Investment Life of America'!UT_FINANCIAL</vt:lpstr>
      <vt:lpstr>'Investors Equity'!UT_FINANCIAL</vt:lpstr>
      <vt:lpstr>'Kentucky Central'!UT_FINANCIAL</vt:lpstr>
      <vt:lpstr>'Land of Lincoln'!UT_FINANCIAL</vt:lpstr>
      <vt:lpstr>Legion!UT_FINANCIAL</vt:lpstr>
      <vt:lpstr>'Life Health America'!UT_FINANCIAL</vt:lpstr>
      <vt:lpstr>'Lincoln Memorial'!UT_FINANCIAL</vt:lpstr>
      <vt:lpstr>'London Pac'!UT_FINANCIAL</vt:lpstr>
      <vt:lpstr>Lumbermens!UT_FINANCIAL</vt:lpstr>
      <vt:lpstr>'Medical Savings'!UT_FINANCIAL</vt:lpstr>
      <vt:lpstr>'Memorial Service'!UT_FINANCIAL</vt:lpstr>
      <vt:lpstr>Midcontinent!UT_FINANCIAL</vt:lpstr>
      <vt:lpstr>'Midwest Life'!UT_FINANCIAL</vt:lpstr>
      <vt:lpstr>'Monarch Life'!UT_FINANCIAL</vt:lpstr>
      <vt:lpstr>'Mutual Benefit'!UT_FINANCIAL</vt:lpstr>
      <vt:lpstr>'Mutual Security'!UT_FINANCIAL</vt:lpstr>
      <vt:lpstr>'National Affiliated'!UT_FINANCIAL</vt:lpstr>
      <vt:lpstr>'National Heritage'!UT_FINANCIAL</vt:lpstr>
      <vt:lpstr>'National States'!UT_FINANCIAL</vt:lpstr>
      <vt:lpstr>'Natl American'!UT_FINANCIAL</vt:lpstr>
      <vt:lpstr>'New Jersey Life'!UT_FINANCIAL</vt:lpstr>
      <vt:lpstr>NNIC!UT_FINANCIAL</vt:lpstr>
      <vt:lpstr>'North Carolina Mutual'!UT_FINANCIAL</vt:lpstr>
      <vt:lpstr>'Old Colony Life'!UT_FINANCIAL</vt:lpstr>
      <vt:lpstr>'Old Faithful'!UT_FINANCIAL</vt:lpstr>
      <vt:lpstr>'Pacific Standard'!UT_FINANCIAL</vt:lpstr>
      <vt:lpstr>'Pavonia Life'!UT_FINANCIAL</vt:lpstr>
      <vt:lpstr>'Pen  Treaty'!UT_FINANCIAL</vt:lpstr>
      <vt:lpstr>'Red Rock'!UT_FINANCIAL</vt:lpstr>
      <vt:lpstr>Reliance!UT_FINANCIAL</vt:lpstr>
      <vt:lpstr>SeeChange!UT_FINANCIAL</vt:lpstr>
      <vt:lpstr>'Senior American'!UT_FINANCIAL</vt:lpstr>
      <vt:lpstr>Settlers!UT_FINANCIAL</vt:lpstr>
      <vt:lpstr>Shenandoah!UT_FINANCIAL</vt:lpstr>
      <vt:lpstr>'Southland National Life'!UT_FINANCIAL</vt:lpstr>
      <vt:lpstr>'Standard Life IN'!UT_FINANCIAL</vt:lpstr>
      <vt:lpstr>'States General'!UT_FINANCIAL</vt:lpstr>
      <vt:lpstr>Statesman!UT_FINANCIAL</vt:lpstr>
      <vt:lpstr>'Summit National'!UT_FINANCIAL</vt:lpstr>
      <vt:lpstr>Supreme!UT_FINANCIAL</vt:lpstr>
      <vt:lpstr>Time!UT_FINANCIAL</vt:lpstr>
      <vt:lpstr>'Total Summary'!UT_FINANCIAL</vt:lpstr>
      <vt:lpstr>Underwriters!UT_FINANCIAL</vt:lpstr>
      <vt:lpstr>Unison!UT_FINANCIAL</vt:lpstr>
      <vt:lpstr>'United Republic'!UT_FINANCIAL</vt:lpstr>
      <vt:lpstr>'Universal Health Care'!UT_FINANCIAL</vt:lpstr>
      <vt:lpstr>'Universal Life'!UT_FINANCIAL</vt:lpstr>
      <vt:lpstr>Universe!UT_FINANCIAL</vt:lpstr>
      <vt:lpstr>Villanova!UT_FINANCIAL</vt:lpstr>
      <vt:lpstr>'Alabama Life'!VA_FINANCIAL</vt:lpstr>
      <vt:lpstr>'Amer Life Asr'!VA_FINANCIAL</vt:lpstr>
      <vt:lpstr>'Amer Std Life Acc'!VA_FINANCIAL</vt:lpstr>
      <vt:lpstr>'American Chambers'!VA_FINANCIAL</vt:lpstr>
      <vt:lpstr>'American Community'!VA_FINANCIAL</vt:lpstr>
      <vt:lpstr>'American Educators'!VA_FINANCIAL</vt:lpstr>
      <vt:lpstr>'American Integrity'!VA_FINANCIAL</vt:lpstr>
      <vt:lpstr>'American Medical'!VA_FINANCIAL</vt:lpstr>
      <vt:lpstr>'American Network'!VA_FINANCIAL</vt:lpstr>
      <vt:lpstr>AmerWstrn!VA_FINANCIAL</vt:lpstr>
      <vt:lpstr>'AMS Life'!VA_FINANCIAL</vt:lpstr>
      <vt:lpstr>'Andrew Jackson'!VA_FINANCIAL</vt:lpstr>
      <vt:lpstr>'Bankers Commercial'!VA_FINANCIAL</vt:lpstr>
      <vt:lpstr>'Bankers Life'!VA_FINANCIAL</vt:lpstr>
      <vt:lpstr>Benicorp!VA_FINANCIAL</vt:lpstr>
      <vt:lpstr>'Booker T Washington'!VA_FINANCIAL</vt:lpstr>
      <vt:lpstr>Centennial!VA_FINANCIAL</vt:lpstr>
      <vt:lpstr>'CO Bankers'!VA_FINANCIAL</vt:lpstr>
      <vt:lpstr>'Coastal States'!VA_FINANCIAL</vt:lpstr>
      <vt:lpstr>'Colorado Health'!VA_FINANCIAL</vt:lpstr>
      <vt:lpstr>'Compass (dbs Meritus)'!VA_FINANCIAL</vt:lpstr>
      <vt:lpstr>'Confed Life &amp; Annty (CLIAC)'!VA_FINANCIAL</vt:lpstr>
      <vt:lpstr>'Confed Life (CLIC)'!VA_FINANCIAL</vt:lpstr>
      <vt:lpstr>'Consolidated National'!VA_FINANCIAL</vt:lpstr>
      <vt:lpstr>'Consumers Choice'!VA_FINANCIAL</vt:lpstr>
      <vt:lpstr>'Consumers Mutual'!VA_FINANCIAL</vt:lpstr>
      <vt:lpstr>'Consumers United'!VA_FINANCIAL</vt:lpstr>
      <vt:lpstr>CoOportunity!VA_FINANCIAL</vt:lpstr>
      <vt:lpstr>'Coordinated Hlth'!VA_FINANCIAL</vt:lpstr>
      <vt:lpstr>'Corporate Life'!VA_FINANCIAL</vt:lpstr>
      <vt:lpstr>'Diamond Benefits'!VA_FINANCIAL</vt:lpstr>
      <vt:lpstr>'EBL Life'!VA_FINANCIAL</vt:lpstr>
      <vt:lpstr>ELNY!VA_FINANCIAL</vt:lpstr>
      <vt:lpstr>'Executive Life'!VA_FINANCIAL</vt:lpstr>
      <vt:lpstr>'Family Guaranty'!VA_FINANCIAL</vt:lpstr>
      <vt:lpstr>'Farmers &amp; Ranchers'!VA_FINANCIAL</vt:lpstr>
      <vt:lpstr>'Fidelity Bankers'!VA_FINANCIAL</vt:lpstr>
      <vt:lpstr>'Fidelity Mutual'!VA_FINANCIAL</vt:lpstr>
      <vt:lpstr>'First Capital'!VA_FINANCIAL</vt:lpstr>
      <vt:lpstr>'First Natl'!VA_FINANCIAL</vt:lpstr>
      <vt:lpstr>'First Natl (Thrnr)'!VA_FINANCIAL</vt:lpstr>
      <vt:lpstr>'Franklin American'!VA_FINANCIAL</vt:lpstr>
      <vt:lpstr>'Franklin Protective'!VA_FINANCIAL</vt:lpstr>
      <vt:lpstr>'Freelancers CO-OP'!VA_FINANCIAL</vt:lpstr>
      <vt:lpstr>Freestone!VA_FINANCIAL</vt:lpstr>
      <vt:lpstr>'George Washington'!VA_FINANCIAL</vt:lpstr>
      <vt:lpstr>'Golden State'!VA_FINANCIAL</vt:lpstr>
      <vt:lpstr>'Guarantee Security'!VA_FINANCIAL</vt:lpstr>
      <vt:lpstr>HealthyCT!VA_FINANCIAL</vt:lpstr>
      <vt:lpstr>Imerica!VA_FINANCIAL</vt:lpstr>
      <vt:lpstr>'Inter-American'!VA_FINANCIAL</vt:lpstr>
      <vt:lpstr>'International Fin'!VA_FINANCIAL</vt:lpstr>
      <vt:lpstr>'Investment Life of America'!VA_FINANCIAL</vt:lpstr>
      <vt:lpstr>'Investors Equity'!VA_FINANCIAL</vt:lpstr>
      <vt:lpstr>'Kentucky Central'!VA_FINANCIAL</vt:lpstr>
      <vt:lpstr>'Land of Lincoln'!VA_FINANCIAL</vt:lpstr>
      <vt:lpstr>Legion!VA_FINANCIAL</vt:lpstr>
      <vt:lpstr>'Life Health America'!VA_FINANCIAL</vt:lpstr>
      <vt:lpstr>'Lincoln Memorial'!VA_FINANCIAL</vt:lpstr>
      <vt:lpstr>'London Pac'!VA_FINANCIAL</vt:lpstr>
      <vt:lpstr>Lumbermens!VA_FINANCIAL</vt:lpstr>
      <vt:lpstr>'Medical Savings'!VA_FINANCIAL</vt:lpstr>
      <vt:lpstr>'Memorial Service'!VA_FINANCIAL</vt:lpstr>
      <vt:lpstr>Midcontinent!VA_FINANCIAL</vt:lpstr>
      <vt:lpstr>'Midwest Life'!VA_FINANCIAL</vt:lpstr>
      <vt:lpstr>'Monarch Life'!VA_FINANCIAL</vt:lpstr>
      <vt:lpstr>'Mutual Benefit'!VA_FINANCIAL</vt:lpstr>
      <vt:lpstr>'Mutual Security'!VA_FINANCIAL</vt:lpstr>
      <vt:lpstr>'National Affiliated'!VA_FINANCIAL</vt:lpstr>
      <vt:lpstr>'National Heritage'!VA_FINANCIAL</vt:lpstr>
      <vt:lpstr>'National States'!VA_FINANCIAL</vt:lpstr>
      <vt:lpstr>'Natl American'!VA_FINANCIAL</vt:lpstr>
      <vt:lpstr>'New Jersey Life'!VA_FINANCIAL</vt:lpstr>
      <vt:lpstr>NNIC!VA_FINANCIAL</vt:lpstr>
      <vt:lpstr>'North Carolina Mutual'!VA_FINANCIAL</vt:lpstr>
      <vt:lpstr>'Old Colony Life'!VA_FINANCIAL</vt:lpstr>
      <vt:lpstr>'Old Faithful'!VA_FINANCIAL</vt:lpstr>
      <vt:lpstr>'Pacific Standard'!VA_FINANCIAL</vt:lpstr>
      <vt:lpstr>'Pavonia Life'!VA_FINANCIAL</vt:lpstr>
      <vt:lpstr>'Pen  Treaty'!VA_FINANCIAL</vt:lpstr>
      <vt:lpstr>'Red Rock'!VA_FINANCIAL</vt:lpstr>
      <vt:lpstr>Reliance!VA_FINANCIAL</vt:lpstr>
      <vt:lpstr>SeeChange!VA_FINANCIAL</vt:lpstr>
      <vt:lpstr>'Senior American'!VA_FINANCIAL</vt:lpstr>
      <vt:lpstr>Settlers!VA_FINANCIAL</vt:lpstr>
      <vt:lpstr>Shenandoah!VA_FINANCIAL</vt:lpstr>
      <vt:lpstr>'Southland National Life'!VA_FINANCIAL</vt:lpstr>
      <vt:lpstr>'Standard Life IN'!VA_FINANCIAL</vt:lpstr>
      <vt:lpstr>'States General'!VA_FINANCIAL</vt:lpstr>
      <vt:lpstr>Statesman!VA_FINANCIAL</vt:lpstr>
      <vt:lpstr>'Summit National'!VA_FINANCIAL</vt:lpstr>
      <vt:lpstr>Supreme!VA_FINANCIAL</vt:lpstr>
      <vt:lpstr>Time!VA_FINANCIAL</vt:lpstr>
      <vt:lpstr>'Total Summary'!VA_FINANCIAL</vt:lpstr>
      <vt:lpstr>Underwriters!VA_FINANCIAL</vt:lpstr>
      <vt:lpstr>Unison!VA_FINANCIAL</vt:lpstr>
      <vt:lpstr>'United Republic'!VA_FINANCIAL</vt:lpstr>
      <vt:lpstr>'Universal Health Care'!VA_FINANCIAL</vt:lpstr>
      <vt:lpstr>'Universal Life'!VA_FINANCIAL</vt:lpstr>
      <vt:lpstr>Universe!VA_FINANCIAL</vt:lpstr>
      <vt:lpstr>Villanova!VA_FINANCIAL</vt:lpstr>
      <vt:lpstr>'Alabama Life'!VT_FINANCIAL</vt:lpstr>
      <vt:lpstr>'Amer Life Asr'!VT_FINANCIAL</vt:lpstr>
      <vt:lpstr>'Amer Std Life Acc'!VT_FINANCIAL</vt:lpstr>
      <vt:lpstr>'American Chambers'!VT_FINANCIAL</vt:lpstr>
      <vt:lpstr>'American Community'!VT_FINANCIAL</vt:lpstr>
      <vt:lpstr>'American Educators'!VT_FINANCIAL</vt:lpstr>
      <vt:lpstr>'American Integrity'!VT_FINANCIAL</vt:lpstr>
      <vt:lpstr>'American Medical'!VT_FINANCIAL</vt:lpstr>
      <vt:lpstr>'American Network'!VT_FINANCIAL</vt:lpstr>
      <vt:lpstr>AmerWstrn!VT_FINANCIAL</vt:lpstr>
      <vt:lpstr>'AMS Life'!VT_FINANCIAL</vt:lpstr>
      <vt:lpstr>'Andrew Jackson'!VT_FINANCIAL</vt:lpstr>
      <vt:lpstr>'Bankers Commercial'!VT_FINANCIAL</vt:lpstr>
      <vt:lpstr>'Bankers Life'!VT_FINANCIAL</vt:lpstr>
      <vt:lpstr>Benicorp!VT_FINANCIAL</vt:lpstr>
      <vt:lpstr>'Booker T Washington'!VT_FINANCIAL</vt:lpstr>
      <vt:lpstr>Centennial!VT_FINANCIAL</vt:lpstr>
      <vt:lpstr>'CO Bankers'!VT_FINANCIAL</vt:lpstr>
      <vt:lpstr>'Coastal States'!VT_FINANCIAL</vt:lpstr>
      <vt:lpstr>'Colorado Health'!VT_FINANCIAL</vt:lpstr>
      <vt:lpstr>'Compass (dbs Meritus)'!VT_FINANCIAL</vt:lpstr>
      <vt:lpstr>'Confed Life &amp; Annty (CLIAC)'!VT_FINANCIAL</vt:lpstr>
      <vt:lpstr>'Confed Life (CLIC)'!VT_FINANCIAL</vt:lpstr>
      <vt:lpstr>'Consolidated National'!VT_FINANCIAL</vt:lpstr>
      <vt:lpstr>'Consumers Choice'!VT_FINANCIAL</vt:lpstr>
      <vt:lpstr>'Consumers Mutual'!VT_FINANCIAL</vt:lpstr>
      <vt:lpstr>'Consumers United'!VT_FINANCIAL</vt:lpstr>
      <vt:lpstr>CoOportunity!VT_FINANCIAL</vt:lpstr>
      <vt:lpstr>'Coordinated Hlth'!VT_FINANCIAL</vt:lpstr>
      <vt:lpstr>'Corporate Life'!VT_FINANCIAL</vt:lpstr>
      <vt:lpstr>'Diamond Benefits'!VT_FINANCIAL</vt:lpstr>
      <vt:lpstr>'EBL Life'!VT_FINANCIAL</vt:lpstr>
      <vt:lpstr>ELNY!VT_FINANCIAL</vt:lpstr>
      <vt:lpstr>'Executive Life'!VT_FINANCIAL</vt:lpstr>
      <vt:lpstr>'Family Guaranty'!VT_FINANCIAL</vt:lpstr>
      <vt:lpstr>'Farmers &amp; Ranchers'!VT_FINANCIAL</vt:lpstr>
      <vt:lpstr>'Fidelity Bankers'!VT_FINANCIAL</vt:lpstr>
      <vt:lpstr>'Fidelity Mutual'!VT_FINANCIAL</vt:lpstr>
      <vt:lpstr>'First Capital'!VT_FINANCIAL</vt:lpstr>
      <vt:lpstr>'First Natl'!VT_FINANCIAL</vt:lpstr>
      <vt:lpstr>'First Natl (Thrnr)'!VT_FINANCIAL</vt:lpstr>
      <vt:lpstr>'Franklin American'!VT_FINANCIAL</vt:lpstr>
      <vt:lpstr>'Franklin Protective'!VT_FINANCIAL</vt:lpstr>
      <vt:lpstr>'Freelancers CO-OP'!VT_FINANCIAL</vt:lpstr>
      <vt:lpstr>Freestone!VT_FINANCIAL</vt:lpstr>
      <vt:lpstr>'George Washington'!VT_FINANCIAL</vt:lpstr>
      <vt:lpstr>'Golden State'!VT_FINANCIAL</vt:lpstr>
      <vt:lpstr>'Guarantee Security'!VT_FINANCIAL</vt:lpstr>
      <vt:lpstr>HealthyCT!VT_FINANCIAL</vt:lpstr>
      <vt:lpstr>Imerica!VT_FINANCIAL</vt:lpstr>
      <vt:lpstr>'Inter-American'!VT_FINANCIAL</vt:lpstr>
      <vt:lpstr>'International Fin'!VT_FINANCIAL</vt:lpstr>
      <vt:lpstr>'Investment Life of America'!VT_FINANCIAL</vt:lpstr>
      <vt:lpstr>'Investors Equity'!VT_FINANCIAL</vt:lpstr>
      <vt:lpstr>'Kentucky Central'!VT_FINANCIAL</vt:lpstr>
      <vt:lpstr>'Land of Lincoln'!VT_FINANCIAL</vt:lpstr>
      <vt:lpstr>Legion!VT_FINANCIAL</vt:lpstr>
      <vt:lpstr>'Life Health America'!VT_FINANCIAL</vt:lpstr>
      <vt:lpstr>'Lincoln Memorial'!VT_FINANCIAL</vt:lpstr>
      <vt:lpstr>'London Pac'!VT_FINANCIAL</vt:lpstr>
      <vt:lpstr>Lumbermens!VT_FINANCIAL</vt:lpstr>
      <vt:lpstr>'Medical Savings'!VT_FINANCIAL</vt:lpstr>
      <vt:lpstr>'Memorial Service'!VT_FINANCIAL</vt:lpstr>
      <vt:lpstr>Midcontinent!VT_FINANCIAL</vt:lpstr>
      <vt:lpstr>'Midwest Life'!VT_FINANCIAL</vt:lpstr>
      <vt:lpstr>'Monarch Life'!VT_FINANCIAL</vt:lpstr>
      <vt:lpstr>'Mutual Benefit'!VT_FINANCIAL</vt:lpstr>
      <vt:lpstr>'Mutual Security'!VT_FINANCIAL</vt:lpstr>
      <vt:lpstr>'National Affiliated'!VT_FINANCIAL</vt:lpstr>
      <vt:lpstr>'National Heritage'!VT_FINANCIAL</vt:lpstr>
      <vt:lpstr>'National States'!VT_FINANCIAL</vt:lpstr>
      <vt:lpstr>'Natl American'!VT_FINANCIAL</vt:lpstr>
      <vt:lpstr>'New Jersey Life'!VT_FINANCIAL</vt:lpstr>
      <vt:lpstr>NNIC!VT_FINANCIAL</vt:lpstr>
      <vt:lpstr>'North Carolina Mutual'!VT_FINANCIAL</vt:lpstr>
      <vt:lpstr>'Old Colony Life'!VT_FINANCIAL</vt:lpstr>
      <vt:lpstr>'Old Faithful'!VT_FINANCIAL</vt:lpstr>
      <vt:lpstr>'Pacific Standard'!VT_FINANCIAL</vt:lpstr>
      <vt:lpstr>'Pavonia Life'!VT_FINANCIAL</vt:lpstr>
      <vt:lpstr>'Pen  Treaty'!VT_FINANCIAL</vt:lpstr>
      <vt:lpstr>'Red Rock'!VT_FINANCIAL</vt:lpstr>
      <vt:lpstr>Reliance!VT_FINANCIAL</vt:lpstr>
      <vt:lpstr>SeeChange!VT_FINANCIAL</vt:lpstr>
      <vt:lpstr>'Senior American'!VT_FINANCIAL</vt:lpstr>
      <vt:lpstr>Settlers!VT_FINANCIAL</vt:lpstr>
      <vt:lpstr>Shenandoah!VT_FINANCIAL</vt:lpstr>
      <vt:lpstr>'Southland National Life'!VT_FINANCIAL</vt:lpstr>
      <vt:lpstr>'Standard Life IN'!VT_FINANCIAL</vt:lpstr>
      <vt:lpstr>'States General'!VT_FINANCIAL</vt:lpstr>
      <vt:lpstr>Statesman!VT_FINANCIAL</vt:lpstr>
      <vt:lpstr>'Summit National'!VT_FINANCIAL</vt:lpstr>
      <vt:lpstr>Supreme!VT_FINANCIAL</vt:lpstr>
      <vt:lpstr>Time!VT_FINANCIAL</vt:lpstr>
      <vt:lpstr>'Total Summary'!VT_FINANCIAL</vt:lpstr>
      <vt:lpstr>Underwriters!VT_FINANCIAL</vt:lpstr>
      <vt:lpstr>Unison!VT_FINANCIAL</vt:lpstr>
      <vt:lpstr>'United Republic'!VT_FINANCIAL</vt:lpstr>
      <vt:lpstr>'Universal Health Care'!VT_FINANCIAL</vt:lpstr>
      <vt:lpstr>'Universal Life'!VT_FINANCIAL</vt:lpstr>
      <vt:lpstr>Universe!VT_FINANCIAL</vt:lpstr>
      <vt:lpstr>Villanova!VT_FINANCIAL</vt:lpstr>
      <vt:lpstr>'Alabama Life'!WA_FINANCIAL</vt:lpstr>
      <vt:lpstr>'Amer Life Asr'!WA_FINANCIAL</vt:lpstr>
      <vt:lpstr>'Amer Std Life Acc'!WA_FINANCIAL</vt:lpstr>
      <vt:lpstr>'American Chambers'!WA_FINANCIAL</vt:lpstr>
      <vt:lpstr>'American Community'!WA_FINANCIAL</vt:lpstr>
      <vt:lpstr>'American Educators'!WA_FINANCIAL</vt:lpstr>
      <vt:lpstr>'American Integrity'!WA_FINANCIAL</vt:lpstr>
      <vt:lpstr>'American Medical'!WA_FINANCIAL</vt:lpstr>
      <vt:lpstr>'American Network'!WA_FINANCIAL</vt:lpstr>
      <vt:lpstr>AmerWstrn!WA_FINANCIAL</vt:lpstr>
      <vt:lpstr>'AMS Life'!WA_FINANCIAL</vt:lpstr>
      <vt:lpstr>'Andrew Jackson'!WA_FINANCIAL</vt:lpstr>
      <vt:lpstr>'Bankers Commercial'!WA_FINANCIAL</vt:lpstr>
      <vt:lpstr>'Bankers Life'!WA_FINANCIAL</vt:lpstr>
      <vt:lpstr>Benicorp!WA_FINANCIAL</vt:lpstr>
      <vt:lpstr>'Booker T Washington'!WA_FINANCIAL</vt:lpstr>
      <vt:lpstr>Centennial!WA_FINANCIAL</vt:lpstr>
      <vt:lpstr>'CO Bankers'!WA_FINANCIAL</vt:lpstr>
      <vt:lpstr>'Coastal States'!WA_FINANCIAL</vt:lpstr>
      <vt:lpstr>'Colorado Health'!WA_FINANCIAL</vt:lpstr>
      <vt:lpstr>'Compass (dbs Meritus)'!WA_FINANCIAL</vt:lpstr>
      <vt:lpstr>'Confed Life &amp; Annty (CLIAC)'!WA_FINANCIAL</vt:lpstr>
      <vt:lpstr>'Confed Life (CLIC)'!WA_FINANCIAL</vt:lpstr>
      <vt:lpstr>'Consolidated National'!WA_FINANCIAL</vt:lpstr>
      <vt:lpstr>'Consumers Choice'!WA_FINANCIAL</vt:lpstr>
      <vt:lpstr>'Consumers Mutual'!WA_FINANCIAL</vt:lpstr>
      <vt:lpstr>'Consumers United'!WA_FINANCIAL</vt:lpstr>
      <vt:lpstr>CoOportunity!WA_FINANCIAL</vt:lpstr>
      <vt:lpstr>'Coordinated Hlth'!WA_FINANCIAL</vt:lpstr>
      <vt:lpstr>'Corporate Life'!WA_FINANCIAL</vt:lpstr>
      <vt:lpstr>'Diamond Benefits'!WA_FINANCIAL</vt:lpstr>
      <vt:lpstr>'EBL Life'!WA_FINANCIAL</vt:lpstr>
      <vt:lpstr>ELNY!WA_FINANCIAL</vt:lpstr>
      <vt:lpstr>'Executive Life'!WA_FINANCIAL</vt:lpstr>
      <vt:lpstr>'Family Guaranty'!WA_FINANCIAL</vt:lpstr>
      <vt:lpstr>'Farmers &amp; Ranchers'!WA_FINANCIAL</vt:lpstr>
      <vt:lpstr>'Fidelity Bankers'!WA_FINANCIAL</vt:lpstr>
      <vt:lpstr>'Fidelity Mutual'!WA_FINANCIAL</vt:lpstr>
      <vt:lpstr>'First Capital'!WA_FINANCIAL</vt:lpstr>
      <vt:lpstr>'First Natl'!WA_FINANCIAL</vt:lpstr>
      <vt:lpstr>'First Natl (Thrnr)'!WA_FINANCIAL</vt:lpstr>
      <vt:lpstr>'Franklin American'!WA_FINANCIAL</vt:lpstr>
      <vt:lpstr>'Franklin Protective'!WA_FINANCIAL</vt:lpstr>
      <vt:lpstr>'Freelancers CO-OP'!WA_FINANCIAL</vt:lpstr>
      <vt:lpstr>Freestone!WA_FINANCIAL</vt:lpstr>
      <vt:lpstr>'George Washington'!WA_FINANCIAL</vt:lpstr>
      <vt:lpstr>'Golden State'!WA_FINANCIAL</vt:lpstr>
      <vt:lpstr>'Guarantee Security'!WA_FINANCIAL</vt:lpstr>
      <vt:lpstr>HealthyCT!WA_FINANCIAL</vt:lpstr>
      <vt:lpstr>Imerica!WA_FINANCIAL</vt:lpstr>
      <vt:lpstr>'Inter-American'!WA_FINANCIAL</vt:lpstr>
      <vt:lpstr>'International Fin'!WA_FINANCIAL</vt:lpstr>
      <vt:lpstr>'Investment Life of America'!WA_FINANCIAL</vt:lpstr>
      <vt:lpstr>'Investors Equity'!WA_FINANCIAL</vt:lpstr>
      <vt:lpstr>'Kentucky Central'!WA_FINANCIAL</vt:lpstr>
      <vt:lpstr>'Land of Lincoln'!WA_FINANCIAL</vt:lpstr>
      <vt:lpstr>Legion!WA_FINANCIAL</vt:lpstr>
      <vt:lpstr>'Life Health America'!WA_FINANCIAL</vt:lpstr>
      <vt:lpstr>'Lincoln Memorial'!WA_FINANCIAL</vt:lpstr>
      <vt:lpstr>'London Pac'!WA_FINANCIAL</vt:lpstr>
      <vt:lpstr>Lumbermens!WA_FINANCIAL</vt:lpstr>
      <vt:lpstr>'Medical Savings'!WA_FINANCIAL</vt:lpstr>
      <vt:lpstr>'Memorial Service'!WA_FINANCIAL</vt:lpstr>
      <vt:lpstr>Midcontinent!WA_FINANCIAL</vt:lpstr>
      <vt:lpstr>'Midwest Life'!WA_FINANCIAL</vt:lpstr>
      <vt:lpstr>'Monarch Life'!WA_FINANCIAL</vt:lpstr>
      <vt:lpstr>'Mutual Benefit'!WA_FINANCIAL</vt:lpstr>
      <vt:lpstr>'Mutual Security'!WA_FINANCIAL</vt:lpstr>
      <vt:lpstr>'National Affiliated'!WA_FINANCIAL</vt:lpstr>
      <vt:lpstr>'National Heritage'!WA_FINANCIAL</vt:lpstr>
      <vt:lpstr>'National States'!WA_FINANCIAL</vt:lpstr>
      <vt:lpstr>'Natl American'!WA_FINANCIAL</vt:lpstr>
      <vt:lpstr>'New Jersey Life'!WA_FINANCIAL</vt:lpstr>
      <vt:lpstr>NNIC!WA_FINANCIAL</vt:lpstr>
      <vt:lpstr>'North Carolina Mutual'!WA_FINANCIAL</vt:lpstr>
      <vt:lpstr>'Old Colony Life'!WA_FINANCIAL</vt:lpstr>
      <vt:lpstr>'Old Faithful'!WA_FINANCIAL</vt:lpstr>
      <vt:lpstr>'Pacific Standard'!WA_FINANCIAL</vt:lpstr>
      <vt:lpstr>'Pavonia Life'!WA_FINANCIAL</vt:lpstr>
      <vt:lpstr>'Pen  Treaty'!WA_FINANCIAL</vt:lpstr>
      <vt:lpstr>'Red Rock'!WA_FINANCIAL</vt:lpstr>
      <vt:lpstr>Reliance!WA_FINANCIAL</vt:lpstr>
      <vt:lpstr>SeeChange!WA_FINANCIAL</vt:lpstr>
      <vt:lpstr>'Senior American'!WA_FINANCIAL</vt:lpstr>
      <vt:lpstr>Settlers!WA_FINANCIAL</vt:lpstr>
      <vt:lpstr>Shenandoah!WA_FINANCIAL</vt:lpstr>
      <vt:lpstr>'Southland National Life'!WA_FINANCIAL</vt:lpstr>
      <vt:lpstr>'Standard Life IN'!WA_FINANCIAL</vt:lpstr>
      <vt:lpstr>'States General'!WA_FINANCIAL</vt:lpstr>
      <vt:lpstr>Statesman!WA_FINANCIAL</vt:lpstr>
      <vt:lpstr>'Summit National'!WA_FINANCIAL</vt:lpstr>
      <vt:lpstr>Supreme!WA_FINANCIAL</vt:lpstr>
      <vt:lpstr>Time!WA_FINANCIAL</vt:lpstr>
      <vt:lpstr>'Total Summary'!WA_FINANCIAL</vt:lpstr>
      <vt:lpstr>Underwriters!WA_FINANCIAL</vt:lpstr>
      <vt:lpstr>Unison!WA_FINANCIAL</vt:lpstr>
      <vt:lpstr>'United Republic'!WA_FINANCIAL</vt:lpstr>
      <vt:lpstr>'Universal Health Care'!WA_FINANCIAL</vt:lpstr>
      <vt:lpstr>'Universal Life'!WA_FINANCIAL</vt:lpstr>
      <vt:lpstr>Universe!WA_FINANCIAL</vt:lpstr>
      <vt:lpstr>Villanova!WA_FINANCIAL</vt:lpstr>
      <vt:lpstr>'Alabama Life'!WI_FINANCIAL</vt:lpstr>
      <vt:lpstr>'Amer Life Asr'!WI_FINANCIAL</vt:lpstr>
      <vt:lpstr>'Amer Std Life Acc'!WI_FINANCIAL</vt:lpstr>
      <vt:lpstr>'American Chambers'!WI_FINANCIAL</vt:lpstr>
      <vt:lpstr>'American Community'!WI_FINANCIAL</vt:lpstr>
      <vt:lpstr>'American Educators'!WI_FINANCIAL</vt:lpstr>
      <vt:lpstr>'American Integrity'!WI_FINANCIAL</vt:lpstr>
      <vt:lpstr>'American Medical'!WI_FINANCIAL</vt:lpstr>
      <vt:lpstr>'American Network'!WI_FINANCIAL</vt:lpstr>
      <vt:lpstr>AmerWstrn!WI_FINANCIAL</vt:lpstr>
      <vt:lpstr>'AMS Life'!WI_FINANCIAL</vt:lpstr>
      <vt:lpstr>'Andrew Jackson'!WI_FINANCIAL</vt:lpstr>
      <vt:lpstr>'Bankers Commercial'!WI_FINANCIAL</vt:lpstr>
      <vt:lpstr>'Bankers Life'!WI_FINANCIAL</vt:lpstr>
      <vt:lpstr>Benicorp!WI_FINANCIAL</vt:lpstr>
      <vt:lpstr>'Booker T Washington'!WI_FINANCIAL</vt:lpstr>
      <vt:lpstr>Centennial!WI_FINANCIAL</vt:lpstr>
      <vt:lpstr>'CO Bankers'!WI_FINANCIAL</vt:lpstr>
      <vt:lpstr>'Coastal States'!WI_FINANCIAL</vt:lpstr>
      <vt:lpstr>'Colorado Health'!WI_FINANCIAL</vt:lpstr>
      <vt:lpstr>'Compass (dbs Meritus)'!WI_FINANCIAL</vt:lpstr>
      <vt:lpstr>'Confed Life &amp; Annty (CLIAC)'!WI_FINANCIAL</vt:lpstr>
      <vt:lpstr>'Confed Life (CLIC)'!WI_FINANCIAL</vt:lpstr>
      <vt:lpstr>'Consolidated National'!WI_FINANCIAL</vt:lpstr>
      <vt:lpstr>'Consumers Choice'!WI_FINANCIAL</vt:lpstr>
      <vt:lpstr>'Consumers Mutual'!WI_FINANCIAL</vt:lpstr>
      <vt:lpstr>'Consumers United'!WI_FINANCIAL</vt:lpstr>
      <vt:lpstr>CoOportunity!WI_FINANCIAL</vt:lpstr>
      <vt:lpstr>'Coordinated Hlth'!WI_FINANCIAL</vt:lpstr>
      <vt:lpstr>'Corporate Life'!WI_FINANCIAL</vt:lpstr>
      <vt:lpstr>'Diamond Benefits'!WI_FINANCIAL</vt:lpstr>
      <vt:lpstr>'EBL Life'!WI_FINANCIAL</vt:lpstr>
      <vt:lpstr>ELNY!WI_FINANCIAL</vt:lpstr>
      <vt:lpstr>'Executive Life'!WI_FINANCIAL</vt:lpstr>
      <vt:lpstr>'Family Guaranty'!WI_FINANCIAL</vt:lpstr>
      <vt:lpstr>'Farmers &amp; Ranchers'!WI_FINANCIAL</vt:lpstr>
      <vt:lpstr>'Fidelity Bankers'!WI_FINANCIAL</vt:lpstr>
      <vt:lpstr>'Fidelity Mutual'!WI_FINANCIAL</vt:lpstr>
      <vt:lpstr>'First Capital'!WI_FINANCIAL</vt:lpstr>
      <vt:lpstr>'First Natl'!WI_FINANCIAL</vt:lpstr>
      <vt:lpstr>'First Natl (Thrnr)'!WI_FINANCIAL</vt:lpstr>
      <vt:lpstr>'Franklin American'!WI_FINANCIAL</vt:lpstr>
      <vt:lpstr>'Franklin Protective'!WI_FINANCIAL</vt:lpstr>
      <vt:lpstr>'Freelancers CO-OP'!WI_FINANCIAL</vt:lpstr>
      <vt:lpstr>Freestone!WI_FINANCIAL</vt:lpstr>
      <vt:lpstr>'George Washington'!WI_FINANCIAL</vt:lpstr>
      <vt:lpstr>'Golden State'!WI_FINANCIAL</vt:lpstr>
      <vt:lpstr>'Guarantee Security'!WI_FINANCIAL</vt:lpstr>
      <vt:lpstr>HealthyCT!WI_FINANCIAL</vt:lpstr>
      <vt:lpstr>Imerica!WI_FINANCIAL</vt:lpstr>
      <vt:lpstr>'Inter-American'!WI_FINANCIAL</vt:lpstr>
      <vt:lpstr>'International Fin'!WI_FINANCIAL</vt:lpstr>
      <vt:lpstr>'Investment Life of America'!WI_FINANCIAL</vt:lpstr>
      <vt:lpstr>'Investors Equity'!WI_FINANCIAL</vt:lpstr>
      <vt:lpstr>'Kentucky Central'!WI_FINANCIAL</vt:lpstr>
      <vt:lpstr>'Land of Lincoln'!WI_FINANCIAL</vt:lpstr>
      <vt:lpstr>Legion!WI_FINANCIAL</vt:lpstr>
      <vt:lpstr>'Life Health America'!WI_FINANCIAL</vt:lpstr>
      <vt:lpstr>'Lincoln Memorial'!WI_FINANCIAL</vt:lpstr>
      <vt:lpstr>'London Pac'!WI_FINANCIAL</vt:lpstr>
      <vt:lpstr>Lumbermens!WI_FINANCIAL</vt:lpstr>
      <vt:lpstr>'Medical Savings'!WI_FINANCIAL</vt:lpstr>
      <vt:lpstr>'Memorial Service'!WI_FINANCIAL</vt:lpstr>
      <vt:lpstr>Midcontinent!WI_FINANCIAL</vt:lpstr>
      <vt:lpstr>'Midwest Life'!WI_FINANCIAL</vt:lpstr>
      <vt:lpstr>'Monarch Life'!WI_FINANCIAL</vt:lpstr>
      <vt:lpstr>'Mutual Benefit'!WI_FINANCIAL</vt:lpstr>
      <vt:lpstr>'Mutual Security'!WI_FINANCIAL</vt:lpstr>
      <vt:lpstr>'National Affiliated'!WI_FINANCIAL</vt:lpstr>
      <vt:lpstr>'National Heritage'!WI_FINANCIAL</vt:lpstr>
      <vt:lpstr>'National States'!WI_FINANCIAL</vt:lpstr>
      <vt:lpstr>'Natl American'!WI_FINANCIAL</vt:lpstr>
      <vt:lpstr>'New Jersey Life'!WI_FINANCIAL</vt:lpstr>
      <vt:lpstr>NNIC!WI_FINANCIAL</vt:lpstr>
      <vt:lpstr>'North Carolina Mutual'!WI_FINANCIAL</vt:lpstr>
      <vt:lpstr>'Old Colony Life'!WI_FINANCIAL</vt:lpstr>
      <vt:lpstr>'Old Faithful'!WI_FINANCIAL</vt:lpstr>
      <vt:lpstr>'Pacific Standard'!WI_FINANCIAL</vt:lpstr>
      <vt:lpstr>'Pavonia Life'!WI_FINANCIAL</vt:lpstr>
      <vt:lpstr>'Pen  Treaty'!WI_FINANCIAL</vt:lpstr>
      <vt:lpstr>'Red Rock'!WI_FINANCIAL</vt:lpstr>
      <vt:lpstr>Reliance!WI_FINANCIAL</vt:lpstr>
      <vt:lpstr>SeeChange!WI_FINANCIAL</vt:lpstr>
      <vt:lpstr>'Senior American'!WI_FINANCIAL</vt:lpstr>
      <vt:lpstr>Settlers!WI_FINANCIAL</vt:lpstr>
      <vt:lpstr>Shenandoah!WI_FINANCIAL</vt:lpstr>
      <vt:lpstr>'Southland National Life'!WI_FINANCIAL</vt:lpstr>
      <vt:lpstr>'Standard Life IN'!WI_FINANCIAL</vt:lpstr>
      <vt:lpstr>'States General'!WI_FINANCIAL</vt:lpstr>
      <vt:lpstr>Statesman!WI_FINANCIAL</vt:lpstr>
      <vt:lpstr>'Summit National'!WI_FINANCIAL</vt:lpstr>
      <vt:lpstr>Supreme!WI_FINANCIAL</vt:lpstr>
      <vt:lpstr>Time!WI_FINANCIAL</vt:lpstr>
      <vt:lpstr>'Total Summary'!WI_FINANCIAL</vt:lpstr>
      <vt:lpstr>Underwriters!WI_FINANCIAL</vt:lpstr>
      <vt:lpstr>Unison!WI_FINANCIAL</vt:lpstr>
      <vt:lpstr>'United Republic'!WI_FINANCIAL</vt:lpstr>
      <vt:lpstr>'Universal Health Care'!WI_FINANCIAL</vt:lpstr>
      <vt:lpstr>'Universal Life'!WI_FINANCIAL</vt:lpstr>
      <vt:lpstr>Universe!WI_FINANCIAL</vt:lpstr>
      <vt:lpstr>Villanova!WI_FINANCIAL</vt:lpstr>
      <vt:lpstr>'Alabama Life'!WV_FINANCIAL</vt:lpstr>
      <vt:lpstr>'Amer Life Asr'!WV_FINANCIAL</vt:lpstr>
      <vt:lpstr>'Amer Std Life Acc'!WV_FINANCIAL</vt:lpstr>
      <vt:lpstr>'American Chambers'!WV_FINANCIAL</vt:lpstr>
      <vt:lpstr>'American Community'!WV_FINANCIAL</vt:lpstr>
      <vt:lpstr>'American Educators'!WV_FINANCIAL</vt:lpstr>
      <vt:lpstr>'American Integrity'!WV_FINANCIAL</vt:lpstr>
      <vt:lpstr>'American Medical'!WV_FINANCIAL</vt:lpstr>
      <vt:lpstr>'American Network'!WV_FINANCIAL</vt:lpstr>
      <vt:lpstr>AmerWstrn!WV_FINANCIAL</vt:lpstr>
      <vt:lpstr>'AMS Life'!WV_FINANCIAL</vt:lpstr>
      <vt:lpstr>'Andrew Jackson'!WV_FINANCIAL</vt:lpstr>
      <vt:lpstr>'Bankers Commercial'!WV_FINANCIAL</vt:lpstr>
      <vt:lpstr>'Bankers Life'!WV_FINANCIAL</vt:lpstr>
      <vt:lpstr>Benicorp!WV_FINANCIAL</vt:lpstr>
      <vt:lpstr>'Booker T Washington'!WV_FINANCIAL</vt:lpstr>
      <vt:lpstr>Centennial!WV_FINANCIAL</vt:lpstr>
      <vt:lpstr>'CO Bankers'!WV_FINANCIAL</vt:lpstr>
      <vt:lpstr>'Coastal States'!WV_FINANCIAL</vt:lpstr>
      <vt:lpstr>'Colorado Health'!WV_FINANCIAL</vt:lpstr>
      <vt:lpstr>'Compass (dbs Meritus)'!WV_FINANCIAL</vt:lpstr>
      <vt:lpstr>'Confed Life &amp; Annty (CLIAC)'!WV_FINANCIAL</vt:lpstr>
      <vt:lpstr>'Confed Life (CLIC)'!WV_FINANCIAL</vt:lpstr>
      <vt:lpstr>'Consolidated National'!WV_FINANCIAL</vt:lpstr>
      <vt:lpstr>'Consumers Choice'!WV_FINANCIAL</vt:lpstr>
      <vt:lpstr>'Consumers Mutual'!WV_FINANCIAL</vt:lpstr>
      <vt:lpstr>'Consumers United'!WV_FINANCIAL</vt:lpstr>
      <vt:lpstr>CoOportunity!WV_FINANCIAL</vt:lpstr>
      <vt:lpstr>'Coordinated Hlth'!WV_FINANCIAL</vt:lpstr>
      <vt:lpstr>'Corporate Life'!WV_FINANCIAL</vt:lpstr>
      <vt:lpstr>'Diamond Benefits'!WV_FINANCIAL</vt:lpstr>
      <vt:lpstr>'EBL Life'!WV_FINANCIAL</vt:lpstr>
      <vt:lpstr>ELNY!WV_FINANCIAL</vt:lpstr>
      <vt:lpstr>'Executive Life'!WV_FINANCIAL</vt:lpstr>
      <vt:lpstr>'Family Guaranty'!WV_FINANCIAL</vt:lpstr>
      <vt:lpstr>'Farmers &amp; Ranchers'!WV_FINANCIAL</vt:lpstr>
      <vt:lpstr>'Fidelity Bankers'!WV_FINANCIAL</vt:lpstr>
      <vt:lpstr>'Fidelity Mutual'!WV_FINANCIAL</vt:lpstr>
      <vt:lpstr>'First Capital'!WV_FINANCIAL</vt:lpstr>
      <vt:lpstr>'First Natl'!WV_FINANCIAL</vt:lpstr>
      <vt:lpstr>'First Natl (Thrnr)'!WV_FINANCIAL</vt:lpstr>
      <vt:lpstr>'Franklin American'!WV_FINANCIAL</vt:lpstr>
      <vt:lpstr>'Franklin Protective'!WV_FINANCIAL</vt:lpstr>
      <vt:lpstr>'Freelancers CO-OP'!WV_FINANCIAL</vt:lpstr>
      <vt:lpstr>Freestone!WV_FINANCIAL</vt:lpstr>
      <vt:lpstr>'George Washington'!WV_FINANCIAL</vt:lpstr>
      <vt:lpstr>'Golden State'!WV_FINANCIAL</vt:lpstr>
      <vt:lpstr>'Guarantee Security'!WV_FINANCIAL</vt:lpstr>
      <vt:lpstr>HealthyCT!WV_FINANCIAL</vt:lpstr>
      <vt:lpstr>Imerica!WV_FINANCIAL</vt:lpstr>
      <vt:lpstr>'Inter-American'!WV_FINANCIAL</vt:lpstr>
      <vt:lpstr>'International Fin'!WV_FINANCIAL</vt:lpstr>
      <vt:lpstr>'Investment Life of America'!WV_FINANCIAL</vt:lpstr>
      <vt:lpstr>'Investors Equity'!WV_FINANCIAL</vt:lpstr>
      <vt:lpstr>'Kentucky Central'!WV_FINANCIAL</vt:lpstr>
      <vt:lpstr>'Land of Lincoln'!WV_FINANCIAL</vt:lpstr>
      <vt:lpstr>Legion!WV_FINANCIAL</vt:lpstr>
      <vt:lpstr>'Life Health America'!WV_FINANCIAL</vt:lpstr>
      <vt:lpstr>'Lincoln Memorial'!WV_FINANCIAL</vt:lpstr>
      <vt:lpstr>'London Pac'!WV_FINANCIAL</vt:lpstr>
      <vt:lpstr>Lumbermens!WV_FINANCIAL</vt:lpstr>
      <vt:lpstr>'Medical Savings'!WV_FINANCIAL</vt:lpstr>
      <vt:lpstr>'Memorial Service'!WV_FINANCIAL</vt:lpstr>
      <vt:lpstr>Midcontinent!WV_FINANCIAL</vt:lpstr>
      <vt:lpstr>'Midwest Life'!WV_FINANCIAL</vt:lpstr>
      <vt:lpstr>'Monarch Life'!WV_FINANCIAL</vt:lpstr>
      <vt:lpstr>'Mutual Benefit'!WV_FINANCIAL</vt:lpstr>
      <vt:lpstr>'Mutual Security'!WV_FINANCIAL</vt:lpstr>
      <vt:lpstr>'National Affiliated'!WV_FINANCIAL</vt:lpstr>
      <vt:lpstr>'National Heritage'!WV_FINANCIAL</vt:lpstr>
      <vt:lpstr>'National States'!WV_FINANCIAL</vt:lpstr>
      <vt:lpstr>'Natl American'!WV_FINANCIAL</vt:lpstr>
      <vt:lpstr>'New Jersey Life'!WV_FINANCIAL</vt:lpstr>
      <vt:lpstr>NNIC!WV_FINANCIAL</vt:lpstr>
      <vt:lpstr>'North Carolina Mutual'!WV_FINANCIAL</vt:lpstr>
      <vt:lpstr>'Old Colony Life'!WV_FINANCIAL</vt:lpstr>
      <vt:lpstr>'Old Faithful'!WV_FINANCIAL</vt:lpstr>
      <vt:lpstr>'Pacific Standard'!WV_FINANCIAL</vt:lpstr>
      <vt:lpstr>'Pavonia Life'!WV_FINANCIAL</vt:lpstr>
      <vt:lpstr>'Pen  Treaty'!WV_FINANCIAL</vt:lpstr>
      <vt:lpstr>'Red Rock'!WV_FINANCIAL</vt:lpstr>
      <vt:lpstr>Reliance!WV_FINANCIAL</vt:lpstr>
      <vt:lpstr>SeeChange!WV_FINANCIAL</vt:lpstr>
      <vt:lpstr>'Senior American'!WV_FINANCIAL</vt:lpstr>
      <vt:lpstr>Settlers!WV_FINANCIAL</vt:lpstr>
      <vt:lpstr>Shenandoah!WV_FINANCIAL</vt:lpstr>
      <vt:lpstr>'Southland National Life'!WV_FINANCIAL</vt:lpstr>
      <vt:lpstr>'Standard Life IN'!WV_FINANCIAL</vt:lpstr>
      <vt:lpstr>'States General'!WV_FINANCIAL</vt:lpstr>
      <vt:lpstr>Statesman!WV_FINANCIAL</vt:lpstr>
      <vt:lpstr>'Summit National'!WV_FINANCIAL</vt:lpstr>
      <vt:lpstr>Supreme!WV_FINANCIAL</vt:lpstr>
      <vt:lpstr>Time!WV_FINANCIAL</vt:lpstr>
      <vt:lpstr>'Total Summary'!WV_FINANCIAL</vt:lpstr>
      <vt:lpstr>Underwriters!WV_FINANCIAL</vt:lpstr>
      <vt:lpstr>Unison!WV_FINANCIAL</vt:lpstr>
      <vt:lpstr>'United Republic'!WV_FINANCIAL</vt:lpstr>
      <vt:lpstr>'Universal Health Care'!WV_FINANCIAL</vt:lpstr>
      <vt:lpstr>'Universal Life'!WV_FINANCIAL</vt:lpstr>
      <vt:lpstr>Universe!WV_FINANCIAL</vt:lpstr>
      <vt:lpstr>Villanova!WV_FINANCIAL</vt:lpstr>
      <vt:lpstr>'Alabama Life'!WY_FINANCIAL</vt:lpstr>
      <vt:lpstr>'Amer Life Asr'!WY_FINANCIAL</vt:lpstr>
      <vt:lpstr>'Amer Std Life Acc'!WY_FINANCIAL</vt:lpstr>
      <vt:lpstr>'American Chambers'!WY_FINANCIAL</vt:lpstr>
      <vt:lpstr>'American Community'!WY_FINANCIAL</vt:lpstr>
      <vt:lpstr>'American Educators'!WY_FINANCIAL</vt:lpstr>
      <vt:lpstr>'American Integrity'!WY_FINANCIAL</vt:lpstr>
      <vt:lpstr>'American Medical'!WY_FINANCIAL</vt:lpstr>
      <vt:lpstr>'American Network'!WY_FINANCIAL</vt:lpstr>
      <vt:lpstr>AmerWstrn!WY_FINANCIAL</vt:lpstr>
      <vt:lpstr>'AMS Life'!WY_FINANCIAL</vt:lpstr>
      <vt:lpstr>'Andrew Jackson'!WY_FINANCIAL</vt:lpstr>
      <vt:lpstr>'Bankers Commercial'!WY_FINANCIAL</vt:lpstr>
      <vt:lpstr>'Bankers Life'!WY_FINANCIAL</vt:lpstr>
      <vt:lpstr>Benicorp!WY_FINANCIAL</vt:lpstr>
      <vt:lpstr>'Booker T Washington'!WY_FINANCIAL</vt:lpstr>
      <vt:lpstr>Centennial!WY_FINANCIAL</vt:lpstr>
      <vt:lpstr>'CO Bankers'!WY_FINANCIAL</vt:lpstr>
      <vt:lpstr>'Coastal States'!WY_FINANCIAL</vt:lpstr>
      <vt:lpstr>'Colorado Health'!WY_FINANCIAL</vt:lpstr>
      <vt:lpstr>'Compass (dbs Meritus)'!WY_FINANCIAL</vt:lpstr>
      <vt:lpstr>'Confed Life &amp; Annty (CLIAC)'!WY_FINANCIAL</vt:lpstr>
      <vt:lpstr>'Confed Life (CLIC)'!WY_FINANCIAL</vt:lpstr>
      <vt:lpstr>'Consolidated National'!WY_FINANCIAL</vt:lpstr>
      <vt:lpstr>'Consumers Choice'!WY_FINANCIAL</vt:lpstr>
      <vt:lpstr>'Consumers Mutual'!WY_FINANCIAL</vt:lpstr>
      <vt:lpstr>'Consumers United'!WY_FINANCIAL</vt:lpstr>
      <vt:lpstr>CoOportunity!WY_FINANCIAL</vt:lpstr>
      <vt:lpstr>'Coordinated Hlth'!WY_FINANCIAL</vt:lpstr>
      <vt:lpstr>'Corporate Life'!WY_FINANCIAL</vt:lpstr>
      <vt:lpstr>'Diamond Benefits'!WY_FINANCIAL</vt:lpstr>
      <vt:lpstr>'EBL Life'!WY_FINANCIAL</vt:lpstr>
      <vt:lpstr>ELNY!WY_FINANCIAL</vt:lpstr>
      <vt:lpstr>'Executive Life'!WY_FINANCIAL</vt:lpstr>
      <vt:lpstr>'Family Guaranty'!WY_FINANCIAL</vt:lpstr>
      <vt:lpstr>'Farmers &amp; Ranchers'!WY_FINANCIAL</vt:lpstr>
      <vt:lpstr>'Fidelity Bankers'!WY_FINANCIAL</vt:lpstr>
      <vt:lpstr>'Fidelity Mutual'!WY_FINANCIAL</vt:lpstr>
      <vt:lpstr>'First Capital'!WY_FINANCIAL</vt:lpstr>
      <vt:lpstr>'First Natl'!WY_FINANCIAL</vt:lpstr>
      <vt:lpstr>'First Natl (Thrnr)'!WY_FINANCIAL</vt:lpstr>
      <vt:lpstr>'Franklin American'!WY_FINANCIAL</vt:lpstr>
      <vt:lpstr>'Franklin Protective'!WY_FINANCIAL</vt:lpstr>
      <vt:lpstr>'Freelancers CO-OP'!WY_FINANCIAL</vt:lpstr>
      <vt:lpstr>Freestone!WY_FINANCIAL</vt:lpstr>
      <vt:lpstr>'George Washington'!WY_FINANCIAL</vt:lpstr>
      <vt:lpstr>'Golden State'!WY_FINANCIAL</vt:lpstr>
      <vt:lpstr>'Guarantee Security'!WY_FINANCIAL</vt:lpstr>
      <vt:lpstr>HealthyCT!WY_FINANCIAL</vt:lpstr>
      <vt:lpstr>Imerica!WY_FINANCIAL</vt:lpstr>
      <vt:lpstr>'Inter-American'!WY_FINANCIAL</vt:lpstr>
      <vt:lpstr>'International Fin'!WY_FINANCIAL</vt:lpstr>
      <vt:lpstr>'Investment Life of America'!WY_FINANCIAL</vt:lpstr>
      <vt:lpstr>'Investors Equity'!WY_FINANCIAL</vt:lpstr>
      <vt:lpstr>'Kentucky Central'!WY_FINANCIAL</vt:lpstr>
      <vt:lpstr>'Land of Lincoln'!WY_FINANCIAL</vt:lpstr>
      <vt:lpstr>Legion!WY_FINANCIAL</vt:lpstr>
      <vt:lpstr>'Life Health America'!WY_FINANCIAL</vt:lpstr>
      <vt:lpstr>'Lincoln Memorial'!WY_FINANCIAL</vt:lpstr>
      <vt:lpstr>'London Pac'!WY_FINANCIAL</vt:lpstr>
      <vt:lpstr>Lumbermens!WY_FINANCIAL</vt:lpstr>
      <vt:lpstr>'Medical Savings'!WY_FINANCIAL</vt:lpstr>
      <vt:lpstr>'Memorial Service'!WY_FINANCIAL</vt:lpstr>
      <vt:lpstr>Midcontinent!WY_FINANCIAL</vt:lpstr>
      <vt:lpstr>'Midwest Life'!WY_FINANCIAL</vt:lpstr>
      <vt:lpstr>'Monarch Life'!WY_FINANCIAL</vt:lpstr>
      <vt:lpstr>'Mutual Benefit'!WY_FINANCIAL</vt:lpstr>
      <vt:lpstr>'Mutual Security'!WY_FINANCIAL</vt:lpstr>
      <vt:lpstr>'National Affiliated'!WY_FINANCIAL</vt:lpstr>
      <vt:lpstr>'National Heritage'!WY_FINANCIAL</vt:lpstr>
      <vt:lpstr>'National States'!WY_FINANCIAL</vt:lpstr>
      <vt:lpstr>'Natl American'!WY_FINANCIAL</vt:lpstr>
      <vt:lpstr>'New Jersey Life'!WY_FINANCIAL</vt:lpstr>
      <vt:lpstr>NNIC!WY_FINANCIAL</vt:lpstr>
      <vt:lpstr>'North Carolina Mutual'!WY_FINANCIAL</vt:lpstr>
      <vt:lpstr>'Old Colony Life'!WY_FINANCIAL</vt:lpstr>
      <vt:lpstr>'Old Faithful'!WY_FINANCIAL</vt:lpstr>
      <vt:lpstr>'Pacific Standard'!WY_FINANCIAL</vt:lpstr>
      <vt:lpstr>'Pavonia Life'!WY_FINANCIAL</vt:lpstr>
      <vt:lpstr>'Pen  Treaty'!WY_FINANCIAL</vt:lpstr>
      <vt:lpstr>'Red Rock'!WY_FINANCIAL</vt:lpstr>
      <vt:lpstr>Reliance!WY_FINANCIAL</vt:lpstr>
      <vt:lpstr>SeeChange!WY_FINANCIAL</vt:lpstr>
      <vt:lpstr>'Senior American'!WY_FINANCIAL</vt:lpstr>
      <vt:lpstr>Settlers!WY_FINANCIAL</vt:lpstr>
      <vt:lpstr>Shenandoah!WY_FINANCIAL</vt:lpstr>
      <vt:lpstr>'Southland National Life'!WY_FINANCIAL</vt:lpstr>
      <vt:lpstr>'Standard Life IN'!WY_FINANCIAL</vt:lpstr>
      <vt:lpstr>'States General'!WY_FINANCIAL</vt:lpstr>
      <vt:lpstr>Statesman!WY_FINANCIAL</vt:lpstr>
      <vt:lpstr>'Summit National'!WY_FINANCIAL</vt:lpstr>
      <vt:lpstr>Supreme!WY_FINANCIAL</vt:lpstr>
      <vt:lpstr>Time!WY_FINANCIAL</vt:lpstr>
      <vt:lpstr>'Total Summary'!WY_FINANCIAL</vt:lpstr>
      <vt:lpstr>Underwriters!WY_FINANCIAL</vt:lpstr>
      <vt:lpstr>Unison!WY_FINANCIAL</vt:lpstr>
      <vt:lpstr>'United Republic'!WY_FINANCIAL</vt:lpstr>
      <vt:lpstr>'Universal Health Care'!WY_FINANCIAL</vt:lpstr>
      <vt:lpstr>'Universal Life'!WY_FINANCIAL</vt:lpstr>
      <vt:lpstr>Universe!WY_FINANCIAL</vt:lpstr>
      <vt:lpstr>Villanova!WY_FINANCIAL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 Hicks</dc:creator>
  <cp:keywords/>
  <dc:description/>
  <cp:lastModifiedBy>Keith Sheridan</cp:lastModifiedBy>
  <cp:revision/>
  <cp:lastPrinted>2024-12-20T17:33:32Z</cp:lastPrinted>
  <dcterms:created xsi:type="dcterms:W3CDTF">2024-12-17T15:47:50Z</dcterms:created>
  <dcterms:modified xsi:type="dcterms:W3CDTF">2024-12-20T17:33:42Z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0x01010013D771F4A956BD44A24C48D3F81E02BE</vt:lpwstr>
  </property>
</Properties>
</file>